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J:\1- LABEL BAS CARBONE\1- PROJETS LBC\P0026 SAILLANS [SOULIES]\DOCS LBC\"/>
    </mc:Choice>
  </mc:AlternateContent>
  <xr:revisionPtr revIDLastSave="0" documentId="13_ncr:1_{B61294AC-9F97-4C76-BADE-8B46212B1E1A}" xr6:coauthVersionLast="47" xr6:coauthVersionMax="47" xr10:uidLastSave="{00000000-0000-0000-0000-000000000000}"/>
  <bookViews>
    <workbookView xWindow="-30828" yWindow="-24" windowWidth="30936" windowHeight="16896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0" i="1" l="1"/>
  <c r="D66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GL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FR6" i="2" l="1"/>
  <c r="EA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C14" i="2" l="1"/>
  <c r="EB14" i="2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HI15" i="2" l="1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A18" i="2"/>
  <c r="EV18" i="2"/>
  <c r="EW18" i="2"/>
  <c r="EX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EW20" i="2" s="1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C22" i="2"/>
  <c r="HH22" i="2"/>
  <c r="HG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HG24" i="2" s="1"/>
  <c r="GJ24" i="2"/>
  <c r="FO24" i="2"/>
  <c r="FR24" i="2" s="1"/>
  <c r="GI24" i="2"/>
  <c r="DY24" i="2"/>
  <c r="ES24" i="2"/>
  <c r="DX24" i="2"/>
  <c r="FN24" i="2"/>
  <c r="ET24" i="2"/>
  <c r="EW24" i="2" s="1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EC24" i="2" l="1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C30" i="2" l="1"/>
  <c r="EV30" i="2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X45" i="2" l="1"/>
  <c r="HG45" i="2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G47" i="2" s="1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I48" i="2"/>
  <c r="HH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EA64" i="2"/>
  <c r="EV64" i="2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HG75" i="2"/>
  <c r="EB75" i="2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EB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HG89" i="2" s="1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FS89" i="2" l="1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EX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EW100" i="2" s="1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B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EX107" i="2" s="1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HG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B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HG113" i="2" s="1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FS113" i="2"/>
  <c r="EB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W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HG116" i="2" s="1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FQ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FS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EX124" i="2" s="1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B128" i="2" l="1"/>
  <c r="HG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HG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HH144" i="2" s="1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EB144" i="2"/>
  <c r="FR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HH149" i="2" s="1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EX149" i="2" s="1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HG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I150" i="2"/>
  <c r="HH150" i="2"/>
  <c r="HG150" i="2"/>
  <c r="EV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X154" i="2" l="1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D154" i="2" l="1"/>
  <c r="EA155" i="2"/>
  <c r="AC154" i="2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AX152" i="2"/>
  <c r="ED155" i="2" l="1"/>
  <c r="EB156" i="2"/>
  <c r="DH156" i="2"/>
  <c r="AB156" i="2"/>
  <c r="FS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A159" i="2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HH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ED160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EC162" i="2"/>
  <c r="DI161" i="2"/>
  <c r="HH162" i="2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D162" i="2" l="1"/>
  <c r="EB163" i="2"/>
  <c r="EV163" i="2"/>
  <c r="EA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ED163" i="2" l="1"/>
  <c r="DI163" i="2"/>
  <c r="EA164" i="2"/>
  <c r="EX164" i="2"/>
  <c r="DH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A165" i="2" l="1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EC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A167" i="2"/>
  <c r="EB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G168" i="2" l="1"/>
  <c r="EC168" i="2"/>
  <c r="HH168" i="2"/>
  <c r="EV168" i="2"/>
  <c r="EW168" i="2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EX169" i="2"/>
  <c r="EA169" i="2"/>
  <c r="EB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A171" i="2" l="1"/>
  <c r="EB171" i="2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D171" i="2"/>
  <c r="EB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D172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D174" i="2" l="1"/>
  <c r="EA175" i="2"/>
  <c r="EB175" i="2"/>
  <c r="EW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D177" i="2"/>
  <c r="EB178" i="2"/>
  <c r="FQ178" i="2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A179" i="2" l="1"/>
  <c r="ED178" i="2"/>
  <c r="DF179" i="2"/>
  <c r="EB179" i="2"/>
  <c r="EV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D180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Y182" i="2"/>
  <c r="EA183" i="2" l="1"/>
  <c r="ED182" i="2"/>
  <c r="EB183" i="2"/>
  <c r="FS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A185" i="2" l="1"/>
  <c r="EB185" i="2"/>
  <c r="EV185" i="2"/>
  <c r="EW185" i="2"/>
  <c r="HH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ED185" i="2"/>
  <c r="FR186" i="2"/>
  <c r="HG186" i="2"/>
  <c r="EA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C187" i="2" l="1"/>
  <c r="EB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ED187" i="2" l="1"/>
  <c r="HH188" i="2"/>
  <c r="HG188" i="2"/>
  <c r="HI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V189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D190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B192" i="2"/>
  <c r="EW192" i="2"/>
  <c r="HG192" i="2"/>
  <c r="EA192" i="2"/>
  <c r="ED192" i="2" s="1"/>
  <c r="EV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EX193" i="2" s="1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Y192" i="2"/>
  <c r="AX190" i="2"/>
  <c r="EB193" i="2" l="1"/>
  <c r="DI192" i="2"/>
  <c r="HI193" i="2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HG194" i="2"/>
  <c r="FQ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A195" i="2" s="1"/>
  <c r="AX192" i="2"/>
  <c r="EA195" i="2" l="1"/>
  <c r="EB195" i="2"/>
  <c r="DH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A197" i="2" l="1"/>
  <c r="EW197" i="2"/>
  <c r="EC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D197" i="2" l="1"/>
  <c r="EV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A199" i="2" l="1"/>
  <c r="EB199" i="2"/>
  <c r="HH199" i="2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I200" i="2" s="1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A201" i="2" l="1"/>
  <c r="EB201" i="2"/>
  <c r="FS201" i="2"/>
  <c r="HI201" i="2"/>
  <c r="EX201" i="2"/>
  <c r="AI5" i="2"/>
  <c r="EW201" i="2"/>
  <c r="EC201" i="2"/>
  <c r="ED201" i="2" s="1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DN124" i="2" a="1"/>
  <c r="DN124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EI195" i="2" a="1"/>
  <c r="EI195" i="2" s="1"/>
  <c r="DN123" i="2" a="1"/>
  <c r="DN123" i="2" s="1"/>
  <c r="AH151" i="2" a="1"/>
  <c r="AH151" i="2" s="1"/>
  <c r="DN103" i="2" a="1"/>
  <c r="DN103" i="2" s="1"/>
  <c r="DN114" i="2" a="1"/>
  <c r="DN114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134" i="2" a="1"/>
  <c r="CS134" i="2" s="1"/>
  <c r="DN45" i="2" a="1"/>
  <c r="DN45" i="2" s="1"/>
  <c r="BX107" i="2" a="1"/>
  <c r="BX107" i="2" s="1"/>
  <c r="FD82" i="2" a="1"/>
  <c r="FD82" i="2" s="1"/>
  <c r="DN187" i="2" a="1"/>
  <c r="DN187" i="2" s="1"/>
  <c r="HJ202" i="2"/>
  <c r="EY202" i="2"/>
  <c r="AX200" i="2"/>
  <c r="CS52" i="2" l="1" a="1"/>
  <c r="CS52" i="2" s="1"/>
  <c r="CS137" i="2" a="1"/>
  <c r="CS137" i="2" s="1"/>
  <c r="CS24" i="2" a="1"/>
  <c r="CS24" i="2" s="1"/>
  <c r="CS114" i="2" a="1"/>
  <c r="CS114" i="2" s="1"/>
  <c r="CS72" i="2" a="1"/>
  <c r="CS72" i="2" s="1"/>
  <c r="CS56" i="2" a="1"/>
  <c r="CS56" i="2" s="1"/>
  <c r="CS116" i="2" a="1"/>
  <c r="CS116" i="2" s="1"/>
  <c r="CS105" i="2" a="1"/>
  <c r="CS105" i="2" s="1"/>
  <c r="CS161" i="2" a="1"/>
  <c r="CS161" i="2" s="1"/>
  <c r="CS66" i="2" a="1"/>
  <c r="CS66" i="2" s="1"/>
  <c r="CS77" i="2" a="1"/>
  <c r="CS77" i="2" s="1"/>
  <c r="BC83" i="2" a="1"/>
  <c r="BC83" i="2" s="1"/>
  <c r="BC82" i="2" a="1"/>
  <c r="BC82" i="2" s="1"/>
  <c r="BC164" i="2" a="1"/>
  <c r="BC164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85" i="2" a="1"/>
  <c r="BC185" i="2" s="1"/>
  <c r="BC117" i="2" a="1"/>
  <c r="BC117" i="2" s="1"/>
  <c r="BC58" i="2" a="1"/>
  <c r="BC58" i="2" s="1"/>
  <c r="BC7" i="2" a="1"/>
  <c r="BC7" i="2" s="1"/>
  <c r="BC143" i="2" a="1"/>
  <c r="BC143" i="2" s="1"/>
  <c r="BC181" i="2" a="1"/>
  <c r="BC181" i="2" s="1"/>
  <c r="BC34" i="2" a="1"/>
  <c r="BC34" i="2" s="1"/>
  <c r="BC130" i="2" a="1"/>
  <c r="BC130" i="2" s="1"/>
  <c r="BC31" i="2" a="1"/>
  <c r="BC31" i="2" s="1"/>
  <c r="BC65" i="2" a="1"/>
  <c r="BC65" i="2" s="1"/>
  <c r="BC18" i="2" a="1"/>
  <c r="BC18" i="2" s="1"/>
  <c r="BC84" i="2" a="1"/>
  <c r="BC84" i="2" s="1"/>
  <c r="BC114" i="2" a="1"/>
  <c r="BC114" i="2" s="1"/>
  <c r="BC38" i="2" a="1"/>
  <c r="BC38" i="2" s="1"/>
  <c r="BC32" i="2" a="1"/>
  <c r="BC32" i="2" s="1"/>
  <c r="BC126" i="2" a="1"/>
  <c r="BC126" i="2" s="1"/>
  <c r="BP203" i="2"/>
  <c r="HH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ED203" i="2" l="1"/>
  <c r="DI203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FE35" i="2" l="1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DT121" i="2" l="1"/>
  <c r="DT78" i="2"/>
  <c r="DT6" i="2"/>
  <c r="DT130" i="2"/>
  <c r="DT185" i="2"/>
  <c r="DT40" i="2"/>
  <c r="DT151" i="2"/>
  <c r="DT49" i="2"/>
  <c r="DT170" i="2"/>
  <c r="DT82" i="2"/>
  <c r="DT70" i="2"/>
  <c r="DT129" i="2"/>
  <c r="DT168" i="2"/>
  <c r="DT113" i="2"/>
  <c r="DT140" i="2"/>
  <c r="DT181" i="2"/>
  <c r="DT9" i="2"/>
  <c r="DT96" i="2"/>
  <c r="DT152" i="2"/>
  <c r="DT77" i="2"/>
  <c r="DT87" i="2"/>
  <c r="DT106" i="2"/>
  <c r="DT39" i="2"/>
  <c r="DT24" i="2"/>
  <c r="DT163" i="2"/>
  <c r="DT123" i="2"/>
  <c r="DT65" i="2"/>
  <c r="DT66" i="2"/>
  <c r="DT184" i="2"/>
  <c r="DT155" i="2"/>
  <c r="DT186" i="2"/>
  <c r="DT197" i="2"/>
  <c r="DT88" i="2"/>
  <c r="DT84" i="2"/>
  <c r="DT43" i="2"/>
  <c r="DT45" i="2"/>
  <c r="DT158" i="2"/>
  <c r="DT166" i="2"/>
  <c r="DT174" i="2"/>
  <c r="DT135" i="2"/>
  <c r="DT107" i="2"/>
  <c r="DT67" i="2"/>
  <c r="DT58" i="2"/>
  <c r="DT146" i="2"/>
  <c r="DT75" i="2"/>
  <c r="DT68" i="2"/>
  <c r="DT54" i="2"/>
  <c r="DT150" i="2"/>
  <c r="DT162" i="2"/>
  <c r="DT103" i="2"/>
  <c r="DT120" i="2"/>
  <c r="DT109" i="2"/>
  <c r="DT94" i="2"/>
  <c r="DT56" i="2"/>
  <c r="DT141" i="2"/>
  <c r="DT176" i="2"/>
  <c r="DT26" i="2"/>
  <c r="DT44" i="2"/>
  <c r="DT91" i="2"/>
  <c r="DT30" i="2"/>
  <c r="DT97" i="2"/>
  <c r="DT37" i="2"/>
  <c r="DT83" i="2"/>
  <c r="DT171" i="2"/>
  <c r="DT167" i="2"/>
  <c r="DT35" i="2"/>
  <c r="DT28" i="2"/>
  <c r="DT118" i="2"/>
  <c r="DT86" i="2"/>
  <c r="DT57" i="2"/>
  <c r="DT15" i="2"/>
  <c r="DT76" i="2"/>
  <c r="DT131" i="2"/>
  <c r="DT201" i="2"/>
  <c r="DT178" i="2"/>
  <c r="DT143" i="2"/>
  <c r="DT46" i="2"/>
  <c r="DT89" i="2"/>
  <c r="DT114" i="2"/>
  <c r="DT156" i="2"/>
  <c r="DT104" i="2"/>
  <c r="DT7" i="2"/>
  <c r="DT128" i="2"/>
  <c r="DT137" i="2"/>
  <c r="DT93" i="2"/>
  <c r="DT139" i="2"/>
  <c r="DT53" i="2"/>
  <c r="DT173" i="2"/>
  <c r="DT134" i="2"/>
  <c r="DT62" i="2"/>
  <c r="DT200" i="2"/>
  <c r="DT154" i="2"/>
  <c r="DT61" i="2"/>
  <c r="DT36" i="2"/>
  <c r="DT63" i="2"/>
  <c r="DT112" i="2"/>
  <c r="DT38" i="2"/>
  <c r="DT195" i="2"/>
  <c r="DT25" i="2"/>
  <c r="DT59" i="2"/>
  <c r="DT14" i="2"/>
  <c r="DT117" i="2"/>
  <c r="DT52" i="2"/>
  <c r="DT51" i="2"/>
  <c r="DT50" i="2"/>
  <c r="DT198" i="2"/>
  <c r="DT124" i="2"/>
  <c r="DT85" i="2"/>
  <c r="DT55" i="2"/>
  <c r="DT42" i="2"/>
  <c r="DT180" i="2"/>
  <c r="DT161" i="2"/>
  <c r="DT145" i="2"/>
  <c r="DT41" i="2"/>
  <c r="DT111" i="2"/>
  <c r="DT34" i="2"/>
  <c r="DT116" i="2"/>
  <c r="DT192" i="2"/>
  <c r="DT17" i="2"/>
  <c r="DT115" i="2"/>
  <c r="DT92" i="2"/>
  <c r="DT108" i="2"/>
  <c r="DT164" i="2"/>
  <c r="DT149" i="2"/>
  <c r="DT191" i="2"/>
  <c r="DT142" i="2"/>
  <c r="DT100" i="2"/>
  <c r="DT10" i="2"/>
  <c r="DT5" i="2"/>
  <c r="DT159" i="2"/>
  <c r="DT20" i="2"/>
  <c r="DT16" i="2"/>
  <c r="DT148" i="2"/>
  <c r="DT48" i="2"/>
  <c r="DT95" i="2"/>
  <c r="DT157" i="2"/>
  <c r="DT187" i="2"/>
  <c r="DT169" i="2"/>
  <c r="DT23" i="2"/>
  <c r="DT126" i="2"/>
  <c r="DT132" i="2"/>
  <c r="DT19" i="2"/>
  <c r="DT199" i="2"/>
  <c r="DT102" i="2"/>
  <c r="DT183" i="2"/>
  <c r="DT4" i="2"/>
  <c r="DT99" i="2"/>
  <c r="DT194" i="2"/>
  <c r="DT105" i="2"/>
  <c r="DT190" i="2"/>
  <c r="DT12" i="2"/>
  <c r="DT122" i="2"/>
  <c r="DT138" i="2"/>
  <c r="DT81" i="2"/>
  <c r="DT11" i="2"/>
  <c r="DT8" i="2"/>
  <c r="DT172" i="2"/>
  <c r="DT22" i="2"/>
  <c r="DT32" i="2"/>
  <c r="DT179" i="2"/>
  <c r="DT175" i="2"/>
  <c r="DT69" i="2"/>
  <c r="DT196" i="2"/>
  <c r="DT110" i="2"/>
  <c r="DT74" i="2"/>
  <c r="DT31" i="2"/>
  <c r="DT202" i="2"/>
  <c r="DT72" i="2"/>
  <c r="DT29" i="2"/>
  <c r="DT98" i="2"/>
  <c r="DT21" i="2"/>
  <c r="DT125" i="2"/>
  <c r="DT193" i="2"/>
  <c r="DT3" i="2"/>
  <c r="C11" i="4" s="1"/>
  <c r="E11" i="4" s="1"/>
  <c r="F11" i="4" s="1"/>
  <c r="G11" i="4" s="1"/>
  <c r="L11" i="4" s="1"/>
  <c r="DT79" i="2"/>
  <c r="DT60" i="2"/>
  <c r="DT188" i="2"/>
  <c r="DT47" i="2"/>
  <c r="DT71" i="2"/>
  <c r="DT153" i="2"/>
  <c r="DT64" i="2"/>
  <c r="DT133" i="2"/>
  <c r="DT147" i="2"/>
  <c r="DT73" i="2"/>
  <c r="DT182" i="2"/>
  <c r="DT165" i="2"/>
  <c r="DT18" i="2"/>
  <c r="DT119" i="2"/>
  <c r="DT33" i="2"/>
  <c r="DT80" i="2"/>
  <c r="DT13" i="2"/>
  <c r="DT144" i="2"/>
  <c r="DT90" i="2"/>
  <c r="DT27" i="2"/>
  <c r="DT177" i="2"/>
  <c r="DT101" i="2"/>
  <c r="DT136" i="2"/>
  <c r="DT127" i="2"/>
  <c r="DT189" i="2"/>
  <c r="DT160" i="2"/>
  <c r="DT203" i="2"/>
  <c r="CY24" i="2"/>
  <c r="CY199" i="2"/>
  <c r="CY47" i="2"/>
  <c r="CY18" i="2"/>
  <c r="CY76" i="2"/>
  <c r="CY155" i="2"/>
  <c r="CY142" i="2"/>
  <c r="CY156" i="2"/>
  <c r="CY36" i="2"/>
  <c r="CY116" i="2"/>
  <c r="CY152" i="2"/>
  <c r="CY133" i="2"/>
  <c r="CY110" i="2"/>
  <c r="CY136" i="2"/>
  <c r="CY196" i="2"/>
  <c r="CY64" i="2"/>
  <c r="CY111" i="2"/>
  <c r="CY129" i="2"/>
  <c r="CY146" i="2"/>
  <c r="CY150" i="2"/>
  <c r="CY56" i="2"/>
  <c r="CY161" i="2"/>
  <c r="CY72" i="2"/>
  <c r="CY69" i="2"/>
  <c r="CY58" i="2"/>
  <c r="CY148" i="2"/>
  <c r="CY202" i="2"/>
  <c r="CY28" i="2"/>
  <c r="CY103" i="2"/>
  <c r="CY22" i="2"/>
  <c r="CY8" i="2"/>
  <c r="CY183" i="2"/>
  <c r="CY25" i="2"/>
  <c r="CY138" i="2"/>
  <c r="CY143" i="2"/>
  <c r="CY119" i="2"/>
  <c r="CY104" i="2"/>
  <c r="CY131" i="2"/>
  <c r="CY158" i="2"/>
  <c r="CY74" i="2"/>
  <c r="CY38" i="2"/>
  <c r="CY191" i="2"/>
  <c r="CY112" i="2"/>
  <c r="CY80" i="2"/>
  <c r="CY40" i="2"/>
  <c r="CY113" i="2"/>
  <c r="CY154" i="2"/>
  <c r="CY160" i="2"/>
  <c r="CY200" i="2"/>
  <c r="CY29" i="2"/>
  <c r="CY145" i="2"/>
  <c r="CY86" i="2"/>
  <c r="CY49" i="2"/>
  <c r="CY14" i="2"/>
  <c r="CY20" i="2"/>
  <c r="CY118" i="2"/>
  <c r="CY168" i="2"/>
  <c r="CY159" i="2"/>
  <c r="CY162" i="2"/>
  <c r="CY179" i="2"/>
  <c r="CY34" i="2"/>
  <c r="CY177" i="2"/>
  <c r="CY85" i="2"/>
  <c r="CY164" i="2"/>
  <c r="CY44" i="2"/>
  <c r="CY67" i="2"/>
  <c r="CY178" i="2"/>
  <c r="CY50" i="2"/>
  <c r="CY123" i="2"/>
  <c r="CY185" i="2"/>
  <c r="CY19" i="2"/>
  <c r="CY130" i="2"/>
  <c r="CY165" i="2"/>
  <c r="CY166" i="2"/>
  <c r="CY57" i="2"/>
  <c r="CY114" i="2"/>
  <c r="CY120" i="2"/>
  <c r="CY121" i="2"/>
  <c r="CY97" i="2"/>
  <c r="CY149" i="2"/>
  <c r="CY54" i="2"/>
  <c r="CY9" i="2"/>
  <c r="CY96" i="2"/>
  <c r="CY176" i="2"/>
  <c r="CY151" i="2"/>
  <c r="CY147" i="2"/>
  <c r="CY197" i="2"/>
  <c r="CY189" i="2"/>
  <c r="CY3" i="2"/>
  <c r="C10" i="4" s="1"/>
  <c r="E10" i="4" s="1"/>
  <c r="F10" i="4" s="1"/>
  <c r="G10" i="4" s="1"/>
  <c r="L10" i="4" s="1"/>
  <c r="CY174" i="2"/>
  <c r="CY41" i="2"/>
  <c r="CY53" i="2"/>
  <c r="CY32" i="2"/>
  <c r="CY27" i="2"/>
  <c r="CY134" i="2"/>
  <c r="CY193" i="2"/>
  <c r="CY180" i="2"/>
  <c r="CY175" i="2"/>
  <c r="CY15" i="2"/>
  <c r="CY75" i="2"/>
  <c r="CY98" i="2"/>
  <c r="CY77" i="2"/>
  <c r="CY43" i="2"/>
  <c r="CY16" i="2"/>
  <c r="CY181" i="2"/>
  <c r="CY65" i="2"/>
  <c r="CY172" i="2"/>
  <c r="CY66" i="2"/>
  <c r="CY88" i="2"/>
  <c r="CY4" i="2"/>
  <c r="CY126" i="2"/>
  <c r="CY63" i="2"/>
  <c r="CY84" i="2"/>
  <c r="CY91" i="2"/>
  <c r="CY192" i="2"/>
  <c r="CY45" i="2"/>
  <c r="CY184" i="2"/>
  <c r="CY79" i="2"/>
  <c r="CY51" i="2"/>
  <c r="CY26" i="2"/>
  <c r="CY46" i="2"/>
  <c r="CY153" i="2"/>
  <c r="CY99" i="2"/>
  <c r="CY52" i="2"/>
  <c r="CY144" i="2"/>
  <c r="CY139" i="2"/>
  <c r="CY187" i="2"/>
  <c r="CY33" i="2"/>
  <c r="CY68" i="2"/>
  <c r="CY83" i="2"/>
  <c r="CY195" i="2"/>
  <c r="CY117" i="2"/>
  <c r="CY10" i="2"/>
  <c r="CY107" i="2"/>
  <c r="CY17" i="2"/>
  <c r="CY102" i="2"/>
  <c r="CY135" i="2"/>
  <c r="CY62" i="2"/>
  <c r="CY55" i="2"/>
  <c r="CY115" i="2"/>
  <c r="CY48" i="2"/>
  <c r="CY190" i="2"/>
  <c r="CY109" i="2"/>
  <c r="CY198" i="2"/>
  <c r="CY125" i="2"/>
  <c r="CY6" i="2"/>
  <c r="CY108" i="2"/>
  <c r="CY140" i="2"/>
  <c r="CY182" i="2"/>
  <c r="CY170" i="2"/>
  <c r="CY35" i="2"/>
  <c r="CY13" i="2"/>
  <c r="CY124" i="2"/>
  <c r="CY201" i="2"/>
  <c r="CY122" i="2"/>
  <c r="CY42" i="2"/>
  <c r="CY95" i="2"/>
  <c r="CY92" i="2"/>
  <c r="CY132" i="2"/>
  <c r="CY203" i="2"/>
  <c r="CY37" i="2"/>
  <c r="CY71" i="2"/>
  <c r="CY21" i="2"/>
  <c r="CY59" i="2"/>
  <c r="CY61" i="2"/>
  <c r="CY137" i="2"/>
  <c r="CY141" i="2"/>
  <c r="CY31" i="2"/>
  <c r="CY101" i="2"/>
  <c r="CY12" i="2"/>
  <c r="CY105" i="2"/>
  <c r="CY188" i="2"/>
  <c r="CY82" i="2"/>
  <c r="CY167" i="2"/>
  <c r="CY60" i="2"/>
  <c r="CY128" i="2"/>
  <c r="CY81" i="2"/>
  <c r="CY186" i="2"/>
  <c r="CY11" i="2"/>
  <c r="CY169" i="2"/>
  <c r="CY5" i="2"/>
  <c r="CY173" i="2"/>
  <c r="CY7" i="2"/>
  <c r="CY39" i="2"/>
  <c r="CY89" i="2"/>
  <c r="CY87" i="2"/>
  <c r="CY163" i="2"/>
  <c r="CY94" i="2"/>
  <c r="CY93" i="2"/>
  <c r="CY106" i="2"/>
  <c r="CY157" i="2"/>
  <c r="CY78" i="2"/>
  <c r="CY194" i="2"/>
  <c r="CY30" i="2"/>
  <c r="CY100" i="2"/>
  <c r="CY171" i="2"/>
  <c r="CY70" i="2"/>
  <c r="CY23" i="2"/>
  <c r="CY127" i="2"/>
  <c r="CY73" i="2"/>
  <c r="CY90" i="2"/>
  <c r="CD70" i="2"/>
  <c r="CD60" i="2"/>
  <c r="CD33" i="2"/>
  <c r="CD120" i="2"/>
  <c r="CD198" i="2"/>
  <c r="CD27" i="2"/>
  <c r="CD126" i="2"/>
  <c r="CD151" i="2"/>
  <c r="CD141" i="2"/>
  <c r="CD157" i="2"/>
  <c r="CD182" i="2"/>
  <c r="CD178" i="2"/>
  <c r="CD152" i="2"/>
  <c r="CD34" i="2"/>
  <c r="CD21" i="2"/>
  <c r="CD191" i="2"/>
  <c r="CD138" i="2"/>
  <c r="CD9" i="2"/>
  <c r="CD183" i="2"/>
  <c r="CD146" i="2"/>
  <c r="CD133" i="2"/>
  <c r="CD75" i="2"/>
  <c r="CD195" i="2"/>
  <c r="CD128" i="2"/>
  <c r="CD95" i="2"/>
  <c r="CD187" i="2"/>
  <c r="CD154" i="2"/>
  <c r="CD181" i="2"/>
  <c r="CD199" i="2"/>
  <c r="CD103" i="2"/>
  <c r="CD172" i="2"/>
  <c r="CD105" i="2"/>
  <c r="CD20" i="2"/>
  <c r="CD65" i="2"/>
  <c r="CD46" i="2"/>
  <c r="CD115" i="2"/>
  <c r="CD14" i="2"/>
  <c r="CD35" i="2"/>
  <c r="CD76" i="2"/>
  <c r="CD177" i="2"/>
  <c r="CD41" i="2"/>
  <c r="CD10" i="2"/>
  <c r="CD119" i="2"/>
  <c r="CD194" i="2"/>
  <c r="CD85" i="2"/>
  <c r="CD57" i="2"/>
  <c r="CD80" i="2"/>
  <c r="CD67" i="2"/>
  <c r="CD180" i="2"/>
  <c r="CD153" i="2"/>
  <c r="CD8" i="2"/>
  <c r="CD64" i="2"/>
  <c r="CD30" i="2"/>
  <c r="CD88" i="2"/>
  <c r="CD192" i="2"/>
  <c r="CD97" i="2"/>
  <c r="CD16" i="2"/>
  <c r="CD54" i="2"/>
  <c r="CD186" i="2"/>
  <c r="CD66" i="2"/>
  <c r="CD179" i="2"/>
  <c r="CD168" i="2"/>
  <c r="CD99" i="2"/>
  <c r="CD102" i="2"/>
  <c r="CD193" i="2"/>
  <c r="CD32" i="2"/>
  <c r="CD15" i="2"/>
  <c r="CD86" i="2"/>
  <c r="CD74" i="2"/>
  <c r="CD4" i="2"/>
  <c r="CD29" i="2"/>
  <c r="CD90" i="2"/>
  <c r="CD203" i="2"/>
  <c r="CD22" i="2"/>
  <c r="CD81" i="2"/>
  <c r="CD122" i="2"/>
  <c r="CD116" i="2"/>
  <c r="CD112" i="2"/>
  <c r="CD160" i="2"/>
  <c r="CD91" i="2"/>
  <c r="CD173" i="2"/>
  <c r="CD175" i="2"/>
  <c r="CD13" i="2"/>
  <c r="CD100" i="2"/>
  <c r="CD132" i="2"/>
  <c r="CD106" i="2"/>
  <c r="CD55" i="2"/>
  <c r="CD134" i="2"/>
  <c r="CD196" i="2"/>
  <c r="CD163" i="2"/>
  <c r="CD24" i="2"/>
  <c r="CD164" i="2"/>
  <c r="CD5" i="2"/>
  <c r="CD37" i="2"/>
  <c r="CD176" i="2"/>
  <c r="CD109" i="2"/>
  <c r="CD139" i="2"/>
  <c r="CD18" i="2"/>
  <c r="CD145" i="2"/>
  <c r="CD155" i="2"/>
  <c r="CD45" i="2"/>
  <c r="CD188" i="2"/>
  <c r="CD82" i="2"/>
  <c r="CD169" i="2"/>
  <c r="CD127" i="2"/>
  <c r="CD84" i="2"/>
  <c r="CD142" i="2"/>
  <c r="CD40" i="2"/>
  <c r="CD94" i="2"/>
  <c r="CD79" i="2"/>
  <c r="CD93" i="2"/>
  <c r="CD51" i="2"/>
  <c r="CD147" i="2"/>
  <c r="CD162" i="2"/>
  <c r="CD143" i="2"/>
  <c r="CD71" i="2"/>
  <c r="CD49" i="2"/>
  <c r="CD77" i="2"/>
  <c r="CD98" i="2"/>
  <c r="CD159" i="2"/>
  <c r="CD83" i="2"/>
  <c r="CD144" i="2"/>
  <c r="CD148" i="2"/>
  <c r="CD53" i="2"/>
  <c r="CD150" i="2"/>
  <c r="CD68" i="2"/>
  <c r="CD56" i="2"/>
  <c r="CD184" i="2"/>
  <c r="CD19" i="2"/>
  <c r="CD189" i="2"/>
  <c r="CD110" i="2"/>
  <c r="CD11" i="2"/>
  <c r="CD92" i="2"/>
  <c r="CD125" i="2"/>
  <c r="CD174" i="2"/>
  <c r="CD23" i="2"/>
  <c r="CD118" i="2"/>
  <c r="CD52" i="2"/>
  <c r="CD69" i="2"/>
  <c r="CD202" i="2"/>
  <c r="CD25" i="2"/>
  <c r="CD135" i="2"/>
  <c r="CD165" i="2"/>
  <c r="CD137" i="2"/>
  <c r="CD117" i="2"/>
  <c r="CD170" i="2"/>
  <c r="CD161" i="2"/>
  <c r="CD72" i="2"/>
  <c r="CD3" i="2"/>
  <c r="C9" i="4" s="1"/>
  <c r="E9" i="4" s="1"/>
  <c r="F9" i="4" s="1"/>
  <c r="G9" i="4" s="1"/>
  <c r="L9" i="4" s="1"/>
  <c r="CD89" i="2"/>
  <c r="CD26" i="2"/>
  <c r="CD96" i="2"/>
  <c r="CD73" i="2"/>
  <c r="CD6" i="2"/>
  <c r="CD108" i="2"/>
  <c r="CD156" i="2"/>
  <c r="CD28" i="2"/>
  <c r="CD124" i="2"/>
  <c r="CD78" i="2"/>
  <c r="CD7" i="2"/>
  <c r="CD104" i="2"/>
  <c r="CD166" i="2"/>
  <c r="CD61" i="2"/>
  <c r="CD50" i="2"/>
  <c r="CD107" i="2"/>
  <c r="CD190" i="2"/>
  <c r="CD87" i="2"/>
  <c r="CD58" i="2"/>
  <c r="CD39" i="2"/>
  <c r="CD43" i="2"/>
  <c r="CD42" i="2"/>
  <c r="CD123" i="2"/>
  <c r="CD101" i="2"/>
  <c r="CD130" i="2"/>
  <c r="CD197" i="2"/>
  <c r="CD185" i="2"/>
  <c r="CD12" i="2"/>
  <c r="CD63" i="2"/>
  <c r="CD129" i="2"/>
  <c r="CD149" i="2"/>
  <c r="CD38" i="2"/>
  <c r="CD17" i="2"/>
  <c r="CD171" i="2"/>
  <c r="CD59" i="2"/>
  <c r="CD121" i="2"/>
  <c r="CD44" i="2"/>
  <c r="CD140" i="2"/>
  <c r="CD113" i="2"/>
  <c r="CD201" i="2"/>
  <c r="CD136" i="2"/>
  <c r="CD167" i="2"/>
  <c r="CD114" i="2"/>
  <c r="CD131" i="2"/>
  <c r="CD62" i="2"/>
  <c r="CD36" i="2"/>
  <c r="CD47" i="2"/>
  <c r="CD200" i="2"/>
  <c r="CD31" i="2"/>
  <c r="CD158" i="2"/>
  <c r="CD48" i="2"/>
  <c r="CD111" i="2"/>
  <c r="FE155" i="2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I47" i="2" l="1"/>
  <c r="BI53" i="2"/>
  <c r="BI200" i="2"/>
  <c r="BI163" i="2"/>
  <c r="BI96" i="2"/>
  <c r="BI177" i="2"/>
  <c r="BI194" i="2"/>
  <c r="BI101" i="2"/>
  <c r="BI193" i="2"/>
  <c r="BI45" i="2"/>
  <c r="BI161" i="2"/>
  <c r="BI76" i="2"/>
  <c r="BI40" i="2"/>
  <c r="BI36" i="2"/>
  <c r="BI11" i="2"/>
  <c r="BI111" i="2"/>
  <c r="BI196" i="2"/>
  <c r="BI106" i="2"/>
  <c r="BI170" i="2"/>
  <c r="BI195" i="2"/>
  <c r="BI197" i="2"/>
  <c r="BI100" i="2"/>
  <c r="BI59" i="2"/>
  <c r="BI44" i="2"/>
  <c r="BI151" i="2"/>
  <c r="BI4" i="2"/>
  <c r="BI201" i="2"/>
  <c r="BI15" i="2"/>
  <c r="BI131" i="2"/>
  <c r="BI38" i="2"/>
  <c r="BI134" i="2"/>
  <c r="BI154" i="2"/>
  <c r="BI56" i="2"/>
  <c r="BI95" i="2"/>
  <c r="BI89" i="2"/>
  <c r="BI58" i="2"/>
  <c r="BI34" i="2"/>
  <c r="BI147" i="2"/>
  <c r="BI157" i="2"/>
  <c r="BI50" i="2"/>
  <c r="BI68" i="2"/>
  <c r="BI74" i="2"/>
  <c r="BI152" i="2"/>
  <c r="BI156" i="2"/>
  <c r="BI80" i="2"/>
  <c r="BI78" i="2"/>
  <c r="BI145" i="2"/>
  <c r="BI104" i="2"/>
  <c r="BI143" i="2"/>
  <c r="BI14" i="2"/>
  <c r="BI137" i="2"/>
  <c r="BI108" i="2"/>
  <c r="BI169" i="2"/>
  <c r="BI182" i="2"/>
  <c r="BI120" i="2"/>
  <c r="BI105" i="2"/>
  <c r="BI133" i="2"/>
  <c r="BI63" i="2"/>
  <c r="BI124" i="2"/>
  <c r="BI21" i="2"/>
  <c r="BI55" i="2"/>
  <c r="BI171" i="2"/>
  <c r="BI23" i="2"/>
  <c r="BI186" i="2"/>
  <c r="BI57" i="2"/>
  <c r="BI90" i="2"/>
  <c r="BI61" i="2"/>
  <c r="BI13" i="2"/>
  <c r="BI85" i="2"/>
  <c r="BI126" i="2"/>
  <c r="BI87" i="2"/>
  <c r="BI139" i="2"/>
  <c r="BI187" i="2"/>
  <c r="BI10" i="2"/>
  <c r="BI98" i="2"/>
  <c r="BI142" i="2"/>
  <c r="BI148" i="2"/>
  <c r="BI73" i="2"/>
  <c r="BI6" i="2"/>
  <c r="BI146" i="2"/>
  <c r="BI51" i="2"/>
  <c r="BI165" i="2"/>
  <c r="BI97" i="2"/>
  <c r="BI109" i="2"/>
  <c r="BI75" i="2"/>
  <c r="BI110" i="2"/>
  <c r="BI65" i="2"/>
  <c r="BI190" i="2"/>
  <c r="BI92" i="2"/>
  <c r="BI162" i="2"/>
  <c r="BI39" i="2"/>
  <c r="BI128" i="2"/>
  <c r="BI54" i="2"/>
  <c r="BI199" i="2"/>
  <c r="BI159" i="2"/>
  <c r="BI27" i="2"/>
  <c r="BI93" i="2"/>
  <c r="BI16" i="2"/>
  <c r="BI79" i="2"/>
  <c r="BI83" i="2"/>
  <c r="BI144" i="2"/>
  <c r="BI135" i="2"/>
  <c r="BI160" i="2"/>
  <c r="BI141" i="2"/>
  <c r="BI178" i="2"/>
  <c r="BI116" i="2"/>
  <c r="BI99" i="2"/>
  <c r="BI32" i="2"/>
  <c r="BI72" i="2"/>
  <c r="BI25" i="2"/>
  <c r="BI122" i="2"/>
  <c r="BI64" i="2"/>
  <c r="BI91" i="2"/>
  <c r="BI155" i="2"/>
  <c r="BI202" i="2"/>
  <c r="BI94" i="2"/>
  <c r="BI149" i="2"/>
  <c r="BI48" i="2"/>
  <c r="BI119" i="2"/>
  <c r="BI176" i="2"/>
  <c r="BI113" i="2"/>
  <c r="BI28" i="2"/>
  <c r="BI69" i="2"/>
  <c r="BI42" i="2"/>
  <c r="BI60" i="2"/>
  <c r="BI167" i="2"/>
  <c r="BI35" i="2"/>
  <c r="BI181" i="2"/>
  <c r="BI140" i="2"/>
  <c r="BI84" i="2"/>
  <c r="BI173" i="2"/>
  <c r="BI33" i="2"/>
  <c r="BI62" i="2"/>
  <c r="BI184" i="2"/>
  <c r="BI168" i="2"/>
  <c r="BI112" i="2"/>
  <c r="BI127" i="2"/>
  <c r="BI192" i="2"/>
  <c r="BI5" i="2"/>
  <c r="BI166" i="2"/>
  <c r="BI191" i="2"/>
  <c r="BI179" i="2"/>
  <c r="BI117" i="2"/>
  <c r="BI52" i="2"/>
  <c r="BI37" i="2"/>
  <c r="BI86" i="2"/>
  <c r="BI18" i="2"/>
  <c r="BI185" i="2"/>
  <c r="BI129" i="2"/>
  <c r="BI121" i="2"/>
  <c r="BI30" i="2"/>
  <c r="BI70" i="2"/>
  <c r="BI9" i="2"/>
  <c r="BI115" i="2"/>
  <c r="BI189" i="2"/>
  <c r="BI132" i="2"/>
  <c r="BI153" i="2"/>
  <c r="BI31" i="2"/>
  <c r="BI158" i="2"/>
  <c r="BI24" i="2"/>
  <c r="BI198" i="2"/>
  <c r="BI46" i="2"/>
  <c r="BI43" i="2"/>
  <c r="BI29" i="2"/>
  <c r="BI175" i="2"/>
  <c r="BI41" i="2"/>
  <c r="BI20" i="2"/>
  <c r="BI102" i="2"/>
  <c r="BI12" i="2"/>
  <c r="BI114" i="2"/>
  <c r="BI130" i="2"/>
  <c r="BI26" i="2"/>
  <c r="BI118" i="2"/>
  <c r="BI123" i="2"/>
  <c r="BI66" i="2"/>
  <c r="BI103" i="2"/>
  <c r="BI136" i="2"/>
  <c r="BI8" i="2"/>
  <c r="BI19" i="2"/>
  <c r="BI81" i="2"/>
  <c r="BI67" i="2"/>
  <c r="BI22" i="2"/>
  <c r="BI49" i="2"/>
  <c r="BI7" i="2"/>
  <c r="BI180" i="2"/>
  <c r="BI71" i="2"/>
  <c r="BI3" i="2"/>
  <c r="C8" i="4" s="1"/>
  <c r="E8" i="4" s="1"/>
  <c r="F8" i="4" s="1"/>
  <c r="G8" i="4" s="1"/>
  <c r="L8" i="4" s="1"/>
  <c r="BI125" i="2"/>
  <c r="BI77" i="2"/>
  <c r="BI164" i="2"/>
  <c r="BI88" i="2"/>
  <c r="BI82" i="2"/>
  <c r="BI174" i="2"/>
  <c r="BI172" i="2"/>
  <c r="BI107" i="2"/>
  <c r="BI203" i="2"/>
  <c r="BI138" i="2"/>
  <c r="BI150" i="2"/>
  <c r="BI188" i="2"/>
  <c r="BI183" i="2"/>
  <c r="BI17" i="2"/>
  <c r="BS152" i="2"/>
  <c r="BS153" i="2" l="1"/>
  <c r="P4" i="2"/>
  <c r="Q4" i="2" s="1"/>
  <c r="R4" i="2" s="1"/>
  <c r="T3" i="2" s="1"/>
  <c r="T138" i="2" l="1"/>
  <c r="T102" i="2"/>
  <c r="T69" i="2"/>
  <c r="T61" i="2"/>
  <c r="T50" i="2"/>
  <c r="T109" i="2"/>
  <c r="T191" i="2"/>
  <c r="T23" i="2"/>
  <c r="T64" i="2"/>
  <c r="T165" i="2"/>
  <c r="T202" i="2"/>
  <c r="T200" i="2"/>
  <c r="T185" i="2"/>
  <c r="T19" i="2"/>
  <c r="T45" i="2"/>
  <c r="T83" i="2"/>
  <c r="T177" i="2"/>
  <c r="T9" i="2"/>
  <c r="T13" i="2"/>
  <c r="T118" i="2"/>
  <c r="T157" i="2"/>
  <c r="T84" i="2"/>
  <c r="T198" i="2"/>
  <c r="T189" i="2"/>
  <c r="T49" i="2"/>
  <c r="T163" i="2"/>
  <c r="T162" i="2"/>
  <c r="T85" i="2"/>
  <c r="T147" i="2"/>
  <c r="T134" i="2"/>
  <c r="T125" i="2"/>
  <c r="T21" i="2"/>
  <c r="T114" i="2"/>
  <c r="T70" i="2"/>
  <c r="T82" i="2"/>
  <c r="T196" i="2"/>
  <c r="T176" i="2"/>
  <c r="T173" i="2"/>
  <c r="T197" i="2"/>
  <c r="T52" i="2"/>
  <c r="T42" i="2"/>
  <c r="T156" i="2"/>
  <c r="T108" i="2"/>
  <c r="T105" i="2"/>
  <c r="T137" i="2"/>
  <c r="T29" i="2"/>
  <c r="T124" i="2"/>
  <c r="T78" i="2"/>
  <c r="T93" i="2"/>
  <c r="T20" i="2"/>
  <c r="T53" i="2"/>
  <c r="T149" i="2"/>
  <c r="T80" i="2"/>
  <c r="T113" i="2"/>
  <c r="T193" i="2"/>
  <c r="T146" i="2"/>
  <c r="T186" i="2"/>
  <c r="T172" i="2"/>
  <c r="T132" i="2"/>
  <c r="T104" i="2"/>
  <c r="T5" i="2"/>
  <c r="T59" i="2"/>
  <c r="T184" i="2"/>
  <c r="T115" i="2"/>
  <c r="T66" i="2"/>
  <c r="T56" i="2"/>
  <c r="T180" i="2"/>
  <c r="T34" i="2"/>
  <c r="T201" i="2"/>
  <c r="T38" i="2"/>
  <c r="T77" i="2"/>
  <c r="T169" i="2"/>
  <c r="T187" i="2"/>
  <c r="T145" i="2"/>
  <c r="T79" i="2"/>
  <c r="T103" i="2"/>
  <c r="T106" i="2"/>
  <c r="T112" i="2"/>
  <c r="T117" i="2"/>
  <c r="T123" i="2"/>
  <c r="T31" i="2"/>
  <c r="T168" i="2"/>
  <c r="T107" i="2"/>
  <c r="T11" i="2"/>
  <c r="T60" i="2"/>
  <c r="T7" i="2"/>
  <c r="T122" i="2"/>
  <c r="T43" i="2"/>
  <c r="T90" i="2"/>
  <c r="T58" i="2"/>
  <c r="T76" i="2"/>
  <c r="T86" i="2"/>
  <c r="T35" i="2"/>
  <c r="T141" i="2"/>
  <c r="T98" i="2"/>
  <c r="T10" i="2"/>
  <c r="T153" i="2"/>
  <c r="T33" i="2"/>
  <c r="T142" i="2"/>
  <c r="T24" i="2"/>
  <c r="T158" i="2"/>
  <c r="T120" i="2"/>
  <c r="T159" i="2"/>
  <c r="T28" i="2"/>
  <c r="T140" i="2"/>
  <c r="T194" i="2"/>
  <c r="T81" i="2"/>
  <c r="T175" i="2"/>
  <c r="T41" i="2"/>
  <c r="T136" i="2"/>
  <c r="T155" i="2"/>
  <c r="T111" i="2"/>
  <c r="T14" i="2"/>
  <c r="T116" i="2"/>
  <c r="T154" i="2"/>
  <c r="T6" i="2"/>
  <c r="T161" i="2"/>
  <c r="T203" i="2"/>
  <c r="T63" i="2"/>
  <c r="T100" i="2"/>
  <c r="T144" i="2"/>
  <c r="T167" i="2"/>
  <c r="T150" i="2"/>
  <c r="T131" i="2"/>
  <c r="T181" i="2"/>
  <c r="T119" i="2"/>
  <c r="T36" i="2"/>
  <c r="T152" i="2"/>
  <c r="T27" i="2"/>
  <c r="T92" i="2"/>
  <c r="T178" i="2"/>
  <c r="T67" i="2"/>
  <c r="T22" i="2"/>
  <c r="T32" i="2"/>
  <c r="T95" i="2"/>
  <c r="T192" i="2"/>
  <c r="T94" i="2"/>
  <c r="T87" i="2"/>
  <c r="T55" i="2"/>
  <c r="T190" i="2"/>
  <c r="T74" i="2"/>
  <c r="T26" i="2"/>
  <c r="T171" i="2"/>
  <c r="T126" i="2"/>
  <c r="T127" i="2"/>
  <c r="T16" i="2"/>
  <c r="T170" i="2"/>
  <c r="T48" i="2"/>
  <c r="T148" i="2"/>
  <c r="T25" i="2"/>
  <c r="T46" i="2"/>
  <c r="T57" i="2"/>
  <c r="T164" i="2"/>
  <c r="T135" i="2"/>
  <c r="T195" i="2"/>
  <c r="T110" i="2"/>
  <c r="T68" i="2"/>
  <c r="T12" i="2"/>
  <c r="T75" i="2"/>
  <c r="T160" i="2"/>
  <c r="T65" i="2"/>
  <c r="T51" i="2"/>
  <c r="T166" i="2"/>
  <c r="T151" i="2"/>
  <c r="T47" i="2"/>
  <c r="T88" i="2"/>
  <c r="T30" i="2"/>
  <c r="T97" i="2"/>
  <c r="T139" i="2"/>
  <c r="T182" i="2"/>
  <c r="T37" i="2"/>
  <c r="T54" i="2"/>
  <c r="T183" i="2"/>
  <c r="T44" i="2"/>
  <c r="T89" i="2"/>
  <c r="T99" i="2"/>
  <c r="T143" i="2"/>
  <c r="T129" i="2"/>
  <c r="T188" i="2"/>
  <c r="T130" i="2"/>
  <c r="T15" i="2"/>
  <c r="T101" i="2"/>
  <c r="T91" i="2"/>
  <c r="T8" i="2"/>
  <c r="T128" i="2"/>
  <c r="T4" i="2"/>
  <c r="T72" i="2"/>
  <c r="T96" i="2"/>
  <c r="T71" i="2"/>
  <c r="T18" i="2"/>
  <c r="T174" i="2"/>
  <c r="T121" i="2"/>
  <c r="T17" i="2"/>
  <c r="T199" i="2"/>
  <c r="T62" i="2"/>
  <c r="T73" i="2"/>
  <c r="T179" i="2"/>
  <c r="T40" i="2"/>
  <c r="T133" i="2"/>
  <c r="T39" i="2"/>
  <c r="S3" i="2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<sst xmlns="http://schemas.openxmlformats.org/spreadsheetml/2006/main" count="1175" uniqueCount="324">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</sst>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2.0076691401730753</c:v>
                </c:pt>
                <c:pt idx="2">
                  <c:v>3.0204727427569629</c:v>
                </c:pt>
                <c:pt idx="3">
                  <c:v>4.5465756065723992</c:v>
                </c:pt>
                <c:pt idx="4">
                  <c:v>6.847252261759448</c:v>
                </c:pt>
                <c:pt idx="5">
                  <c:v>10.317303498204549</c:v>
                </c:pt>
                <c:pt idx="6">
                  <c:v>19.734788481110968</c:v>
                </c:pt>
                <c:pt idx="7">
                  <c:v>29.017487255832368</c:v>
                </c:pt>
                <c:pt idx="8">
                  <c:v>38.216195465698014</c:v>
                </c:pt>
                <c:pt idx="9">
                  <c:v>47.354306098260764</c:v>
                </c:pt>
                <c:pt idx="10">
                  <c:v>56.445264841105022</c:v>
                </c:pt>
                <c:pt idx="11">
                  <c:v>71.466039241208492</c:v>
                </c:pt>
                <c:pt idx="12">
                  <c:v>86.405580026801672</c:v>
                </c:pt>
                <c:pt idx="13">
                  <c:v>101.27998708064882</c:v>
                </c:pt>
                <c:pt idx="14">
                  <c:v>116.10020483866403</c:v>
                </c:pt>
                <c:pt idx="15">
                  <c:v>130.87413940461224</c:v>
                </c:pt>
                <c:pt idx="16">
                  <c:v>149.74945054946923</c:v>
                </c:pt>
                <c:pt idx="17">
                  <c:v>168.56798458327765</c:v>
                </c:pt>
                <c:pt idx="18">
                  <c:v>187.33697736431432</c:v>
                </c:pt>
                <c:pt idx="19">
                  <c:v>206.06209310432746</c:v>
                </c:pt>
                <c:pt idx="20">
                  <c:v>224.74788086233397</c:v>
                </c:pt>
                <c:pt idx="21">
                  <c:v>244.24501316072266</c:v>
                </c:pt>
                <c:pt idx="22">
                  <c:v>263.70677551381755</c:v>
                </c:pt>
                <c:pt idx="23">
                  <c:v>283.13614494998609</c:v>
                </c:pt>
                <c:pt idx="24">
                  <c:v>302.53565644129509</c:v>
                </c:pt>
                <c:pt idx="25">
                  <c:v>321.90749328325631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1.9782026124077217</c:v>
                </c:pt>
                <c:pt idx="2">
                  <c:v>2.9760844915924642</c:v>
                </c:pt>
                <c:pt idx="3">
                  <c:v>4.4796761095659319</c:v>
                </c:pt>
                <c:pt idx="4">
                  <c:v>6.7463760444110292</c:v>
                </c:pt>
                <c:pt idx="5">
                  <c:v>10.1651222596017</c:v>
                </c:pt>
                <c:pt idx="6">
                  <c:v>19.443161005337881</c:v>
                </c:pt>
                <c:pt idx="7">
                  <c:v>28.588230667282204</c:v>
                </c:pt>
                <c:pt idx="8">
                  <c:v>37.650442085742888</c:v>
                </c:pt>
                <c:pt idx="9">
                  <c:v>46.652872874994749</c:v>
                </c:pt>
                <c:pt idx="10">
                  <c:v>55.608787454173275</c:v>
                </c:pt>
                <c:pt idx="11">
                  <c:v>70.406319068202649</c:v>
                </c:pt>
                <c:pt idx="12">
                  <c:v>85.123712221183354</c:v>
                </c:pt>
                <c:pt idx="13">
                  <c:v>99.776849744817127</c:v>
                </c:pt>
                <c:pt idx="14">
                  <c:v>114.37652852727008</c:v>
                </c:pt>
                <c:pt idx="15">
                  <c:v>128.93054808592728</c:v>
                </c:pt>
                <c:pt idx="16">
                  <c:v>147.52481204076642</c:v>
                </c:pt>
                <c:pt idx="17">
                  <c:v>166.06306432691824</c:v>
                </c:pt>
                <c:pt idx="18">
                  <c:v>184.55244325221472</c:v>
                </c:pt>
                <c:pt idx="19">
                  <c:v>202.99853666615977</c:v>
                </c:pt>
                <c:pt idx="20">
                  <c:v>221.40583229949186</c:v>
                </c:pt>
                <c:pt idx="21">
                  <c:v>240.61232616581208</c:v>
                </c:pt>
                <c:pt idx="22">
                  <c:v>259.78392692783899</c:v>
                </c:pt>
                <c:pt idx="23">
                  <c:v>278.92357147904124</c:v>
                </c:pt>
                <c:pt idx="24">
                  <c:v>298.03376061618161</c:v>
                </c:pt>
                <c:pt idx="25">
                  <c:v>317.11664820060696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3.2647516674612578</c:v>
                </c:pt>
                <c:pt idx="2">
                  <c:v>4.0150798908873933</c:v>
                </c:pt>
                <c:pt idx="3">
                  <c:v>4.9385049314225391</c:v>
                </c:pt>
                <c:pt idx="4">
                  <c:v>6.0751007979600642</c:v>
                </c:pt>
                <c:pt idx="5">
                  <c:v>7.4742497420629066</c:v>
                </c:pt>
                <c:pt idx="6">
                  <c:v>9.1968109479427493</c:v>
                </c:pt>
                <c:pt idx="7">
                  <c:v>11.317795916981858</c:v>
                </c:pt>
                <c:pt idx="8">
                  <c:v>13.929669235737409</c:v>
                </c:pt>
                <c:pt idx="9">
                  <c:v>17.14642128331749</c:v>
                </c:pt>
                <c:pt idx="10">
                  <c:v>21.108593857712506</c:v>
                </c:pt>
                <c:pt idx="11">
                  <c:v>25.989482226776222</c:v>
                </c:pt>
                <c:pt idx="12">
                  <c:v>32.002789648745868</c:v>
                </c:pt>
                <c:pt idx="13">
                  <c:v>39.412075321462829</c:v>
                </c:pt>
                <c:pt idx="14">
                  <c:v>48.542416928887945</c:v>
                </c:pt>
                <c:pt idx="15">
                  <c:v>59.794808068333602</c:v>
                </c:pt>
                <c:pt idx="16">
                  <c:v>73.663933325798567</c:v>
                </c:pt>
                <c:pt idx="17">
                  <c:v>90.760115139196031</c:v>
                </c:pt>
                <c:pt idx="18">
                  <c:v>111.83641367495041</c:v>
                </c:pt>
                <c:pt idx="19">
                  <c:v>137.82209218199722</c:v>
                </c:pt>
                <c:pt idx="20">
                  <c:v>169.86394611557276</c:v>
                </c:pt>
                <c:pt idx="21">
                  <c:v>174.85171765460964</c:v>
                </c:pt>
                <c:pt idx="22">
                  <c:v>193.41388724847039</c:v>
                </c:pt>
                <c:pt idx="23">
                  <c:v>211.93462277264021</c:v>
                </c:pt>
                <c:pt idx="24">
                  <c:v>230.41805518522168</c:v>
                </c:pt>
                <c:pt idx="25">
                  <c:v>248.86759792936175</c:v>
                </c:pt>
                <c:pt idx="26">
                  <c:v>267.28611668054049</c:v>
                </c:pt>
                <c:pt idx="27">
                  <c:v>285.67604975379066</c:v>
                </c:pt>
                <c:pt idx="28">
                  <c:v>304.0394958320357</c:v>
                </c:pt>
                <c:pt idx="29">
                  <c:v>322.37827936359571</c:v>
                </c:pt>
                <c:pt idx="30">
                  <c:v>340.6940002860228</c:v>
                </c:pt>
                <c:pt idx="31">
                  <c:v>239.87186299455311</c:v>
                </c:pt>
                <c:pt idx="32">
                  <c:v>264.59256331767239</c:v>
                </c:pt>
                <c:pt idx="33">
                  <c:v>289.26118046969754</c:v>
                </c:pt>
                <c:pt idx="34">
                  <c:v>313.88277839914394</c:v>
                </c:pt>
                <c:pt idx="35">
                  <c:v>338.46156158408763</c:v>
                </c:pt>
                <c:pt idx="36">
                  <c:v>363.00107405424819</c:v>
                </c:pt>
                <c:pt idx="37">
                  <c:v>387.50434170651471</c:v>
                </c:pt>
                <c:pt idx="38">
                  <c:v>411.97397670838632</c:v>
                </c:pt>
                <c:pt idx="39">
                  <c:v>436.41225578619907</c:v>
                </c:pt>
                <c:pt idx="40">
                  <c:v>460.82118005626131</c:v>
                </c:pt>
                <c:pt idx="41">
                  <c:v>361.21763824165782</c:v>
                </c:pt>
                <c:pt idx="42">
                  <c:v>386.16868913120499</c:v>
                </c:pt>
                <c:pt idx="43">
                  <c:v>411.08473407358133</c:v>
                </c:pt>
                <c:pt idx="44">
                  <c:v>435.96819114245881</c:v>
                </c:pt>
                <c:pt idx="45">
                  <c:v>460.82118005626108</c:v>
                </c:pt>
                <c:pt idx="46">
                  <c:v>485.6455734231422</c:v>
                </c:pt>
                <c:pt idx="47">
                  <c:v>510.44303696246652</c:v>
                </c:pt>
                <c:pt idx="48">
                  <c:v>535.21506150486664</c:v>
                </c:pt>
                <c:pt idx="49">
                  <c:v>559.96298876149729</c:v>
                </c:pt>
                <c:pt idx="50">
                  <c:v>584.68803230277865</c:v>
                </c:pt>
                <c:pt idx="51">
                  <c:v>482.54402933920204</c:v>
                </c:pt>
                <c:pt idx="52">
                  <c:v>504.24611149146443</c:v>
                </c:pt>
                <c:pt idx="53">
                  <c:v>525.92844527215686</c:v>
                </c:pt>
                <c:pt idx="54">
                  <c:v>547.59195866062225</c:v>
                </c:pt>
                <c:pt idx="55">
                  <c:v>569.2375002894953</c:v>
                </c:pt>
                <c:pt idx="56">
                  <c:v>590.86584904925041</c:v>
                </c:pt>
                <c:pt idx="57">
                  <c:v>612.47772221420166</c:v>
                </c:pt>
                <c:pt idx="58">
                  <c:v>634.07378236271859</c:v>
                </c:pt>
                <c:pt idx="59">
                  <c:v>655.6546433063462</c:v>
                </c:pt>
                <c:pt idx="60">
                  <c:v>677.22087519835191</c:v>
                </c:pt>
                <c:pt idx="61">
                  <c:v>572.54905767908656</c:v>
                </c:pt>
                <c:pt idx="62">
                  <c:v>591.30707003217458</c:v>
                </c:pt>
                <c:pt idx="63">
                  <c:v>610.05269936148068</c:v>
                </c:pt>
                <c:pt idx="64">
                  <c:v>628.78637942674561</c:v>
                </c:pt>
                <c:pt idx="65">
                  <c:v>647.50851605612252</c:v>
                </c:pt>
                <c:pt idx="66">
                  <c:v>666.21948971680956</c:v>
                </c:pt>
                <c:pt idx="67">
                  <c:v>684.91965778210795</c:v>
                </c:pt>
                <c:pt idx="68">
                  <c:v>703.60935653822696</c:v>
                </c:pt>
                <c:pt idx="69">
                  <c:v>722.28890296696773</c:v>
                </c:pt>
                <c:pt idx="70">
                  <c:v>740.95859633457906</c:v>
                </c:pt>
                <c:pt idx="71">
                  <c:v>634.07378236271859</c:v>
                </c:pt>
                <c:pt idx="72">
                  <c:v>650.37090831156081</c:v>
                </c:pt>
                <c:pt idx="73">
                  <c:v>666.65961644737183</c:v>
                </c:pt>
                <c:pt idx="74">
                  <c:v>682.94014126097647</c:v>
                </c:pt>
                <c:pt idx="75">
                  <c:v>699.21270516041056</c:v>
                </c:pt>
                <c:pt idx="76">
                  <c:v>715.47751936598752</c:v>
                </c:pt>
                <c:pt idx="77">
                  <c:v>731.73478471981036</c:v>
                </c:pt>
                <c:pt idx="78">
                  <c:v>747.9846924196645</c:v>
                </c:pt>
                <c:pt idx="79">
                  <c:v>764.22742468587649</c:v>
                </c:pt>
                <c:pt idx="80">
                  <c:v>780.46315536858265</c:v>
                </c:pt>
                <c:pt idx="81">
                  <c:v>671.9406723023402</c:v>
                </c:pt>
                <c:pt idx="82">
                  <c:v>686.45920058929062</c:v>
                </c:pt>
                <c:pt idx="83">
                  <c:v>700.97143340736932</c:v>
                </c:pt>
                <c:pt idx="84">
                  <c:v>715.47751936598752</c:v>
                </c:pt>
                <c:pt idx="85">
                  <c:v>729.97760056150526</c:v>
                </c:pt>
                <c:pt idx="86">
                  <c:v>744.47181298904843</c:v>
                </c:pt>
                <c:pt idx="87">
                  <c:v>758.96028692061509</c:v>
                </c:pt>
                <c:pt idx="88">
                  <c:v>773.44314725282857</c:v>
                </c:pt>
                <c:pt idx="89">
                  <c:v>787.92051382731586</c:v>
                </c:pt>
                <c:pt idx="90">
                  <c:v>802.39250172633422</c:v>
                </c:pt>
                <c:pt idx="91">
                  <c:v>692.39677543618188</c:v>
                </c:pt>
                <c:pt idx="92">
                  <c:v>705.36785950810452</c:v>
                </c:pt>
                <c:pt idx="93">
                  <c:v>718.33406648410562</c:v>
                </c:pt>
                <c:pt idx="94">
                  <c:v>731.29549675034502</c:v>
                </c:pt>
                <c:pt idx="95">
                  <c:v>744.25224684660077</c:v>
                </c:pt>
                <c:pt idx="96">
                  <c:v>757.20440967943307</c:v>
                </c:pt>
                <c:pt idx="97">
                  <c:v>770.15207472001828</c:v>
                </c:pt>
                <c:pt idx="98">
                  <c:v>783.09532818799471</c:v>
                </c:pt>
                <c:pt idx="99">
                  <c:v>796.0342532225344</c:v>
                </c:pt>
                <c:pt idx="100">
                  <c:v>808.9689300417208</c:v>
                </c:pt>
                <c:pt idx="101">
                  <c:v>699.65239570232279</c:v>
                </c:pt>
                <c:pt idx="102">
                  <c:v>711.08237624927506</c:v>
                </c:pt>
                <c:pt idx="103">
                  <c:v>722.50860312553948</c:v>
                </c:pt>
                <c:pt idx="104">
                  <c:v>733.93114403176025</c:v>
                </c:pt>
                <c:pt idx="105">
                  <c:v>745.35006439052529</c:v>
                </c:pt>
                <c:pt idx="106">
                  <c:v>756.76542745747622</c:v>
                </c:pt>
                <c:pt idx="107">
                  <c:v>768.17729442537427</c:v>
                </c:pt>
                <c:pt idx="108">
                  <c:v>779.58572452165754</c:v>
                </c:pt>
                <c:pt idx="109">
                  <c:v>790.9907751000037</c:v>
                </c:pt>
                <c:pt idx="110">
                  <c:v>802.39250172633331</c:v>
                </c:pt>
                <c:pt idx="111">
                  <c:v>700.31192091117543</c:v>
                </c:pt>
                <c:pt idx="112">
                  <c:v>710.20328112121649</c:v>
                </c:pt>
                <c:pt idx="113">
                  <c:v>720.09182630730982</c:v>
                </c:pt>
                <c:pt idx="114">
                  <c:v>729.97760056150457</c:v>
                </c:pt>
                <c:pt idx="115">
                  <c:v>739.86064668469407</c:v>
                </c:pt>
                <c:pt idx="116">
                  <c:v>749.74100624153164</c:v>
                </c:pt>
                <c:pt idx="117">
                  <c:v>759.6187196123027</c:v>
                </c:pt>
                <c:pt idx="118">
                  <c:v>769.49382604196023</c:v>
                </c:pt>
                <c:pt idx="119">
                  <c:v>779.36636368651273</c:v>
                </c:pt>
                <c:pt idx="120">
                  <c:v>789.23636965694311</c:v>
                </c:pt>
                <c:pt idx="121">
                  <c:v>695.03536213304324</c:v>
                </c:pt>
                <c:pt idx="122">
                  <c:v>704.04899070046156</c:v>
                </c:pt>
                <c:pt idx="123">
                  <c:v>713.06025913016128</c:v>
                </c:pt>
                <c:pt idx="124">
                  <c:v>722.06920144483695</c:v>
                </c:pt>
                <c:pt idx="125">
                  <c:v>731.0758507492377</c:v>
                </c:pt>
                <c:pt idx="126">
                  <c:v>740.08023926617625</c:v>
                </c:pt>
                <c:pt idx="127">
                  <c:v>749.08239837069857</c:v>
                </c:pt>
                <c:pt idx="128">
                  <c:v>758.0823586225232</c:v>
                </c:pt>
                <c:pt idx="129">
                  <c:v>767.08014979686322</c:v>
                </c:pt>
                <c:pt idx="130">
                  <c:v>776.07580091372483</c:v>
                </c:pt>
                <c:pt idx="131">
                  <c:v>687.77875234360965</c:v>
                </c:pt>
                <c:pt idx="132">
                  <c:v>696.13471265297119</c:v>
                </c:pt>
                <c:pt idx="133">
                  <c:v>704.48861924685377</c:v>
                </c:pt>
                <c:pt idx="134">
                  <c:v>712.84049990701249</c:v>
                </c:pt>
                <c:pt idx="135">
                  <c:v>721.19038171126124</c:v>
                </c:pt>
                <c:pt idx="136">
                  <c:v>729.53829105942793</c:v>
                </c:pt>
                <c:pt idx="137">
                  <c:v>737.88425369805907</c:v>
                </c:pt>
                <c:pt idx="138">
                  <c:v>746.2282947439495</c:v>
                </c:pt>
                <c:pt idx="139">
                  <c:v>754.57043870656526</c:v>
                </c:pt>
                <c:pt idx="140">
                  <c:v>762.91070950942469</c:v>
                </c:pt>
                <c:pt idx="141">
                  <c:v>680.30060267646752</c:v>
                </c:pt>
                <c:pt idx="142">
                  <c:v>687.77875234360999</c:v>
                </c:pt>
                <c:pt idx="143">
                  <c:v>695.25523508450681</c:v>
                </c:pt>
                <c:pt idx="144">
                  <c:v>702.73007135019463</c:v>
                </c:pt>
                <c:pt idx="145">
                  <c:v>710.20328112121695</c:v>
                </c:pt>
                <c:pt idx="146">
                  <c:v>717.67488392339067</c:v>
                </c:pt>
                <c:pt idx="147">
                  <c:v>725.14489884288378</c:v>
                </c:pt>
                <c:pt idx="148">
                  <c:v>732.61334454063854</c:v>
                </c:pt>
                <c:pt idx="149">
                  <c:v>740.08023926617625</c:v>
                </c:pt>
                <c:pt idx="150">
                  <c:v>747.54560087081654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3.5461991231226953</c:v>
                </c:pt>
                <c:pt idx="2">
                  <c:v>4.3614421623073083</c:v>
                </c:pt>
                <c:pt idx="3">
                  <c:v>5.3648076300786123</c:v>
                </c:pt>
                <c:pt idx="4">
                  <c:v>6.599858991574667</c:v>
                </c:pt>
                <c:pt idx="5">
                  <c:v>8.1202808119577643</c:v>
                </c:pt>
                <c:pt idx="6">
                  <c:v>9.9922373337011123</c:v>
                </c:pt>
                <c:pt idx="7">
                  <c:v>12.297282221648215</c:v>
                </c:pt>
                <c:pt idx="8">
                  <c:v>15.135948605306281</c:v>
                </c:pt>
                <c:pt idx="9">
                  <c:v>18.632178871024148</c:v>
                </c:pt>
                <c:pt idx="10">
                  <c:v>22.938791115606964</c:v>
                </c:pt>
                <c:pt idx="11">
                  <c:v>28.244225449910545</c:v>
                </c:pt>
                <c:pt idx="12">
                  <c:v>34.780870515742855</c:v>
                </c:pt>
                <c:pt idx="13">
                  <c:v>42.835341222989307</c:v>
                </c:pt>
                <c:pt idx="14">
                  <c:v>52.761166004833903</c:v>
                </c:pt>
                <c:pt idx="15">
                  <c:v>64.994449757153745</c:v>
                </c:pt>
                <c:pt idx="16">
                  <c:v>80.073211932681616</c:v>
                </c:pt>
                <c:pt idx="17">
                  <c:v>98.661264009590909</c:v>
                </c:pt>
                <c:pt idx="18">
                  <c:v>121.57769417732584</c:v>
                </c:pt>
                <c:pt idx="19">
                  <c:v>149.83327876735424</c:v>
                </c:pt>
                <c:pt idx="20">
                  <c:v>184.67545106520129</c:v>
                </c:pt>
                <c:pt idx="21">
                  <c:v>190.09925047577488</c:v>
                </c:pt>
                <c:pt idx="22">
                  <c:v>210.28436201274792</c:v>
                </c:pt>
                <c:pt idx="23">
                  <c:v>230.42477741414237</c:v>
                </c:pt>
                <c:pt idx="24">
                  <c:v>250.52495286456181</c:v>
                </c:pt>
                <c:pt idx="25">
                  <c:v>270.5885705443672</c:v>
                </c:pt>
                <c:pt idx="26">
                  <c:v>290.61872174101194</c:v>
                </c:pt>
                <c:pt idx="27">
                  <c:v>310.61803673581045</c:v>
                </c:pt>
                <c:pt idx="28">
                  <c:v>330.58877943904673</c:v>
                </c:pt>
                <c:pt idx="29">
                  <c:v>350.53291793616535</c:v>
                </c:pt>
                <c:pt idx="30">
                  <c:v>370.45217812631859</c:v>
                </c:pt>
                <c:pt idx="31">
                  <c:v>260.80580020638394</c:v>
                </c:pt>
                <c:pt idx="32">
                  <c:v>287.689464559567</c:v>
                </c:pt>
                <c:pt idx="33">
                  <c:v>314.51694528188904</c:v>
                </c:pt>
                <c:pt idx="34">
                  <c:v>341.29370500183649</c:v>
                </c:pt>
                <c:pt idx="35">
                  <c:v>368.02427921214593</c:v>
                </c:pt>
                <c:pt idx="36">
                  <c:v>394.71249096071057</c:v>
                </c:pt>
                <c:pt idx="37">
                  <c:v>421.36160437047585</c:v>
                </c:pt>
                <c:pt idx="38">
                  <c:v>447.97443726246598</c:v>
                </c:pt>
                <c:pt idx="39">
                  <c:v>474.55344560757021</c:v>
                </c:pt>
                <c:pt idx="40">
                  <c:v>501.10078806812868</c:v>
                </c:pt>
                <c:pt idx="41">
                  <c:v>392.77288499367563</c:v>
                </c:pt>
                <c:pt idx="42">
                  <c:v>419.90897567643827</c:v>
                </c:pt>
                <c:pt idx="43">
                  <c:v>447.00730442626786</c:v>
                </c:pt>
                <c:pt idx="44">
                  <c:v>474.07047968953481</c:v>
                </c:pt>
                <c:pt idx="45">
                  <c:v>501.10078806812857</c:v>
                </c:pt>
                <c:pt idx="46">
                  <c:v>528.100249598907</c:v>
                </c:pt>
                <c:pt idx="47">
                  <c:v>555.0706611417753</c:v>
                </c:pt>
                <c:pt idx="48">
                  <c:v>582.01363089907932</c:v>
                </c:pt>
                <c:pt idx="49">
                  <c:v>608.93060621364907</c:v>
                </c:pt>
                <c:pt idx="50">
                  <c:v>635.82289619917879</c:v>
                </c:pt>
                <c:pt idx="51">
                  <c:v>524.72694048857716</c:v>
                </c:pt>
                <c:pt idx="52">
                  <c:v>548.33069080140501</c:v>
                </c:pt>
                <c:pt idx="53">
                  <c:v>571.91313797168038</c:v>
                </c:pt>
                <c:pt idx="54">
                  <c:v>595.4752830376998</c:v>
                </c:pt>
                <c:pt idx="55">
                  <c:v>619.01804144415826</c:v>
                </c:pt>
                <c:pt idx="56">
                  <c:v>642.54225340285473</c:v>
                </c:pt>
                <c:pt idx="57">
                  <c:v>666.04869265844513</c:v>
                </c:pt>
                <c:pt idx="58">
                  <c:v>689.53807395347974</c:v>
                </c:pt>
                <c:pt idx="59">
                  <c:v>713.0110594243173</c:v>
                </c:pt>
                <c:pt idx="60">
                  <c:v>736.46826411186339</c:v>
                </c:pt>
                <c:pt idx="61">
                  <c:v>622.61986825128395</c:v>
                </c:pt>
                <c:pt idx="62">
                  <c:v>643.0221517812945</c:v>
                </c:pt>
                <c:pt idx="63">
                  <c:v>663.41107738354322</c:v>
                </c:pt>
                <c:pt idx="64">
                  <c:v>683.78711296727215</c:v>
                </c:pt>
                <c:pt idx="65">
                  <c:v>704.1506963111093</c:v>
                </c:pt>
                <c:pt idx="66">
                  <c:v>724.50223783608226</c:v>
                </c:pt>
                <c:pt idx="67">
                  <c:v>744.84212305116091</c:v>
                </c:pt>
                <c:pt idx="68">
                  <c:v>765.17071471805582</c:v>
                </c:pt>
                <c:pt idx="69">
                  <c:v>785.48835477425189</c:v>
                </c:pt>
                <c:pt idx="70">
                  <c:v>805.79536604695193</c:v>
                </c:pt>
                <c:pt idx="71">
                  <c:v>689.53807395347974</c:v>
                </c:pt>
                <c:pt idx="72">
                  <c:v>707.26405515290605</c:v>
                </c:pt>
                <c:pt idx="73">
                  <c:v>724.98095581268672</c:v>
                </c:pt>
                <c:pt idx="74">
                  <c:v>742.68902888489129</c:v>
                </c:pt>
                <c:pt idx="75">
                  <c:v>760.38851428753435</c:v>
                </c:pt>
                <c:pt idx="76">
                  <c:v>778.07963987010896</c:v>
                </c:pt>
                <c:pt idx="77">
                  <c:v>795.76262228683026</c:v>
                </c:pt>
                <c:pt idx="78">
                  <c:v>813.43766778830798</c:v>
                </c:pt>
                <c:pt idx="79">
                  <c:v>831.10497294090612</c:v>
                </c:pt>
                <c:pt idx="80">
                  <c:v>848.7647252818216</c:v>
                </c:pt>
                <c:pt idx="81">
                  <c:v>730.72507001808754</c:v>
                </c:pt>
                <c:pt idx="82">
                  <c:v>746.51666430429543</c:v>
                </c:pt>
                <c:pt idx="83">
                  <c:v>762.30146748520554</c:v>
                </c:pt>
                <c:pt idx="84">
                  <c:v>778.07963987010896</c:v>
                </c:pt>
                <c:pt idx="85">
                  <c:v>793.85133474248084</c:v>
                </c:pt>
                <c:pt idx="86">
                  <c:v>809.61669880421744</c:v>
                </c:pt>
                <c:pt idx="87">
                  <c:v>825.37587258351004</c:v>
                </c:pt>
                <c:pt idx="88">
                  <c:v>841.12899080997715</c:v>
                </c:pt>
                <c:pt idx="89">
                  <c:v>856.87618276026717</c:v>
                </c:pt>
                <c:pt idx="90">
                  <c:v>872.61757257695501</c:v>
                </c:pt>
                <c:pt idx="91">
                  <c:v>752.97489534807448</c:v>
                </c:pt>
                <c:pt idx="92">
                  <c:v>767.08342490278994</c:v>
                </c:pt>
                <c:pt idx="93">
                  <c:v>781.18669339234384</c:v>
                </c:pt>
                <c:pt idx="94">
                  <c:v>795.28480910620613</c:v>
                </c:pt>
                <c:pt idx="95">
                  <c:v>809.37787618464108</c:v>
                </c:pt>
                <c:pt idx="96">
                  <c:v>823.46599484865703</c:v>
                </c:pt>
                <c:pt idx="97">
                  <c:v>837.54926161341257</c:v>
                </c:pt>
                <c:pt idx="98">
                  <c:v>851.62776948653845</c:v>
                </c:pt>
                <c:pt idx="99">
                  <c:v>865.70160815267627</c:v>
                </c:pt>
                <c:pt idx="100">
                  <c:v>879.77086414540565</c:v>
                </c:pt>
                <c:pt idx="101">
                  <c:v>760.86676173476098</c:v>
                </c:pt>
                <c:pt idx="102">
                  <c:v>773.2990664446894</c:v>
                </c:pt>
                <c:pt idx="103">
                  <c:v>785.72732196091738</c:v>
                </c:pt>
                <c:pt idx="104">
                  <c:v>798.151601314098</c:v>
                </c:pt>
                <c:pt idx="105">
                  <c:v>810.57197507747867</c:v>
                </c:pt>
                <c:pt idx="106">
                  <c:v>822.98851148675942</c:v>
                </c:pt>
                <c:pt idx="107">
                  <c:v>835.40127655234994</c:v>
                </c:pt>
                <c:pt idx="108">
                  <c:v>847.81033416461094</c:v>
                </c:pt>
                <c:pt idx="109">
                  <c:v>860.21574619262094</c:v>
                </c:pt>
                <c:pt idx="110">
                  <c:v>872.61757257695433</c:v>
                </c:pt>
                <c:pt idx="111">
                  <c:v>761.58412146674038</c:v>
                </c:pt>
                <c:pt idx="112">
                  <c:v>772.34288001903485</c:v>
                </c:pt>
                <c:pt idx="113">
                  <c:v>783.09860192315625</c:v>
                </c:pt>
                <c:pt idx="114">
                  <c:v>793.85133474248016</c:v>
                </c:pt>
                <c:pt idx="115">
                  <c:v>804.60112464757412</c:v>
                </c:pt>
                <c:pt idx="116">
                  <c:v>815.34801647543861</c:v>
                </c:pt>
                <c:pt idx="117">
                  <c:v>826.09205378546085</c:v>
                </c:pt>
                <c:pt idx="118">
                  <c:v>836.83327891231329</c:v>
                </c:pt>
                <c:pt idx="119">
                  <c:v>847.57173301599107</c:v>
                </c:pt>
                <c:pt idx="120">
                  <c:v>858.30745612919088</c:v>
                </c:pt>
                <c:pt idx="121">
                  <c:v>755.8448583888653</c:v>
                </c:pt>
                <c:pt idx="122">
                  <c:v>765.64890134688494</c:v>
                </c:pt>
                <c:pt idx="123">
                  <c:v>775.45039835573198</c:v>
                </c:pt>
                <c:pt idx="124">
                  <c:v>785.24938611667619</c:v>
                </c:pt>
                <c:pt idx="125">
                  <c:v>795.04590034077194</c:v>
                </c:pt>
                <c:pt idx="126">
                  <c:v>804.83997578770538</c:v>
                </c:pt>
                <c:pt idx="127">
                  <c:v>814.63164630265021</c:v>
                </c:pt>
                <c:pt idx="128">
                  <c:v>824.42094485126347</c:v>
                </c:pt>
                <c:pt idx="129">
                  <c:v>834.20790355293263</c:v>
                </c:pt>
                <c:pt idx="130">
                  <c:v>843.99255371238257</c:v>
                </c:pt>
                <c:pt idx="131">
                  <c:v>747.95192457463543</c:v>
                </c:pt>
                <c:pt idx="132">
                  <c:v>757.04061094748533</c:v>
                </c:pt>
                <c:pt idx="133">
                  <c:v>766.12708191774163</c:v>
                </c:pt>
                <c:pt idx="134">
                  <c:v>775.21136745439014</c:v>
                </c:pt>
                <c:pt idx="135">
                  <c:v>784.29349676705635</c:v>
                </c:pt>
                <c:pt idx="136">
                  <c:v>793.37349833400219</c:v>
                </c:pt>
                <c:pt idx="137">
                  <c:v>802.45139992877557</c:v>
                </c:pt>
                <c:pt idx="138">
                  <c:v>811.52722864559394</c:v>
                </c:pt>
                <c:pt idx="139">
                  <c:v>820.60101092353023</c:v>
                </c:pt>
                <c:pt idx="140">
                  <c:v>829.67277256957925</c:v>
                </c:pt>
                <c:pt idx="141">
                  <c:v>739.81803901522142</c:v>
                </c:pt>
                <c:pt idx="142">
                  <c:v>747.95192457463554</c:v>
                </c:pt>
                <c:pt idx="143">
                  <c:v>756.08401197224691</c:v>
                </c:pt>
                <c:pt idx="144">
                  <c:v>764.21432326918227</c:v>
                </c:pt>
                <c:pt idx="145">
                  <c:v>772.34288001903542</c:v>
                </c:pt>
                <c:pt idx="146">
                  <c:v>780.46970328487248</c:v>
                </c:pt>
                <c:pt idx="147">
                  <c:v>788.59481365549789</c:v>
                </c:pt>
                <c:pt idx="148">
                  <c:v>796.71823126101242</c:v>
                </c:pt>
                <c:pt idx="149">
                  <c:v>804.83997578770538</c:v>
                </c:pt>
                <c:pt idx="150">
                  <c:v>812.96006649231424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3.1707548346542</c:v>
                </c:pt>
                <c:pt idx="2">
                  <c:v>3.8994070069335893</c:v>
                </c:pt>
                <c:pt idx="3">
                  <c:v>4.7961395743139903</c:v>
                </c:pt>
                <c:pt idx="4">
                  <c:v>5.8998617479716442</c:v>
                </c:pt>
                <c:pt idx="5">
                  <c:v>7.2585196858425398</c:v>
                </c:pt>
                <c:pt idx="6">
                  <c:v>8.9312018151497536</c:v>
                </c:pt>
                <c:pt idx="7">
                  <c:v>10.990736010102614</c:v>
                </c:pt>
                <c:pt idx="8">
                  <c:v>13.526893830411311</c:v>
                </c:pt>
                <c:pt idx="9">
                  <c:v>16.650344073811482</c:v>
                </c:pt>
                <c:pt idx="10">
                  <c:v>20.497531306964643</c:v>
                </c:pt>
                <c:pt idx="11">
                  <c:v>25.23669631396508</c:v>
                </c:pt>
                <c:pt idx="12">
                  <c:v>31.075306394532003</c:v>
                </c:pt>
                <c:pt idx="13">
                  <c:v>38.269226447074438</c:v>
                </c:pt>
                <c:pt idx="14">
                  <c:v>47.134039619059727</c:v>
                </c:pt>
                <c:pt idx="15">
                  <c:v>58.059022502120392</c:v>
                </c:pt>
                <c:pt idx="16">
                  <c:v>71.524398723990075</c:v>
                </c:pt>
                <c:pt idx="17">
                  <c:v>88.122641699910204</c:v>
                </c:pt>
                <c:pt idx="18">
                  <c:v>108.58477887574996</c:v>
                </c:pt>
                <c:pt idx="19">
                  <c:v>133.81287421387319</c:v>
                </c:pt>
                <c:pt idx="20">
                  <c:v>164.92014306911736</c:v>
                </c:pt>
                <c:pt idx="21">
                  <c:v>169.76239561427795</c:v>
                </c:pt>
                <c:pt idx="22">
                  <c:v>187.78293231583095</c:v>
                </c:pt>
                <c:pt idx="23">
                  <c:v>205.7631297377508</c:v>
                </c:pt>
                <c:pt idx="24">
                  <c:v>223.70700968806386</c:v>
                </c:pt>
                <c:pt idx="25">
                  <c:v>241.61789541835174</c:v>
                </c:pt>
                <c:pt idx="26">
                  <c:v>259.49857688589776</c:v>
                </c:pt>
                <c:pt idx="27">
                  <c:v>277.35142797945298</c:v>
                </c:pt>
                <c:pt idx="28">
                  <c:v>295.17849192957459</c:v>
                </c:pt>
                <c:pt idx="29">
                  <c:v>312.98154497816967</c:v>
                </c:pt>
                <c:pt idx="30">
                  <c:v>330.76214478850403</c:v>
                </c:pt>
                <c:pt idx="31">
                  <c:v>232.88481320255323</c:v>
                </c:pt>
                <c:pt idx="32">
                  <c:v>256.88368281077413</c:v>
                </c:pt>
                <c:pt idx="33">
                  <c:v>280.83184541341694</c:v>
                </c:pt>
                <c:pt idx="34">
                  <c:v>304.73423115701871</c:v>
                </c:pt>
                <c:pt idx="35">
                  <c:v>328.59493342700091</c:v>
                </c:pt>
                <c:pt idx="36">
                  <c:v>352.41740261109879</c:v>
                </c:pt>
                <c:pt idx="37">
                  <c:v>376.20458465456113</c:v>
                </c:pt>
                <c:pt idx="38">
                  <c:v>399.95902270499568</c:v>
                </c:pt>
                <c:pt idx="39">
                  <c:v>423.68293333202695</c:v>
                </c:pt>
                <c:pt idx="40">
                  <c:v>447.37826477754771</c:v>
                </c:pt>
                <c:pt idx="41">
                  <c:v>350.68608221443077</c:v>
                </c:pt>
                <c:pt idx="42">
                  <c:v>374.90796779687236</c:v>
                </c:pt>
                <c:pt idx="43">
                  <c:v>399.09577237538946</c:v>
                </c:pt>
                <c:pt idx="44">
                  <c:v>423.2518501321984</c:v>
                </c:pt>
                <c:pt idx="45">
                  <c:v>447.37826477754749</c:v>
                </c:pt>
                <c:pt idx="46">
                  <c:v>471.4768394406762</c:v>
                </c:pt>
                <c:pt idx="47">
                  <c:v>495.54919582854518</c:v>
                </c:pt>
                <c:pt idx="48">
                  <c:v>519.59678538037394</c:v>
                </c:pt>
                <c:pt idx="49">
                  <c:v>543.62091435600757</c:v>
                </c:pt>
                <c:pt idx="50">
                  <c:v>567.62276426035055</c:v>
                </c:pt>
                <c:pt idx="51">
                  <c:v>468.4659829266057</c:v>
                </c:pt>
                <c:pt idx="52">
                  <c:v>489.53348266366947</c:v>
                </c:pt>
                <c:pt idx="53">
                  <c:v>510.58175582972518</c:v>
                </c:pt>
                <c:pt idx="54">
                  <c:v>531.61170588461891</c:v>
                </c:pt>
                <c:pt idx="55">
                  <c:v>552.62415903802309</c:v>
                </c:pt>
                <c:pt idx="56">
                  <c:v>573.61987360020942</c:v>
                </c:pt>
                <c:pt idx="57">
                  <c:v>594.59954789333995</c:v>
                </c:pt>
                <c:pt idx="58">
                  <c:v>615.56382698883374</c:v>
                </c:pt>
                <c:pt idx="59">
                  <c:v>636.51330847982445</c:v>
                </c:pt>
                <c:pt idx="60">
                  <c:v>657.44854745472787</c:v>
                </c:pt>
                <c:pt idx="61">
                  <c:v>555.83885570776647</c:v>
                </c:pt>
                <c:pt idx="62">
                  <c:v>574.04818827573661</c:v>
                </c:pt>
                <c:pt idx="63">
                  <c:v>592.24546500987799</c:v>
                </c:pt>
                <c:pt idx="64">
                  <c:v>610.43110820893173</c:v>
                </c:pt>
                <c:pt idx="65">
                  <c:v>628.60551297807297</c:v>
                </c:pt>
                <c:pt idx="66">
                  <c:v>646.7690497316205</c:v>
                </c:pt>
                <c:pt idx="67">
                  <c:v>664.92206640019344</c:v>
                </c:pt>
                <c:pt idx="68">
                  <c:v>683.06489038449229</c:v>
                </c:pt>
                <c:pt idx="69">
                  <c:v>701.19783029087921</c:v>
                </c:pt>
                <c:pt idx="70">
                  <c:v>719.32117747825214</c:v>
                </c:pt>
                <c:pt idx="71">
                  <c:v>615.56382698883374</c:v>
                </c:pt>
                <c:pt idx="72">
                  <c:v>631.38416072508016</c:v>
                </c:pt>
                <c:pt idx="73">
                  <c:v>647.19629906762532</c:v>
                </c:pt>
                <c:pt idx="74">
                  <c:v>663.0004703114696</c:v>
                </c:pt>
                <c:pt idx="75">
                  <c:v>678.79689098808103</c:v>
                </c:pt>
                <c:pt idx="76">
                  <c:v>694.58576673681318</c:v>
                </c:pt>
                <c:pt idx="77">
                  <c:v>710.36729309302621</c:v>
                </c:pt>
                <c:pt idx="78">
                  <c:v>726.14165620258984</c:v>
                </c:pt>
                <c:pt idx="79">
                  <c:v>741.90903347112101</c:v>
                </c:pt>
                <c:pt idx="80">
                  <c:v>757.6695941552083</c:v>
                </c:pt>
                <c:pt idx="81">
                  <c:v>652.32283847201791</c:v>
                </c:pt>
                <c:pt idx="82">
                  <c:v>666.41656212645069</c:v>
                </c:pt>
                <c:pt idx="83">
                  <c:v>680.50415665378739</c:v>
                </c:pt>
                <c:pt idx="84">
                  <c:v>694.58576673681318</c:v>
                </c:pt>
                <c:pt idx="85">
                  <c:v>708.66153071735243</c:v>
                </c:pt>
                <c:pt idx="86">
                  <c:v>722.73158099720592</c:v>
                </c:pt>
                <c:pt idx="87">
                  <c:v>736.79604440626406</c:v>
                </c:pt>
                <c:pt idx="88">
                  <c:v>750.85504254107457</c:v>
                </c:pt>
                <c:pt idx="89">
                  <c:v>764.90869207675394</c:v>
                </c:pt>
                <c:pt idx="90">
                  <c:v>778.95710505480292</c:v>
                </c:pt>
                <c:pt idx="91">
                  <c:v>672.18040143052701</c:v>
                </c:pt>
                <c:pt idx="92">
                  <c:v>684.7719367254922</c:v>
                </c:pt>
                <c:pt idx="93">
                  <c:v>697.35872378940837</c:v>
                </c:pt>
                <c:pt idx="94">
                  <c:v>709.94086035598673</c:v>
                </c:pt>
                <c:pt idx="95">
                  <c:v>722.51844041418633</c:v>
                </c:pt>
                <c:pt idx="96">
                  <c:v>735.09155441574785</c:v>
                </c:pt>
                <c:pt idx="97">
                  <c:v>747.66028946779886</c:v>
                </c:pt>
                <c:pt idx="98">
                  <c:v>760.22472951184284</c:v>
                </c:pt>
                <c:pt idx="99">
                  <c:v>772.78495549031049</c:v>
                </c:pt>
                <c:pt idx="100">
                  <c:v>785.34104550172606</c:v>
                </c:pt>
                <c:pt idx="101">
                  <c:v>679.22371566061327</c:v>
                </c:pt>
                <c:pt idx="102">
                  <c:v>690.31923574953692</c:v>
                </c:pt>
                <c:pt idx="103">
                  <c:v>701.41110134898702</c:v>
                </c:pt>
                <c:pt idx="104">
                  <c:v>712.49937837079051</c:v>
                </c:pt>
                <c:pt idx="105">
                  <c:v>723.58413050890897</c:v>
                </c:pt>
                <c:pt idx="106">
                  <c:v>734.66541934761528</c:v>
                </c:pt>
                <c:pt idx="107">
                  <c:v>745.74330446280658</c:v>
                </c:pt>
                <c:pt idx="108">
                  <c:v>756.81784351698661</c:v>
                </c:pt>
                <c:pt idx="109">
                  <c:v>767.88909234840776</c:v>
                </c:pt>
                <c:pt idx="110">
                  <c:v>778.95710505480213</c:v>
                </c:pt>
                <c:pt idx="111">
                  <c:v>679.86394234557974</c:v>
                </c:pt>
                <c:pt idx="112">
                  <c:v>689.4658648045837</c:v>
                </c:pt>
                <c:pt idx="113">
                  <c:v>699.06504661949828</c:v>
                </c:pt>
                <c:pt idx="114">
                  <c:v>708.66153071735198</c:v>
                </c:pt>
                <c:pt idx="115">
                  <c:v>718.25535876813331</c:v>
                </c:pt>
                <c:pt idx="116">
                  <c:v>727.84657123825548</c:v>
                </c:pt>
                <c:pt idx="117">
                  <c:v>737.43520744105683</c:v>
                </c:pt>
                <c:pt idx="118">
                  <c:v>747.02130558454246</c:v>
                </c:pt>
                <c:pt idx="119">
                  <c:v>756.60490281654575</c:v>
                </c:pt>
                <c:pt idx="120">
                  <c:v>766.18603526748541</c:v>
                </c:pt>
                <c:pt idx="121">
                  <c:v>674.74178119418968</c:v>
                </c:pt>
                <c:pt idx="122">
                  <c:v>683.49166016703657</c:v>
                </c:pt>
                <c:pt idx="123">
                  <c:v>692.23924136280982</c:v>
                </c:pt>
                <c:pt idx="124">
                  <c:v>700.9845579052411</c:v>
                </c:pt>
                <c:pt idx="125">
                  <c:v>709.7276420243694</c:v>
                </c:pt>
                <c:pt idx="126">
                  <c:v>718.46852509160283</c:v>
                </c:pt>
                <c:pt idx="127">
                  <c:v>727.20723765298089</c:v>
                </c:pt>
                <c:pt idx="128">
                  <c:v>735.94380946075933</c:v>
                </c:pt>
                <c:pt idx="129">
                  <c:v>744.67826950341612</c:v>
                </c:pt>
                <c:pt idx="130">
                  <c:v>753.41064603417863</c:v>
                </c:pt>
                <c:pt idx="131">
                  <c:v>667.69750358645092</c:v>
                </c:pt>
                <c:pt idx="132">
                  <c:v>675.80896375991847</c:v>
                </c:pt>
                <c:pt idx="133">
                  <c:v>683.91842448212276</c:v>
                </c:pt>
                <c:pt idx="134">
                  <c:v>692.02591280075649</c:v>
                </c:pt>
                <c:pt idx="135">
                  <c:v>700.1314550781708</c:v>
                </c:pt>
                <c:pt idx="136">
                  <c:v>708.2350770166455</c:v>
                </c:pt>
                <c:pt idx="137">
                  <c:v>716.33680368243984</c:v>
                </c:pt>
                <c:pt idx="138">
                  <c:v>724.4366595287014</c:v>
                </c:pt>
                <c:pt idx="139">
                  <c:v>732.53466841729551</c:v>
                </c:pt>
                <c:pt idx="140">
                  <c:v>740.63085363962216</c:v>
                </c:pt>
                <c:pt idx="141">
                  <c:v>660.4381638113731</c:v>
                </c:pt>
                <c:pt idx="142">
                  <c:v>667.69750358645115</c:v>
                </c:pt>
                <c:pt idx="143">
                  <c:v>674.95522047957581</c:v>
                </c:pt>
                <c:pt idx="144">
                  <c:v>682.2113344014175</c:v>
                </c:pt>
                <c:pt idx="145">
                  <c:v>689.46586480458427</c:v>
                </c:pt>
                <c:pt idx="146">
                  <c:v>696.71883069897274</c:v>
                </c:pt>
                <c:pt idx="147">
                  <c:v>703.97025066644767</c:v>
                </c:pt>
                <c:pt idx="148">
                  <c:v>711.22014287488275</c:v>
                </c:pt>
                <c:pt idx="149">
                  <c:v>718.46852509160283</c:v>
                </c:pt>
                <c:pt idx="150">
                  <c:v>725.71541469625129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2.9824708137834541</c:v>
                </c:pt>
                <c:pt idx="2">
                  <c:v>3.6677102841368421</c:v>
                </c:pt>
                <c:pt idx="3">
                  <c:v>4.5109846579121706</c:v>
                </c:pt>
                <c:pt idx="4">
                  <c:v>5.5488709111756451</c:v>
                </c:pt>
                <c:pt idx="5">
                  <c:v>6.8264398240106265</c:v>
                </c:pt>
                <c:pt idx="6">
                  <c:v>8.3992344531589023</c:v>
                </c:pt>
                <c:pt idx="7">
                  <c:v>10.335710757094397</c:v>
                </c:pt>
                <c:pt idx="8">
                  <c:v>12.72024860757179</c:v>
                </c:pt>
                <c:pt idx="9">
                  <c:v>15.65686682940161</c:v>
                </c:pt>
                <c:pt idx="10">
                  <c:v>19.273807295064337</c:v>
                </c:pt>
                <c:pt idx="11">
                  <c:v>23.729191871622522</c:v>
                </c:pt>
                <c:pt idx="12">
                  <c:v>29.218003915697977</c:v>
                </c:pt>
                <c:pt idx="13">
                  <c:v>35.980705190831372</c:v>
                </c:pt>
                <c:pt idx="14">
                  <c:v>44.3138722017109</c:v>
                </c:pt>
                <c:pt idx="15">
                  <c:v>54.583326291850803</c:v>
                </c:pt>
                <c:pt idx="16">
                  <c:v>67.240343503402343</c:v>
                </c:pt>
                <c:pt idx="17">
                  <c:v>82.841668179859667</c:v>
                </c:pt>
                <c:pt idx="18">
                  <c:v>102.07422482410162</c:v>
                </c:pt>
                <c:pt idx="19">
                  <c:v>125.78563349650449</c:v>
                </c:pt>
                <c:pt idx="20">
                  <c:v>155.02189456174526</c:v>
                </c:pt>
                <c:pt idx="21">
                  <c:v>159.57282621344496</c:v>
                </c:pt>
                <c:pt idx="22">
                  <c:v>176.50905089979062</c:v>
                </c:pt>
                <c:pt idx="23">
                  <c:v>193.40713781232168</c:v>
                </c:pt>
                <c:pt idx="24">
                  <c:v>210.27088926992505</c:v>
                </c:pt>
                <c:pt idx="25">
                  <c:v>227.10344715858128</c:v>
                </c:pt>
                <c:pt idx="26">
                  <c:v>243.90744917437215</c:v>
                </c:pt>
                <c:pt idx="27">
                  <c:v>260.68513965168</c:v>
                </c:pt>
                <c:pt idx="28">
                  <c:v>277.43845031227977</c:v>
                </c:pt>
                <c:pt idx="29">
                  <c:v>294.16906046013281</c:v>
                </c:pt>
                <c:pt idx="30">
                  <c:v>310.87844274943268</c:v>
                </c:pt>
                <c:pt idx="31">
                  <c:v>218.89616376079505</c:v>
                </c:pt>
                <c:pt idx="32">
                  <c:v>241.45002020151682</c:v>
                </c:pt>
                <c:pt idx="33">
                  <c:v>263.95593695845781</c:v>
                </c:pt>
                <c:pt idx="34">
                  <c:v>286.41857511667479</c:v>
                </c:pt>
                <c:pt idx="35">
                  <c:v>308.84180466613213</c:v>
                </c:pt>
                <c:pt idx="36">
                  <c:v>331.22888769054117</c:v>
                </c:pt>
                <c:pt idx="37">
                  <c:v>353.58260936094598</c:v>
                </c:pt>
                <c:pt idx="38">
                  <c:v>375.9053740333265</c:v>
                </c:pt>
                <c:pt idx="39">
                  <c:v>398.19927730859064</c:v>
                </c:pt>
                <c:pt idx="40">
                  <c:v>420.46616110383002</c:v>
                </c:pt>
                <c:pt idx="41">
                  <c:v>329.60189227966947</c:v>
                </c:pt>
                <c:pt idx="42">
                  <c:v>352.36413400010809</c:v>
                </c:pt>
                <c:pt idx="43">
                  <c:v>375.0941546786521</c:v>
                </c:pt>
                <c:pt idx="44">
                  <c:v>397.79418001862882</c:v>
                </c:pt>
                <c:pt idx="45">
                  <c:v>420.46616110382985</c:v>
                </c:pt>
                <c:pt idx="46">
                  <c:v>443.11182156668514</c:v>
                </c:pt>
                <c:pt idx="47">
                  <c:v>465.73269460991463</c:v>
                </c:pt>
                <c:pt idx="48">
                  <c:v>488.33015246081573</c:v>
                </c:pt>
                <c:pt idx="49">
                  <c:v>510.90543009043807</c:v>
                </c:pt>
                <c:pt idx="50">
                  <c:v>533.45964452335909</c:v>
                </c:pt>
                <c:pt idx="51">
                  <c:v>440.28249935825085</c:v>
                </c:pt>
                <c:pt idx="52">
                  <c:v>460.07972261531569</c:v>
                </c:pt>
                <c:pt idx="53">
                  <c:v>479.85876858654393</c:v>
                </c:pt>
                <c:pt idx="54">
                  <c:v>499.62049142569248</c:v>
                </c:pt>
                <c:pt idx="55">
                  <c:v>519.3656722522536</c:v>
                </c:pt>
                <c:pt idx="56">
                  <c:v>539.09502799191046</c:v>
                </c:pt>
                <c:pt idx="57">
                  <c:v>558.8092188560729</c:v>
                </c:pt>
                <c:pt idx="58">
                  <c:v>578.50885471155289</c:v>
                </c:pt>
                <c:pt idx="59">
                  <c:v>598.19450053799255</c:v>
                </c:pt>
                <c:pt idx="60">
                  <c:v>617.86668112999996</c:v>
                </c:pt>
                <c:pt idx="61">
                  <c:v>522.38648026473936</c:v>
                </c:pt>
                <c:pt idx="62">
                  <c:v>539.49750784907303</c:v>
                </c:pt>
                <c:pt idx="63">
                  <c:v>556.59713754361087</c:v>
                </c:pt>
                <c:pt idx="64">
                  <c:v>573.68576860024848</c:v>
                </c:pt>
                <c:pt idx="65">
                  <c:v>590.7637745613979</c:v>
                </c:pt>
                <c:pt idx="66">
                  <c:v>607.83150562611115</c:v>
                </c:pt>
                <c:pt idx="67">
                  <c:v>624.88929073678366</c:v>
                </c:pt>
                <c:pt idx="68">
                  <c:v>641.93743942630658</c:v>
                </c:pt>
                <c:pt idx="69">
                  <c:v>658.97624345892962</c:v>
                </c:pt>
                <c:pt idx="70">
                  <c:v>676.00597829271317</c:v>
                </c:pt>
                <c:pt idx="71">
                  <c:v>578.50885471155289</c:v>
                </c:pt>
                <c:pt idx="72">
                  <c:v>593.37479056406562</c:v>
                </c:pt>
                <c:pt idx="73">
                  <c:v>608.23297828438206</c:v>
                </c:pt>
                <c:pt idx="74">
                  <c:v>623.08363370836162</c:v>
                </c:pt>
                <c:pt idx="75">
                  <c:v>637.9269615503232</c:v>
                </c:pt>
                <c:pt idx="76">
                  <c:v>652.76315622690504</c:v>
                </c:pt>
                <c:pt idx="77">
                  <c:v>667.59240260217587</c:v>
                </c:pt>
                <c:pt idx="78">
                  <c:v>682.41487666314242</c:v>
                </c:pt>
                <c:pt idx="79">
                  <c:v>697.23074613355527</c:v>
                </c:pt>
                <c:pt idx="80">
                  <c:v>712.04017103286822</c:v>
                </c:pt>
                <c:pt idx="81">
                  <c:v>613.05022225800747</c:v>
                </c:pt>
                <c:pt idx="82">
                  <c:v>626.29361595028001</c:v>
                </c:pt>
                <c:pt idx="83">
                  <c:v>639.53121501099292</c:v>
                </c:pt>
                <c:pt idx="84">
                  <c:v>652.76315622690504</c:v>
                </c:pt>
                <c:pt idx="85">
                  <c:v>665.98957038987157</c:v>
                </c:pt>
                <c:pt idx="86">
                  <c:v>679.21058267589854</c:v>
                </c:pt>
                <c:pt idx="87">
                  <c:v>692.42631299316781</c:v>
                </c:pt>
                <c:pt idx="88">
                  <c:v>705.63687630212701</c:v>
                </c:pt>
                <c:pt idx="89">
                  <c:v>718.84238291037821</c:v>
                </c:pt>
                <c:pt idx="90">
                  <c:v>732.04293874478572</c:v>
                </c:pt>
                <c:pt idx="91">
                  <c:v>631.70968986281355</c:v>
                </c:pt>
                <c:pt idx="92">
                  <c:v>643.54148553185962</c:v>
                </c:pt>
                <c:pt idx="93">
                  <c:v>655.3687921033461</c:v>
                </c:pt>
                <c:pt idx="94">
                  <c:v>667.19170197719143</c:v>
                </c:pt>
                <c:pt idx="95">
                  <c:v>679.01030401293212</c:v>
                </c:pt>
                <c:pt idx="96">
                  <c:v>690.82468372592791</c:v>
                </c:pt>
                <c:pt idx="97">
                  <c:v>702.63492346945725</c:v>
                </c:pt>
                <c:pt idx="98">
                  <c:v>714.44110260393779</c:v>
                </c:pt>
                <c:pt idx="99">
                  <c:v>726.24329765438722</c:v>
                </c:pt>
                <c:pt idx="100">
                  <c:v>738.04158245712404</c:v>
                </c:pt>
                <c:pt idx="101">
                  <c:v>638.32803272102137</c:v>
                </c:pt>
                <c:pt idx="102">
                  <c:v>648.75406662200533</c:v>
                </c:pt>
                <c:pt idx="103">
                  <c:v>659.17664547633979</c:v>
                </c:pt>
                <c:pt idx="104">
                  <c:v>669.59583159873011</c:v>
                </c:pt>
                <c:pt idx="105">
                  <c:v>680.01168520705676</c:v>
                </c:pt>
                <c:pt idx="106">
                  <c:v>690.42426452464667</c:v>
                </c:pt>
                <c:pt idx="107">
                  <c:v>700.833625876057</c:v>
                </c:pt>
                <c:pt idx="108">
                  <c:v>711.23982377687662</c:v>
                </c:pt>
                <c:pt idx="109">
                  <c:v>721.64291101799824</c:v>
                </c:pt>
                <c:pt idx="110">
                  <c:v>732.04293874478515</c:v>
                </c:pt>
                <c:pt idx="111">
                  <c:v>638.92962971665747</c:v>
                </c:pt>
                <c:pt idx="112">
                  <c:v>647.95218748710556</c:v>
                </c:pt>
                <c:pt idx="113">
                  <c:v>656.97215418341113</c:v>
                </c:pt>
                <c:pt idx="114">
                  <c:v>665.98957038987123</c:v>
                </c:pt>
                <c:pt idx="115">
                  <c:v>675.00447550234514</c:v>
                </c:pt>
                <c:pt idx="116">
                  <c:v>684.01690777880185</c:v>
                </c:pt>
                <c:pt idx="117">
                  <c:v>693.0269043870652</c:v>
                </c:pt>
                <c:pt idx="118">
                  <c:v>702.03450144994747</c:v>
                </c:pt>
                <c:pt idx="119">
                  <c:v>711.03973408794866</c:v>
                </c:pt>
                <c:pt idx="120">
                  <c:v>720.04263645967933</c:v>
                </c:pt>
                <c:pt idx="121">
                  <c:v>634.11652505400218</c:v>
                </c:pt>
                <c:pt idx="122">
                  <c:v>642.33845870262405</c:v>
                </c:pt>
                <c:pt idx="123">
                  <c:v>650.55821997476539</c:v>
                </c:pt>
                <c:pt idx="124">
                  <c:v>658.77584018643859</c:v>
                </c:pt>
                <c:pt idx="125">
                  <c:v>666.99134980873771</c:v>
                </c:pt>
                <c:pt idx="126">
                  <c:v>675.2047785009828</c:v>
                </c:pt>
                <c:pt idx="127">
                  <c:v>683.41615514217176</c:v>
                </c:pt>
                <c:pt idx="128">
                  <c:v>691.62550786083864</c:v>
                </c:pt>
                <c:pt idx="129">
                  <c:v>699.83286406342268</c:v>
                </c:pt>
                <c:pt idx="130">
                  <c:v>708.03825046123848</c:v>
                </c:pt>
                <c:pt idx="131">
                  <c:v>627.49727139422964</c:v>
                </c:pt>
                <c:pt idx="132">
                  <c:v>635.11931726791101</c:v>
                </c:pt>
                <c:pt idx="133">
                  <c:v>642.73947280986852</c:v>
                </c:pt>
                <c:pt idx="134">
                  <c:v>650.35776359167301</c:v>
                </c:pt>
                <c:pt idx="135">
                  <c:v>657.97421453695756</c:v>
                </c:pt>
                <c:pt idx="136">
                  <c:v>665.58884994530638</c:v>
                </c:pt>
                <c:pt idx="137">
                  <c:v>673.20169351499464</c:v>
                </c:pt>
                <c:pt idx="138">
                  <c:v>680.81276836464485</c:v>
                </c:pt>
                <c:pt idx="139">
                  <c:v>688.42209705386813</c:v>
                </c:pt>
                <c:pt idx="140">
                  <c:v>696.02970160294171</c:v>
                </c:pt>
                <c:pt idx="141">
                  <c:v>620.67592235714176</c:v>
                </c:pt>
                <c:pt idx="142">
                  <c:v>627.49727139422976</c:v>
                </c:pt>
                <c:pt idx="143">
                  <c:v>634.31708611773035</c:v>
                </c:pt>
                <c:pt idx="144">
                  <c:v>641.13538535169323</c:v>
                </c:pt>
                <c:pt idx="145">
                  <c:v>647.95218748710602</c:v>
                </c:pt>
                <c:pt idx="146">
                  <c:v>654.76751049640495</c:v>
                </c:pt>
                <c:pt idx="147">
                  <c:v>661.58137194735457</c:v>
                </c:pt>
                <c:pt idx="148">
                  <c:v>668.39378901632153</c:v>
                </c:pt>
                <c:pt idx="149">
                  <c:v>675.2047785009828</c:v>
                </c:pt>
                <c:pt idx="150">
                  <c:v>682.01435683249281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6" t="s">
        <v>291</v>
      </c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</row>
    <row r="13" spans="2:13" ht="15" customHeight="1" x14ac:dyDescent="0.3">
      <c r="B13" s="256"/>
      <c r="C13" s="256"/>
      <c r="D13" s="256"/>
      <c r="E13" s="256"/>
      <c r="F13" s="256"/>
      <c r="G13" s="256"/>
      <c r="H13" s="256"/>
      <c r="I13" s="256"/>
      <c r="J13" s="256"/>
      <c r="K13" s="256"/>
      <c r="L13" s="256"/>
      <c r="M13" s="256"/>
    </row>
    <row r="14" spans="2:13" ht="15" customHeight="1" x14ac:dyDescent="0.3">
      <c r="B14" s="256"/>
      <c r="C14" s="256"/>
      <c r="D14" s="256"/>
      <c r="E14" s="256"/>
      <c r="F14" s="256"/>
      <c r="G14" s="256"/>
      <c r="H14" s="256"/>
      <c r="I14" s="256"/>
      <c r="J14" s="256"/>
      <c r="K14" s="256"/>
      <c r="L14" s="256"/>
      <c r="M14" s="256"/>
    </row>
    <row r="15" spans="2:13" ht="18.75" customHeight="1" x14ac:dyDescent="0.3">
      <c r="B15" s="256"/>
      <c r="C15" s="256"/>
      <c r="D15" s="256"/>
      <c r="E15" s="256"/>
      <c r="F15" s="256"/>
      <c r="G15" s="256"/>
      <c r="H15" s="256"/>
      <c r="I15" s="256"/>
      <c r="J15" s="256"/>
      <c r="K15" s="256"/>
      <c r="L15" s="256"/>
      <c r="M15" s="256"/>
    </row>
    <row r="16" spans="2:13" ht="18.75" customHeight="1" x14ac:dyDescent="0.3">
      <c r="B16" s="256"/>
      <c r="C16" s="256"/>
      <c r="D16" s="256"/>
      <c r="E16" s="256"/>
      <c r="F16" s="256"/>
      <c r="G16" s="256"/>
      <c r="H16" s="256"/>
      <c r="I16" s="256"/>
      <c r="J16" s="256"/>
      <c r="K16" s="256"/>
      <c r="L16" s="256"/>
      <c r="M16" s="256"/>
    </row>
    <row r="18" spans="2:13" ht="12" customHeight="1" x14ac:dyDescent="0.3">
      <c r="B18" s="256" t="s">
        <v>292</v>
      </c>
      <c r="C18" s="256"/>
      <c r="D18" s="256"/>
      <c r="E18" s="256"/>
      <c r="F18" s="256"/>
      <c r="G18" s="256"/>
      <c r="H18" s="256"/>
      <c r="I18" s="256"/>
      <c r="J18" s="256"/>
      <c r="K18" s="256"/>
      <c r="L18" s="256"/>
      <c r="M18" s="256"/>
    </row>
    <row r="19" spans="2:13" ht="12" customHeight="1" x14ac:dyDescent="0.3">
      <c r="B19" s="256"/>
      <c r="C19" s="256"/>
      <c r="D19" s="256"/>
      <c r="E19" s="256"/>
      <c r="F19" s="256"/>
      <c r="G19" s="256"/>
      <c r="H19" s="256"/>
      <c r="I19" s="256"/>
      <c r="J19" s="256"/>
      <c r="K19" s="256"/>
      <c r="L19" s="256"/>
      <c r="M19" s="256"/>
    </row>
    <row r="20" spans="2:13" ht="12" customHeight="1" x14ac:dyDescent="0.3"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</row>
    <row r="21" spans="2:13" ht="12" customHeight="1" x14ac:dyDescent="0.3">
      <c r="B21" s="256"/>
      <c r="C21" s="256"/>
      <c r="D21" s="256"/>
      <c r="E21" s="256"/>
      <c r="F21" s="256"/>
      <c r="G21" s="256"/>
      <c r="H21" s="256"/>
      <c r="I21" s="256"/>
      <c r="J21" s="256"/>
      <c r="K21" s="256"/>
      <c r="L21" s="256"/>
      <c r="M21" s="256"/>
    </row>
    <row r="22" spans="2:13" ht="12" customHeight="1" x14ac:dyDescent="0.3">
      <c r="B22" s="256"/>
      <c r="C22" s="256"/>
      <c r="D22" s="256"/>
      <c r="E22" s="256"/>
      <c r="F22" s="256"/>
      <c r="G22" s="256"/>
      <c r="H22" s="256"/>
      <c r="I22" s="256"/>
      <c r="J22" s="256"/>
      <c r="K22" s="256"/>
      <c r="L22" s="256"/>
      <c r="M22" s="256"/>
    </row>
    <row r="23" spans="2:13" ht="12" customHeight="1" x14ac:dyDescent="0.3">
      <c r="B23" s="256"/>
      <c r="C23" s="256"/>
      <c r="D23" s="256"/>
      <c r="E23" s="256"/>
      <c r="F23" s="256"/>
      <c r="G23" s="256"/>
      <c r="H23" s="256"/>
      <c r="I23" s="256"/>
      <c r="J23" s="256"/>
      <c r="K23" s="256"/>
      <c r="L23" s="256"/>
      <c r="M23" s="256"/>
    </row>
    <row r="24" spans="2:13" ht="12" customHeight="1" x14ac:dyDescent="0.3"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</row>
    <row r="25" spans="2:13" ht="12" customHeight="1" x14ac:dyDescent="0.3">
      <c r="B25" s="256"/>
      <c r="C25" s="256"/>
      <c r="D25" s="256"/>
      <c r="E25" s="256"/>
      <c r="F25" s="256"/>
      <c r="G25" s="256"/>
      <c r="H25" s="256"/>
      <c r="I25" s="256"/>
      <c r="J25" s="256"/>
      <c r="K25" s="256"/>
      <c r="L25" s="256"/>
      <c r="M25" s="256"/>
    </row>
    <row r="26" spans="2:13" ht="12" customHeight="1" x14ac:dyDescent="0.3">
      <c r="B26" s="256"/>
      <c r="C26" s="256"/>
      <c r="D26" s="256"/>
      <c r="E26" s="256"/>
      <c r="F26" s="256"/>
      <c r="G26" s="256"/>
      <c r="H26" s="256"/>
      <c r="I26" s="256"/>
      <c r="J26" s="256"/>
      <c r="K26" s="256"/>
      <c r="L26" s="256"/>
      <c r="M26" s="256"/>
    </row>
    <row r="27" spans="2:13" ht="12" customHeight="1" x14ac:dyDescent="0.3">
      <c r="B27" s="256"/>
      <c r="C27" s="256"/>
      <c r="D27" s="256"/>
      <c r="E27" s="256"/>
      <c r="F27" s="256"/>
      <c r="G27" s="256"/>
      <c r="H27" s="256"/>
      <c r="I27" s="256"/>
      <c r="J27" s="256"/>
      <c r="K27" s="256"/>
      <c r="L27" s="256"/>
      <c r="M27" s="256"/>
    </row>
    <row r="28" spans="2:13" ht="12" customHeight="1" x14ac:dyDescent="0.3"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</row>
    <row r="29" spans="2:13" ht="12" customHeight="1" x14ac:dyDescent="0.3">
      <c r="B29" s="256"/>
      <c r="C29" s="256"/>
      <c r="D29" s="256"/>
      <c r="E29" s="256"/>
      <c r="F29" s="256"/>
      <c r="G29" s="256"/>
      <c r="H29" s="256"/>
      <c r="I29" s="256"/>
      <c r="J29" s="256"/>
      <c r="K29" s="256"/>
      <c r="L29" s="256"/>
      <c r="M29" s="256"/>
    </row>
    <row r="30" spans="2:13" ht="12" customHeight="1" x14ac:dyDescent="0.3">
      <c r="B30" s="256"/>
      <c r="C30" s="256"/>
      <c r="D30" s="256"/>
      <c r="E30" s="256"/>
      <c r="F30" s="256"/>
      <c r="G30" s="256"/>
      <c r="H30" s="256"/>
      <c r="I30" s="256"/>
      <c r="J30" s="256"/>
      <c r="K30" s="256"/>
      <c r="L30" s="256"/>
      <c r="M30" s="256"/>
    </row>
    <row r="31" spans="2:13" ht="12" customHeight="1" x14ac:dyDescent="0.3">
      <c r="B31" s="256"/>
      <c r="C31" s="256"/>
      <c r="D31" s="256"/>
      <c r="E31" s="256"/>
      <c r="F31" s="256"/>
      <c r="G31" s="256"/>
      <c r="H31" s="256"/>
      <c r="I31" s="256"/>
      <c r="J31" s="256"/>
      <c r="K31" s="256"/>
      <c r="L31" s="256"/>
      <c r="M31" s="256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70" zoomScaleNormal="70" zoomScaleSheetLayoutView="55" workbookViewId="0">
      <selection activeCell="L39" sqref="L3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7" t="s">
        <v>190</v>
      </c>
      <c r="D1" s="257"/>
      <c r="E1" s="257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09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2" t="s">
        <v>192</v>
      </c>
      <c r="C3" s="263"/>
      <c r="D3" s="263"/>
      <c r="E3" s="263"/>
      <c r="F3" s="264"/>
      <c r="G3" s="87"/>
      <c r="I3" s="209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88"/>
      <c r="B4" s="88"/>
      <c r="C4" s="88"/>
      <c r="D4" s="88"/>
      <c r="E4" s="88"/>
      <c r="F4" s="88"/>
      <c r="G4" s="216"/>
      <c r="I4" s="209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7" t="s">
        <v>231</v>
      </c>
      <c r="B5" s="267"/>
      <c r="C5" s="24">
        <v>5.7</v>
      </c>
      <c r="D5" s="268" t="s">
        <v>229</v>
      </c>
      <c r="E5" s="269"/>
      <c r="F5" s="88"/>
      <c r="G5" s="216"/>
      <c r="H5" s="216"/>
      <c r="I5" s="216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89"/>
      <c r="B6" s="89"/>
      <c r="C6" s="4"/>
      <c r="D6" s="85"/>
      <c r="E6" s="85"/>
      <c r="F6" s="26"/>
      <c r="G6" s="203"/>
      <c r="H6" s="203"/>
      <c r="I6" s="203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6" t="s">
        <v>226</v>
      </c>
      <c r="B7" s="266"/>
      <c r="C7" s="88"/>
      <c r="D7" s="88"/>
      <c r="E7" s="4"/>
      <c r="F7" s="88"/>
      <c r="G7" s="216"/>
      <c r="H7" s="216"/>
      <c r="I7" s="216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3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127</v>
      </c>
      <c r="C9" s="32">
        <v>0.1</v>
      </c>
      <c r="D9" s="33">
        <f t="shared" ref="D9:D18" si="0">C9*$C$5</f>
        <v>0.57000000000000006</v>
      </c>
      <c r="E9" s="34">
        <v>25</v>
      </c>
      <c r="F9" s="35" t="str">
        <f t="array" ref="F9">IF(E9="","",IF(INDEX(A:A,MAX(IF(ISNUMBER($A$36:$A$55),ROW($A$36:$A$55),"")))&lt;&gt;E9,"Corrigez : révolution incorrecte","OK"))</f>
        <v>OK</v>
      </c>
      <c r="G9" s="226" t="s">
        <v>306</v>
      </c>
      <c r="I9" s="22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128</v>
      </c>
      <c r="C10" s="32">
        <v>0.1</v>
      </c>
      <c r="D10" s="33">
        <f t="shared" si="0"/>
        <v>0.57000000000000006</v>
      </c>
      <c r="E10" s="34">
        <v>25</v>
      </c>
      <c r="F10" s="35" t="str">
        <f t="array" ref="F10">IF(E10="","",IF(INDEX(A:A,MAX(IF(ISNUMBER($A$62:$A$81),ROW($A$62:$A$81),"")))&lt;&gt;E10,"Corrigez : révolution incorrecte","OK"))</f>
        <v>OK</v>
      </c>
      <c r="I10" s="22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9</v>
      </c>
      <c r="C11" s="32">
        <v>0.2</v>
      </c>
      <c r="D11" s="33">
        <f t="shared" si="0"/>
        <v>1.1400000000000001</v>
      </c>
      <c r="E11" s="34">
        <v>150</v>
      </c>
      <c r="F11" s="35" t="str">
        <f t="array" ref="F11">IF(E11="","",IF(INDEX(A:A,MAX(IF(ISNUMBER($A$88:$A$107),ROW($A$88:$A$107),"")))&lt;&gt;E11,"Corrigez : révolution incorrecte","OK"))</f>
        <v>OK</v>
      </c>
      <c r="I11" s="22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16</v>
      </c>
      <c r="C12" s="32">
        <v>0.2</v>
      </c>
      <c r="D12" s="33">
        <f t="shared" si="0"/>
        <v>1.1400000000000001</v>
      </c>
      <c r="E12" s="34">
        <v>150</v>
      </c>
      <c r="F12" s="35" t="str">
        <f t="array" ref="F12">IF(E12="","",IF(INDEX(A:A,MAX(IF(ISNUMBER($A$114:$A$133),ROW($A$114:$A$133),"")))&lt;&gt;E12,"Corrigez : révolution incorrecte","OK"))</f>
        <v>OK</v>
      </c>
      <c r="I12" s="22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12</v>
      </c>
      <c r="C13" s="32">
        <v>0.2</v>
      </c>
      <c r="D13" s="33">
        <f t="shared" si="0"/>
        <v>1.1400000000000001</v>
      </c>
      <c r="E13" s="34">
        <v>150</v>
      </c>
      <c r="F13" s="35" t="str">
        <f t="array" ref="F13">IF(E13="","",IF(INDEX(A:A,MAX(IF(ISNUMBER($A$140:$A$159),ROW($A$140:$A$159),"")))&lt;&gt;E13,"Corrigez : révolution incorrecte","OK"))</f>
        <v>OK</v>
      </c>
      <c r="I13" s="22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6</v>
      </c>
      <c r="C14" s="32">
        <v>0.2</v>
      </c>
      <c r="D14" s="33">
        <f t="shared" si="0"/>
        <v>1.1400000000000001</v>
      </c>
      <c r="E14" s="34">
        <v>150</v>
      </c>
      <c r="F14" s="35" t="str">
        <f t="array" ref="F14">IF(E14="","",IF(INDEX(A:A,MAX(IF(ISNUMBER($A$166:$A$185),ROW($A$166:$A$185),"")))&lt;&gt;E14,"Corrigez : révolution incorrecte","OK"))</f>
        <v>OK</v>
      </c>
      <c r="I14" s="22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7"/>
      <c r="B19" s="36" t="s">
        <v>175</v>
      </c>
      <c r="C19" s="37">
        <f>SUM(C9:C18)</f>
        <v>1</v>
      </c>
      <c r="D19" s="38">
        <f>SUM(D9:D18)</f>
        <v>5.7000000000000011</v>
      </c>
      <c r="E19" s="4"/>
      <c r="F19" s="90"/>
      <c r="G19" s="217"/>
      <c r="H19" s="217"/>
      <c r="I19" s="217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7"/>
      <c r="B20" s="39" t="s">
        <v>230</v>
      </c>
      <c r="C20" s="40" t="str">
        <f>IF(C19&gt;100%,"Erreur : corrigez","OK")</f>
        <v>OK</v>
      </c>
      <c r="D20" s="220"/>
      <c r="F20" s="203"/>
      <c r="G20" s="203"/>
      <c r="H20" s="217"/>
      <c r="I20" s="217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18"/>
      <c r="I21" s="218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5" t="s">
        <v>232</v>
      </c>
      <c r="B22" s="265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0.2</v>
      </c>
      <c r="D24" s="44" t="s">
        <v>233</v>
      </c>
      <c r="E24" s="91"/>
      <c r="F24" s="91"/>
      <c r="G24" s="200"/>
      <c r="I24" s="200"/>
      <c r="J24" s="219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2"/>
      <c r="E25" s="4"/>
      <c r="F25" s="92"/>
      <c r="G25" s="219"/>
      <c r="I25" s="219"/>
      <c r="J25" s="219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0.05</v>
      </c>
      <c r="D26" s="44" t="s">
        <v>234</v>
      </c>
      <c r="E26" s="91"/>
      <c r="F26" s="91"/>
      <c r="G26" s="200"/>
      <c r="I26" s="200"/>
      <c r="J26" s="200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1"/>
      <c r="F27" s="91"/>
      <c r="G27" s="200"/>
      <c r="I27" s="200"/>
      <c r="J27" s="200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6" t="s">
        <v>227</v>
      </c>
      <c r="B30" s="266"/>
      <c r="D30" s="221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1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Peuplier I-45/51</v>
      </c>
      <c r="D32" s="227" t="s">
        <v>307</v>
      </c>
      <c r="K32" s="221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1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4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3"/>
      <c r="J34" s="221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2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5</v>
      </c>
      <c r="B36" s="60">
        <v>8.3333333333333339</v>
      </c>
      <c r="C36" s="60">
        <v>1</v>
      </c>
      <c r="D36" s="60">
        <v>0</v>
      </c>
      <c r="E36" s="51"/>
      <c r="F36" s="51"/>
      <c r="G36" s="51"/>
      <c r="H36" s="51"/>
      <c r="I36" s="49">
        <f>IFERROR(B36/A36,"")</f>
        <v>1.6666666666666667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10</v>
      </c>
      <c r="B37" s="60">
        <v>48.076923076923073</v>
      </c>
      <c r="C37" s="60">
        <v>2</v>
      </c>
      <c r="D37" s="60">
        <v>0</v>
      </c>
      <c r="E37" s="51"/>
      <c r="F37" s="51"/>
      <c r="G37" s="51"/>
      <c r="H37" s="51"/>
      <c r="I37" s="53">
        <f t="shared" ref="I37:I55" si="1">IF(A37&lt;&gt;0,(B37-(B36-D36))/(A37-A36),"")</f>
        <v>7.9487179487179471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15</v>
      </c>
      <c r="B38" s="60">
        <v>114.1025641025641</v>
      </c>
      <c r="C38" s="60">
        <v>3</v>
      </c>
      <c r="D38" s="60">
        <v>0</v>
      </c>
      <c r="E38" s="51"/>
      <c r="F38" s="51"/>
      <c r="G38" s="51"/>
      <c r="H38" s="51"/>
      <c r="I38" s="53">
        <f t="shared" si="1"/>
        <v>13.205128205128204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20</v>
      </c>
      <c r="B39" s="60">
        <v>198.7179487179487</v>
      </c>
      <c r="C39" s="60">
        <v>4</v>
      </c>
      <c r="D39" s="60">
        <v>0</v>
      </c>
      <c r="E39" s="51"/>
      <c r="F39" s="51"/>
      <c r="G39" s="51"/>
      <c r="H39" s="51"/>
      <c r="I39" s="49">
        <f t="shared" si="1"/>
        <v>16.92307692307692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25</v>
      </c>
      <c r="B40" s="60">
        <v>287.17948717948718</v>
      </c>
      <c r="C40" s="60">
        <v>5</v>
      </c>
      <c r="D40" s="60">
        <f>B40</f>
        <v>287.17948717948718</v>
      </c>
      <c r="E40" s="51">
        <v>0.8</v>
      </c>
      <c r="F40" s="51"/>
      <c r="G40" s="51">
        <v>0.1</v>
      </c>
      <c r="H40" s="51">
        <v>0.1</v>
      </c>
      <c r="I40" s="49">
        <f t="shared" si="1"/>
        <v>17.692307692307697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/>
      <c r="B41" s="60"/>
      <c r="C41" s="60"/>
      <c r="D41" s="60"/>
      <c r="E41" s="51"/>
      <c r="F41" s="51"/>
      <c r="G41" s="51"/>
      <c r="H41" s="51"/>
      <c r="I41" s="53" t="str">
        <f t="shared" si="1"/>
        <v/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/>
      <c r="B42" s="60"/>
      <c r="C42" s="60"/>
      <c r="D42" s="60"/>
      <c r="E42" s="51"/>
      <c r="F42" s="51"/>
      <c r="G42" s="51"/>
      <c r="H42" s="51"/>
      <c r="I42" s="53" t="str">
        <f t="shared" si="1"/>
        <v/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/>
      <c r="B43" s="60"/>
      <c r="C43" s="60"/>
      <c r="D43" s="60"/>
      <c r="E43" s="51"/>
      <c r="F43" s="51"/>
      <c r="G43" s="51"/>
      <c r="H43" s="51"/>
      <c r="I43" s="49" t="str">
        <f t="shared" si="1"/>
        <v/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Peuplier Raspalje</v>
      </c>
      <c r="D58" s="227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4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3"/>
      <c r="J60" s="221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2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5</v>
      </c>
      <c r="B62" s="60">
        <v>8.3333333333333339</v>
      </c>
      <c r="C62" s="60">
        <v>1</v>
      </c>
      <c r="D62" s="60">
        <v>0</v>
      </c>
      <c r="E62" s="51"/>
      <c r="F62" s="51"/>
      <c r="G62" s="51"/>
      <c r="H62" s="51"/>
      <c r="I62" s="53">
        <f>IFERROR(B62/A62,"")</f>
        <v>1.6666666666666667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10</v>
      </c>
      <c r="B63" s="60">
        <v>48.076923076923073</v>
      </c>
      <c r="C63" s="60">
        <v>2</v>
      </c>
      <c r="D63" s="60">
        <v>0</v>
      </c>
      <c r="E63" s="51"/>
      <c r="F63" s="51"/>
      <c r="G63" s="51"/>
      <c r="H63" s="51"/>
      <c r="I63" s="49">
        <f>IF(A63&lt;&gt;0,(B63-(B62-D62))/(A63-A62),"")</f>
        <v>7.9487179487179471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15</v>
      </c>
      <c r="B64" s="60">
        <v>114.1025641025641</v>
      </c>
      <c r="C64" s="60">
        <v>3</v>
      </c>
      <c r="D64" s="60">
        <v>0</v>
      </c>
      <c r="E64" s="51"/>
      <c r="F64" s="51"/>
      <c r="G64" s="51"/>
      <c r="H64" s="51"/>
      <c r="I64" s="49">
        <f>IF(A64&lt;&gt;0,(B64-(B63-D63))/(A64-A63),"")</f>
        <v>13.205128205128204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20</v>
      </c>
      <c r="B65" s="60">
        <v>198.7179487179487</v>
      </c>
      <c r="C65" s="60">
        <v>4</v>
      </c>
      <c r="D65" s="60">
        <v>0</v>
      </c>
      <c r="E65" s="51"/>
      <c r="F65" s="51"/>
      <c r="G65" s="51"/>
      <c r="H65" s="51"/>
      <c r="I65" s="49">
        <f>IF(A65&lt;&gt;0,(B65-(B64-D64))/(A65-A64),"")</f>
        <v>16.92307692307692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25</v>
      </c>
      <c r="B66" s="60">
        <v>287.17948717948718</v>
      </c>
      <c r="C66" s="60">
        <v>5</v>
      </c>
      <c r="D66" s="60">
        <f>B66</f>
        <v>287.17948717948718</v>
      </c>
      <c r="E66" s="51">
        <v>0.8</v>
      </c>
      <c r="F66" s="51"/>
      <c r="G66" s="51">
        <v>0.1</v>
      </c>
      <c r="H66" s="51">
        <v>0.1</v>
      </c>
      <c r="I66" s="49">
        <f t="shared" ref="I66:I81" si="2">IF(A66&lt;&gt;0,(B66-(B65-D65))/(A66-A65),"")</f>
        <v>17.692307692307697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chevelu</v>
      </c>
      <c r="D84" s="227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4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3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20</v>
      </c>
      <c r="B88" s="60">
        <v>73</v>
      </c>
      <c r="C88" s="60">
        <v>1</v>
      </c>
      <c r="D88" s="60">
        <v>6</v>
      </c>
      <c r="E88" s="51"/>
      <c r="F88" s="51"/>
      <c r="G88" s="51"/>
      <c r="H88" s="51">
        <v>1</v>
      </c>
      <c r="I88" s="53">
        <f>IFERROR(B88/A88,"")</f>
        <v>3.65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149</v>
      </c>
      <c r="C89" s="60">
        <v>2</v>
      </c>
      <c r="D89" s="255">
        <v>56</v>
      </c>
      <c r="E89" s="51"/>
      <c r="F89" s="51"/>
      <c r="G89" s="51"/>
      <c r="H89" s="51">
        <v>1</v>
      </c>
      <c r="I89" s="53">
        <f t="shared" ref="I89:I107" si="3">IF(A89&lt;&gt;0,(B89-(B88-D88))/(A89-A88),"")</f>
        <v>8.1999999999999993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202.99999999999997</v>
      </c>
      <c r="C90" s="60">
        <v>3</v>
      </c>
      <c r="D90" s="60">
        <v>56</v>
      </c>
      <c r="E90" s="51"/>
      <c r="F90" s="51"/>
      <c r="G90" s="51"/>
      <c r="H90" s="51">
        <v>1</v>
      </c>
      <c r="I90" s="53">
        <f t="shared" si="3"/>
        <v>10.999999999999996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259</v>
      </c>
      <c r="C91" s="60">
        <v>4</v>
      </c>
      <c r="D91" s="60">
        <v>56</v>
      </c>
      <c r="E91" s="51">
        <v>0.85</v>
      </c>
      <c r="F91" s="51"/>
      <c r="G91" s="51"/>
      <c r="H91" s="51">
        <v>0.15</v>
      </c>
      <c r="I91" s="53">
        <f t="shared" si="3"/>
        <v>11.200000000000003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301</v>
      </c>
      <c r="C92" s="60">
        <v>5</v>
      </c>
      <c r="D92" s="60">
        <v>56</v>
      </c>
      <c r="E92" s="51">
        <v>0.85</v>
      </c>
      <c r="F92" s="51"/>
      <c r="G92" s="51"/>
      <c r="H92" s="51">
        <v>0.15</v>
      </c>
      <c r="I92" s="53">
        <f t="shared" si="3"/>
        <v>9.8000000000000007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330</v>
      </c>
      <c r="C93" s="60">
        <v>6</v>
      </c>
      <c r="D93" s="60">
        <v>56</v>
      </c>
      <c r="E93" s="51">
        <v>0.85</v>
      </c>
      <c r="F93" s="51"/>
      <c r="G93" s="51"/>
      <c r="H93" s="51">
        <v>0.15</v>
      </c>
      <c r="I93" s="53">
        <f t="shared" si="3"/>
        <v>8.5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348.00000000000006</v>
      </c>
      <c r="C94" s="60">
        <v>7</v>
      </c>
      <c r="D94" s="60">
        <v>56</v>
      </c>
      <c r="E94" s="51">
        <v>0.85</v>
      </c>
      <c r="F94" s="51"/>
      <c r="G94" s="51"/>
      <c r="H94" s="51">
        <v>0.15</v>
      </c>
      <c r="I94" s="53">
        <f t="shared" si="3"/>
        <v>7.4000000000000057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50">
        <v>90</v>
      </c>
      <c r="B95" s="50">
        <v>358.00000000000006</v>
      </c>
      <c r="C95" s="50">
        <v>8</v>
      </c>
      <c r="D95" s="50">
        <v>56</v>
      </c>
      <c r="E95" s="51">
        <v>0.85</v>
      </c>
      <c r="F95" s="51"/>
      <c r="G95" s="51"/>
      <c r="H95" s="51">
        <v>0.15</v>
      </c>
      <c r="I95" s="53">
        <f t="shared" si="3"/>
        <v>6.6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50">
        <v>100</v>
      </c>
      <c r="B96" s="50">
        <v>361</v>
      </c>
      <c r="C96" s="50">
        <v>9</v>
      </c>
      <c r="D96" s="50">
        <v>55</v>
      </c>
      <c r="E96" s="51">
        <v>0.85</v>
      </c>
      <c r="F96" s="51"/>
      <c r="G96" s="51"/>
      <c r="H96" s="51">
        <v>0.15</v>
      </c>
      <c r="I96" s="53">
        <f t="shared" si="3"/>
        <v>5.8999999999999941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50">
        <v>110</v>
      </c>
      <c r="B97" s="50">
        <v>357.99999999999989</v>
      </c>
      <c r="C97" s="50">
        <v>10</v>
      </c>
      <c r="D97" s="50">
        <v>51</v>
      </c>
      <c r="E97" s="51">
        <v>0.85</v>
      </c>
      <c r="F97" s="51"/>
      <c r="G97" s="51"/>
      <c r="H97" s="51">
        <v>0.15</v>
      </c>
      <c r="I97" s="53">
        <f t="shared" si="3"/>
        <v>5.1999999999999886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50">
        <v>120</v>
      </c>
      <c r="B98" s="50">
        <v>352</v>
      </c>
      <c r="C98" s="50">
        <v>11</v>
      </c>
      <c r="D98" s="50">
        <v>47</v>
      </c>
      <c r="E98" s="51">
        <v>0.85</v>
      </c>
      <c r="F98" s="51"/>
      <c r="G98" s="51"/>
      <c r="H98" s="51">
        <v>0.15</v>
      </c>
      <c r="I98" s="53">
        <f t="shared" si="3"/>
        <v>4.5000000000000115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50">
        <v>130</v>
      </c>
      <c r="B99" s="50">
        <v>345.99999999999994</v>
      </c>
      <c r="C99" s="50">
        <v>12</v>
      </c>
      <c r="D99" s="50">
        <v>44</v>
      </c>
      <c r="E99" s="51">
        <v>0.85</v>
      </c>
      <c r="F99" s="51"/>
      <c r="G99" s="51"/>
      <c r="H99" s="51">
        <v>0.15</v>
      </c>
      <c r="I99" s="53">
        <f t="shared" si="3"/>
        <v>4.0999999999999943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50">
        <v>140</v>
      </c>
      <c r="B100" s="50">
        <v>339.99999999999994</v>
      </c>
      <c r="C100" s="50">
        <v>13</v>
      </c>
      <c r="D100" s="50">
        <v>41</v>
      </c>
      <c r="E100" s="51">
        <v>0.85</v>
      </c>
      <c r="F100" s="51"/>
      <c r="G100" s="51"/>
      <c r="H100" s="51">
        <v>0.15</v>
      </c>
      <c r="I100" s="53">
        <f t="shared" si="3"/>
        <v>3.8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50">
        <v>150</v>
      </c>
      <c r="B101" s="50">
        <v>333</v>
      </c>
      <c r="C101" s="50">
        <v>14</v>
      </c>
      <c r="D101" s="50">
        <v>333</v>
      </c>
      <c r="E101" s="51">
        <v>0.85</v>
      </c>
      <c r="F101" s="51"/>
      <c r="G101" s="51"/>
      <c r="H101" s="51">
        <v>0.15</v>
      </c>
      <c r="I101" s="53">
        <f t="shared" si="3"/>
        <v>3.4000000000000057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vert</v>
      </c>
      <c r="D110" s="227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4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3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20</v>
      </c>
      <c r="B114" s="60">
        <v>73</v>
      </c>
      <c r="C114" s="60">
        <v>1</v>
      </c>
      <c r="D114" s="60">
        <v>6</v>
      </c>
      <c r="E114" s="51"/>
      <c r="F114" s="51"/>
      <c r="G114" s="51"/>
      <c r="H114" s="51">
        <v>1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149</v>
      </c>
      <c r="C115" s="60">
        <v>2</v>
      </c>
      <c r="D115" s="255">
        <v>56</v>
      </c>
      <c r="E115" s="51"/>
      <c r="F115" s="51"/>
      <c r="G115" s="51"/>
      <c r="H115" s="51">
        <v>1</v>
      </c>
      <c r="I115" s="53">
        <f t="shared" ref="I115:I133" si="4">IF(A115&lt;&gt;0,(B115-(B114-D114))/(A115-A114),"")</f>
        <v>8.1999999999999993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202.99999999999997</v>
      </c>
      <c r="C116" s="60">
        <v>3</v>
      </c>
      <c r="D116" s="60">
        <v>56</v>
      </c>
      <c r="E116" s="51"/>
      <c r="F116" s="51"/>
      <c r="G116" s="51"/>
      <c r="H116" s="51">
        <v>1</v>
      </c>
      <c r="I116" s="53">
        <f t="shared" si="4"/>
        <v>10.999999999999996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259</v>
      </c>
      <c r="C117" s="60">
        <v>4</v>
      </c>
      <c r="D117" s="60">
        <v>56</v>
      </c>
      <c r="E117" s="51">
        <v>0.85</v>
      </c>
      <c r="F117" s="51"/>
      <c r="G117" s="51"/>
      <c r="H117" s="51">
        <v>0.15</v>
      </c>
      <c r="I117" s="53">
        <f t="shared" si="4"/>
        <v>11.200000000000003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301</v>
      </c>
      <c r="C118" s="60">
        <v>5</v>
      </c>
      <c r="D118" s="60">
        <v>56</v>
      </c>
      <c r="E118" s="51">
        <v>0.85</v>
      </c>
      <c r="F118" s="51"/>
      <c r="G118" s="51"/>
      <c r="H118" s="51">
        <v>0.15</v>
      </c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330</v>
      </c>
      <c r="C119" s="60">
        <v>6</v>
      </c>
      <c r="D119" s="60">
        <v>56</v>
      </c>
      <c r="E119" s="51">
        <v>0.85</v>
      </c>
      <c r="F119" s="51"/>
      <c r="G119" s="51"/>
      <c r="H119" s="51">
        <v>0.15</v>
      </c>
      <c r="I119" s="53">
        <f t="shared" si="4"/>
        <v>8.5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50">
        <v>80</v>
      </c>
      <c r="B120" s="60">
        <v>348.00000000000006</v>
      </c>
      <c r="C120" s="60">
        <v>7</v>
      </c>
      <c r="D120" s="60">
        <v>56</v>
      </c>
      <c r="E120" s="51">
        <v>0.85</v>
      </c>
      <c r="F120" s="51"/>
      <c r="G120" s="51"/>
      <c r="H120" s="51">
        <v>0.15</v>
      </c>
      <c r="I120" s="53">
        <f t="shared" si="4"/>
        <v>7.4000000000000057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50">
        <v>90</v>
      </c>
      <c r="B121" s="50">
        <v>358.00000000000006</v>
      </c>
      <c r="C121" s="50">
        <v>8</v>
      </c>
      <c r="D121" s="50">
        <v>56</v>
      </c>
      <c r="E121" s="51">
        <v>0.85</v>
      </c>
      <c r="F121" s="51"/>
      <c r="G121" s="51"/>
      <c r="H121" s="51">
        <v>0.15</v>
      </c>
      <c r="I121" s="53">
        <f t="shared" si="4"/>
        <v>6.6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50">
        <v>100</v>
      </c>
      <c r="B122" s="50">
        <v>361</v>
      </c>
      <c r="C122" s="50">
        <v>9</v>
      </c>
      <c r="D122" s="50">
        <v>55</v>
      </c>
      <c r="E122" s="51">
        <v>0.85</v>
      </c>
      <c r="F122" s="51"/>
      <c r="G122" s="51"/>
      <c r="H122" s="51">
        <v>0.15</v>
      </c>
      <c r="I122" s="53">
        <f t="shared" si="4"/>
        <v>5.8999999999999941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50">
        <v>110</v>
      </c>
      <c r="B123" s="50">
        <v>357.99999999999989</v>
      </c>
      <c r="C123" s="50">
        <v>10</v>
      </c>
      <c r="D123" s="50">
        <v>51</v>
      </c>
      <c r="E123" s="51">
        <v>0.85</v>
      </c>
      <c r="F123" s="51"/>
      <c r="G123" s="51"/>
      <c r="H123" s="51">
        <v>0.15</v>
      </c>
      <c r="I123" s="53">
        <f t="shared" si="4"/>
        <v>5.1999999999999886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50">
        <v>120</v>
      </c>
      <c r="B124" s="50">
        <v>352</v>
      </c>
      <c r="C124" s="50">
        <v>11</v>
      </c>
      <c r="D124" s="50">
        <v>47</v>
      </c>
      <c r="E124" s="51">
        <v>0.85</v>
      </c>
      <c r="F124" s="51"/>
      <c r="G124" s="51"/>
      <c r="H124" s="51">
        <v>0.15</v>
      </c>
      <c r="I124" s="53">
        <f t="shared" si="4"/>
        <v>4.5000000000000115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50">
        <v>130</v>
      </c>
      <c r="B125" s="50">
        <v>345.99999999999994</v>
      </c>
      <c r="C125" s="50">
        <v>12</v>
      </c>
      <c r="D125" s="50">
        <v>44</v>
      </c>
      <c r="E125" s="51">
        <v>0.85</v>
      </c>
      <c r="F125" s="51"/>
      <c r="G125" s="51"/>
      <c r="H125" s="51">
        <v>0.15</v>
      </c>
      <c r="I125" s="53">
        <f t="shared" si="4"/>
        <v>4.0999999999999943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50">
        <v>140</v>
      </c>
      <c r="B126" s="50">
        <v>339.99999999999994</v>
      </c>
      <c r="C126" s="50">
        <v>13</v>
      </c>
      <c r="D126" s="50">
        <v>41</v>
      </c>
      <c r="E126" s="51">
        <v>0.85</v>
      </c>
      <c r="F126" s="51"/>
      <c r="G126" s="51"/>
      <c r="H126" s="51">
        <v>0.15</v>
      </c>
      <c r="I126" s="53">
        <f t="shared" si="4"/>
        <v>3.8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50">
        <v>150</v>
      </c>
      <c r="B127" s="50">
        <v>333</v>
      </c>
      <c r="C127" s="50">
        <v>14</v>
      </c>
      <c r="D127" s="50">
        <v>333</v>
      </c>
      <c r="E127" s="51">
        <v>0.85</v>
      </c>
      <c r="F127" s="51"/>
      <c r="G127" s="51"/>
      <c r="H127" s="51">
        <v>0.15</v>
      </c>
      <c r="I127" s="53">
        <f t="shared" si="4"/>
        <v>3.4000000000000057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Chêne pubescent</v>
      </c>
      <c r="D136" s="227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4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3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>
        <v>20</v>
      </c>
      <c r="B140" s="60">
        <v>73</v>
      </c>
      <c r="C140" s="60">
        <v>1</v>
      </c>
      <c r="D140" s="60">
        <v>6</v>
      </c>
      <c r="E140" s="51"/>
      <c r="F140" s="51"/>
      <c r="G140" s="51"/>
      <c r="H140" s="51">
        <v>1</v>
      </c>
      <c r="I140" s="57">
        <f>IFERROR(B140/A140,"")</f>
        <v>3.65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>
        <v>30</v>
      </c>
      <c r="B141" s="60">
        <v>149</v>
      </c>
      <c r="C141" s="60">
        <v>2</v>
      </c>
      <c r="D141" s="255">
        <v>56</v>
      </c>
      <c r="E141" s="51"/>
      <c r="F141" s="51"/>
      <c r="G141" s="51"/>
      <c r="H141" s="51">
        <v>1</v>
      </c>
      <c r="I141" s="57">
        <f t="shared" ref="I141:I159" si="5">IF(A141&lt;&gt;0,(B141-(B140-D140))/(A141-A140),"")</f>
        <v>8.1999999999999993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>
        <v>40</v>
      </c>
      <c r="B142" s="60">
        <v>202.99999999999997</v>
      </c>
      <c r="C142" s="60">
        <v>3</v>
      </c>
      <c r="D142" s="60">
        <v>56</v>
      </c>
      <c r="E142" s="51"/>
      <c r="F142" s="51"/>
      <c r="G142" s="51"/>
      <c r="H142" s="51">
        <v>1</v>
      </c>
      <c r="I142" s="57">
        <f t="shared" si="5"/>
        <v>10.999999999999996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>
        <v>50</v>
      </c>
      <c r="B143" s="60">
        <v>259</v>
      </c>
      <c r="C143" s="60">
        <v>4</v>
      </c>
      <c r="D143" s="60">
        <v>56</v>
      </c>
      <c r="E143" s="51">
        <v>0.85</v>
      </c>
      <c r="F143" s="51"/>
      <c r="G143" s="51"/>
      <c r="H143" s="51">
        <v>0.15</v>
      </c>
      <c r="I143" s="57">
        <f t="shared" si="5"/>
        <v>11.200000000000003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>
        <v>60</v>
      </c>
      <c r="B144" s="60">
        <v>301</v>
      </c>
      <c r="C144" s="60">
        <v>5</v>
      </c>
      <c r="D144" s="60">
        <v>56</v>
      </c>
      <c r="E144" s="51">
        <v>0.85</v>
      </c>
      <c r="F144" s="51"/>
      <c r="G144" s="51"/>
      <c r="H144" s="51">
        <v>0.15</v>
      </c>
      <c r="I144" s="57">
        <f t="shared" si="5"/>
        <v>9.8000000000000007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>
        <v>70</v>
      </c>
      <c r="B145" s="60">
        <v>330</v>
      </c>
      <c r="C145" s="60">
        <v>6</v>
      </c>
      <c r="D145" s="60">
        <v>56</v>
      </c>
      <c r="E145" s="51">
        <v>0.85</v>
      </c>
      <c r="F145" s="51"/>
      <c r="G145" s="51"/>
      <c r="H145" s="51">
        <v>0.15</v>
      </c>
      <c r="I145" s="57">
        <f t="shared" si="5"/>
        <v>8.5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>
        <v>80</v>
      </c>
      <c r="B146" s="60">
        <v>348.00000000000006</v>
      </c>
      <c r="C146" s="60">
        <v>7</v>
      </c>
      <c r="D146" s="60">
        <v>56</v>
      </c>
      <c r="E146" s="51">
        <v>0.85</v>
      </c>
      <c r="F146" s="51"/>
      <c r="G146" s="51"/>
      <c r="H146" s="51">
        <v>0.15</v>
      </c>
      <c r="I146" s="57">
        <f t="shared" si="5"/>
        <v>7.4000000000000057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>
        <v>90</v>
      </c>
      <c r="B147" s="50">
        <v>358.00000000000006</v>
      </c>
      <c r="C147" s="50">
        <v>8</v>
      </c>
      <c r="D147" s="50">
        <v>56</v>
      </c>
      <c r="E147" s="51">
        <v>0.85</v>
      </c>
      <c r="F147" s="51"/>
      <c r="G147" s="51"/>
      <c r="H147" s="51">
        <v>0.15</v>
      </c>
      <c r="I147" s="57">
        <f>IF(A147&lt;&gt;0,(B147-(B146-D146))/(A147-A146),"")</f>
        <v>6.6</v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>
        <v>100</v>
      </c>
      <c r="B148" s="50">
        <v>361</v>
      </c>
      <c r="C148" s="50">
        <v>9</v>
      </c>
      <c r="D148" s="50">
        <v>55</v>
      </c>
      <c r="E148" s="51">
        <v>0.85</v>
      </c>
      <c r="F148" s="51"/>
      <c r="G148" s="51"/>
      <c r="H148" s="51">
        <v>0.15</v>
      </c>
      <c r="I148" s="57">
        <f t="shared" si="5"/>
        <v>5.8999999999999941</v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>
        <v>110</v>
      </c>
      <c r="B149" s="50">
        <v>357.99999999999989</v>
      </c>
      <c r="C149" s="50">
        <v>10</v>
      </c>
      <c r="D149" s="50">
        <v>51</v>
      </c>
      <c r="E149" s="51">
        <v>0.85</v>
      </c>
      <c r="F149" s="51"/>
      <c r="G149" s="51"/>
      <c r="H149" s="51">
        <v>0.15</v>
      </c>
      <c r="I149" s="57">
        <f t="shared" si="5"/>
        <v>5.1999999999999886</v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>
        <v>120</v>
      </c>
      <c r="B150" s="50">
        <v>352</v>
      </c>
      <c r="C150" s="50">
        <v>11</v>
      </c>
      <c r="D150" s="50">
        <v>47</v>
      </c>
      <c r="E150" s="51">
        <v>0.85</v>
      </c>
      <c r="F150" s="51"/>
      <c r="G150" s="51"/>
      <c r="H150" s="51">
        <v>0.15</v>
      </c>
      <c r="I150" s="57">
        <f t="shared" si="5"/>
        <v>4.5000000000000115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>
        <v>130</v>
      </c>
      <c r="B151" s="50">
        <v>345.99999999999994</v>
      </c>
      <c r="C151" s="50">
        <v>12</v>
      </c>
      <c r="D151" s="50">
        <v>44</v>
      </c>
      <c r="E151" s="51">
        <v>0.85</v>
      </c>
      <c r="F151" s="51"/>
      <c r="G151" s="51"/>
      <c r="H151" s="51">
        <v>0.15</v>
      </c>
      <c r="I151" s="57">
        <f t="shared" si="5"/>
        <v>4.0999999999999943</v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>
        <v>140</v>
      </c>
      <c r="B152" s="50">
        <v>339.99999999999994</v>
      </c>
      <c r="C152" s="50">
        <v>13</v>
      </c>
      <c r="D152" s="50">
        <v>41</v>
      </c>
      <c r="E152" s="51">
        <v>0.85</v>
      </c>
      <c r="F152" s="51"/>
      <c r="G152" s="51"/>
      <c r="H152" s="51">
        <v>0.15</v>
      </c>
      <c r="I152" s="57">
        <f t="shared" si="5"/>
        <v>3.8</v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>
        <v>150</v>
      </c>
      <c r="B153" s="50">
        <v>333</v>
      </c>
      <c r="C153" s="50">
        <v>14</v>
      </c>
      <c r="D153" s="50">
        <v>333</v>
      </c>
      <c r="E153" s="51">
        <v>0.85</v>
      </c>
      <c r="F153" s="51"/>
      <c r="G153" s="51"/>
      <c r="H153" s="51">
        <v>0.15</v>
      </c>
      <c r="I153" s="57">
        <f t="shared" si="5"/>
        <v>3.4000000000000057</v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Charme</v>
      </c>
      <c r="D162" s="227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4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3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>
        <v>20</v>
      </c>
      <c r="B166" s="60">
        <v>73</v>
      </c>
      <c r="C166" s="60">
        <v>1</v>
      </c>
      <c r="D166" s="60">
        <v>6</v>
      </c>
      <c r="E166" s="51"/>
      <c r="F166" s="51"/>
      <c r="G166" s="51"/>
      <c r="H166" s="51">
        <v>1</v>
      </c>
      <c r="I166" s="49">
        <f>IFERROR(B166/A166,"")</f>
        <v>3.65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>
        <v>30</v>
      </c>
      <c r="B167" s="60">
        <v>149</v>
      </c>
      <c r="C167" s="60">
        <v>2</v>
      </c>
      <c r="D167" s="60">
        <v>56</v>
      </c>
      <c r="E167" s="51"/>
      <c r="F167" s="51"/>
      <c r="G167" s="51"/>
      <c r="H167" s="51">
        <v>1</v>
      </c>
      <c r="I167" s="49">
        <f t="shared" ref="I167:I185" si="6">IF(A167&lt;&gt;0,(B167-(B166-D166))/(A167-A166),"")</f>
        <v>8.1999999999999993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>
        <v>40</v>
      </c>
      <c r="B168" s="60">
        <v>202.99999999999997</v>
      </c>
      <c r="C168" s="60">
        <v>3</v>
      </c>
      <c r="D168" s="60">
        <v>56</v>
      </c>
      <c r="E168" s="51"/>
      <c r="F168" s="51"/>
      <c r="G168" s="51"/>
      <c r="H168" s="51">
        <v>1</v>
      </c>
      <c r="I168" s="49">
        <f t="shared" si="6"/>
        <v>10.999999999999996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>
        <v>50</v>
      </c>
      <c r="B169" s="60">
        <v>259</v>
      </c>
      <c r="C169" s="60">
        <v>4</v>
      </c>
      <c r="D169" s="60">
        <v>56</v>
      </c>
      <c r="E169" s="51">
        <v>0.85</v>
      </c>
      <c r="F169" s="51"/>
      <c r="G169" s="51"/>
      <c r="H169" s="51">
        <v>0.15</v>
      </c>
      <c r="I169" s="49">
        <f t="shared" si="6"/>
        <v>11.200000000000003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>
        <v>60</v>
      </c>
      <c r="B170" s="60">
        <v>301</v>
      </c>
      <c r="C170" s="60">
        <v>5</v>
      </c>
      <c r="D170" s="60">
        <v>56</v>
      </c>
      <c r="E170" s="51">
        <v>0.85</v>
      </c>
      <c r="F170" s="51"/>
      <c r="G170" s="51"/>
      <c r="H170" s="51">
        <v>0.15</v>
      </c>
      <c r="I170" s="49">
        <f t="shared" si="6"/>
        <v>9.8000000000000007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>
        <v>70</v>
      </c>
      <c r="B171" s="60">
        <v>330</v>
      </c>
      <c r="C171" s="60">
        <v>6</v>
      </c>
      <c r="D171" s="60">
        <v>56</v>
      </c>
      <c r="E171" s="51">
        <v>0.85</v>
      </c>
      <c r="F171" s="51"/>
      <c r="G171" s="51"/>
      <c r="H171" s="51">
        <v>0.15</v>
      </c>
      <c r="I171" s="49">
        <f t="shared" si="6"/>
        <v>8.5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>
        <v>80</v>
      </c>
      <c r="B172" s="60">
        <v>348.00000000000006</v>
      </c>
      <c r="C172" s="60">
        <v>7</v>
      </c>
      <c r="D172" s="60">
        <v>56</v>
      </c>
      <c r="E172" s="51">
        <v>0.85</v>
      </c>
      <c r="F172" s="51"/>
      <c r="G172" s="51"/>
      <c r="H172" s="51">
        <v>0.15</v>
      </c>
      <c r="I172" s="49">
        <f t="shared" si="6"/>
        <v>7.4000000000000057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>
        <v>90</v>
      </c>
      <c r="B173" s="50">
        <v>358.00000000000006</v>
      </c>
      <c r="C173" s="50">
        <v>8</v>
      </c>
      <c r="D173" s="50">
        <v>56</v>
      </c>
      <c r="E173" s="51">
        <v>0.85</v>
      </c>
      <c r="F173" s="51"/>
      <c r="G173" s="51"/>
      <c r="H173" s="51">
        <v>0.15</v>
      </c>
      <c r="I173" s="49">
        <f t="shared" si="6"/>
        <v>6.6</v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>
        <v>100</v>
      </c>
      <c r="B174" s="50">
        <v>361</v>
      </c>
      <c r="C174" s="50">
        <v>9</v>
      </c>
      <c r="D174" s="50">
        <v>55</v>
      </c>
      <c r="E174" s="51">
        <v>0.85</v>
      </c>
      <c r="F174" s="51"/>
      <c r="G174" s="51"/>
      <c r="H174" s="51">
        <v>0.15</v>
      </c>
      <c r="I174" s="49">
        <f t="shared" si="6"/>
        <v>5.8999999999999941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>
        <v>110</v>
      </c>
      <c r="B175" s="50">
        <v>357.99999999999989</v>
      </c>
      <c r="C175" s="50">
        <v>10</v>
      </c>
      <c r="D175" s="50">
        <v>51</v>
      </c>
      <c r="E175" s="51">
        <v>0.85</v>
      </c>
      <c r="F175" s="51"/>
      <c r="G175" s="51"/>
      <c r="H175" s="51">
        <v>0.15</v>
      </c>
      <c r="I175" s="49">
        <f t="shared" si="6"/>
        <v>5.1999999999999886</v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>
        <v>120</v>
      </c>
      <c r="B176" s="50">
        <v>352</v>
      </c>
      <c r="C176" s="50">
        <v>11</v>
      </c>
      <c r="D176" s="50">
        <v>47</v>
      </c>
      <c r="E176" s="51">
        <v>0.85</v>
      </c>
      <c r="F176" s="51"/>
      <c r="G176" s="51"/>
      <c r="H176" s="51">
        <v>0.15</v>
      </c>
      <c r="I176" s="49">
        <f t="shared" si="6"/>
        <v>4.5000000000000115</v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>
        <v>130</v>
      </c>
      <c r="B177" s="50">
        <v>345.99999999999994</v>
      </c>
      <c r="C177" s="50">
        <v>12</v>
      </c>
      <c r="D177" s="50">
        <v>44</v>
      </c>
      <c r="E177" s="51">
        <v>0.85</v>
      </c>
      <c r="F177" s="51"/>
      <c r="G177" s="51"/>
      <c r="H177" s="51">
        <v>0.15</v>
      </c>
      <c r="I177" s="49">
        <f t="shared" si="6"/>
        <v>4.0999999999999943</v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>
        <v>140</v>
      </c>
      <c r="B178" s="50">
        <v>339.99999999999994</v>
      </c>
      <c r="C178" s="50">
        <v>13</v>
      </c>
      <c r="D178" s="50">
        <v>41</v>
      </c>
      <c r="E178" s="51">
        <v>0.85</v>
      </c>
      <c r="F178" s="51"/>
      <c r="G178" s="51"/>
      <c r="H178" s="51">
        <v>0.15</v>
      </c>
      <c r="I178" s="49">
        <f t="shared" si="6"/>
        <v>3.8</v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>
        <v>150</v>
      </c>
      <c r="B179" s="50">
        <v>333</v>
      </c>
      <c r="C179" s="50">
        <v>14</v>
      </c>
      <c r="D179" s="50">
        <v>333</v>
      </c>
      <c r="E179" s="51">
        <v>0.85</v>
      </c>
      <c r="F179" s="51"/>
      <c r="G179" s="51"/>
      <c r="H179" s="51">
        <v>0.15</v>
      </c>
      <c r="I179" s="49">
        <f t="shared" si="6"/>
        <v>3.4000000000000057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7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4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3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7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4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3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6"/>
      <c r="B231" s="60"/>
      <c r="C231" s="86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7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4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3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6"/>
      <c r="B257" s="60"/>
      <c r="C257" s="86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7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4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3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6"/>
      <c r="B283" s="60"/>
      <c r="C283" s="86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33" fitToHeight="0" orientation="portrait" r:id="rId1"/>
  <rowBreaks count="2" manualBreakCount="2">
    <brk id="82" max="16383" man="1"/>
    <brk id="160" max="16383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F28" sqref="F28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5"/>
      <c r="K1" s="9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1" t="s">
        <v>191</v>
      </c>
      <c r="C2" s="272"/>
      <c r="D2" s="272"/>
      <c r="E2" s="272"/>
      <c r="F2" s="272"/>
      <c r="G2" s="273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0"/>
      <c r="C4" s="270"/>
      <c r="D4" s="270"/>
      <c r="E4" s="270"/>
      <c r="F4" s="270"/>
      <c r="G4" s="270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6" t="s">
        <v>296</v>
      </c>
      <c r="C5" s="96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5"/>
      <c r="C6" s="215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7"/>
      <c r="B7" s="26" t="s">
        <v>295</v>
      </c>
      <c r="C7" s="98" t="s">
        <v>214</v>
      </c>
      <c r="D7" s="213"/>
      <c r="E7" s="99"/>
      <c r="F7" s="26" t="s">
        <v>295</v>
      </c>
      <c r="G7" s="98" t="s">
        <v>215</v>
      </c>
      <c r="H7" s="214"/>
      <c r="I7" s="214"/>
      <c r="J7" s="214"/>
      <c r="K7" s="214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  <c r="AF7" s="97"/>
      <c r="AG7" s="97"/>
      <c r="AH7" s="97"/>
      <c r="AI7" s="97"/>
      <c r="AJ7" s="97"/>
      <c r="AK7" s="97"/>
      <c r="AL7" s="97"/>
    </row>
    <row r="8" spans="1:38" ht="17.25" customHeight="1" x14ac:dyDescent="0.3">
      <c r="A8" s="103">
        <v>1</v>
      </c>
      <c r="B8" s="61">
        <v>1</v>
      </c>
      <c r="C8" s="49" t="s">
        <v>177</v>
      </c>
      <c r="D8" s="23"/>
      <c r="E8" s="103">
        <v>4</v>
      </c>
      <c r="F8" s="61">
        <v>0</v>
      </c>
      <c r="G8" s="100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3">
        <v>2</v>
      </c>
      <c r="B9" s="61">
        <v>0</v>
      </c>
      <c r="C9" s="106" t="s">
        <v>216</v>
      </c>
      <c r="D9" s="23"/>
      <c r="E9" s="103">
        <v>5</v>
      </c>
      <c r="F9" s="61">
        <v>0</v>
      </c>
      <c r="G9" s="101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3">
        <v>3</v>
      </c>
      <c r="B10" s="61">
        <v>0</v>
      </c>
      <c r="C10" s="107" t="s">
        <v>217</v>
      </c>
      <c r="D10" s="23"/>
      <c r="E10" s="4"/>
      <c r="F10" s="104">
        <f>SUM(F7:F9)</f>
        <v>0</v>
      </c>
      <c r="G10" s="102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4">
        <v>0</v>
      </c>
      <c r="C11" s="102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4"/>
      <c r="B13" s="105"/>
      <c r="C13" s="96" t="s">
        <v>273</v>
      </c>
      <c r="D13" s="214"/>
      <c r="E13" s="97"/>
      <c r="F13" s="105"/>
      <c r="G13" s="96" t="s">
        <v>301</v>
      </c>
      <c r="H13" s="214"/>
      <c r="I13" s="214"/>
      <c r="J13" s="214"/>
      <c r="K13" s="214"/>
      <c r="L13" s="97"/>
      <c r="M13" s="97"/>
      <c r="N13" s="97"/>
      <c r="O13" s="97"/>
      <c r="P13" s="97"/>
      <c r="Q13" s="97"/>
      <c r="R13" s="97"/>
      <c r="S13" s="97"/>
      <c r="T13" s="97"/>
      <c r="U13" s="97"/>
      <c r="V13" s="97"/>
      <c r="W13" s="97"/>
      <c r="X13" s="97"/>
      <c r="Y13" s="97"/>
      <c r="Z13" s="97"/>
      <c r="AA13" s="97"/>
      <c r="AB13" s="97"/>
      <c r="AC13" s="97"/>
      <c r="AD13" s="97"/>
      <c r="AE13" s="97"/>
      <c r="AF13" s="97"/>
      <c r="AG13" s="97"/>
      <c r="AH13" s="97"/>
    </row>
    <row r="14" spans="1:38" s="3" customFormat="1" ht="21" customHeight="1" x14ac:dyDescent="0.3">
      <c r="A14" s="214"/>
      <c r="B14" s="105"/>
      <c r="C14" s="96" t="s">
        <v>309</v>
      </c>
      <c r="D14" s="214"/>
      <c r="E14" s="97"/>
      <c r="F14" s="105"/>
      <c r="G14" s="96" t="s">
        <v>294</v>
      </c>
      <c r="H14" s="214"/>
      <c r="I14" s="214"/>
      <c r="J14" s="214"/>
      <c r="K14" s="214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08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0.2</v>
      </c>
      <c r="C17" s="108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0.8</v>
      </c>
      <c r="C18" s="108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4">
        <f>SUM(B16:B18)</f>
        <v>1</v>
      </c>
      <c r="C19" s="102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7" t="s">
        <v>176</v>
      </c>
      <c r="C1" s="278"/>
      <c r="D1" s="278"/>
      <c r="E1" s="278"/>
      <c r="F1" s="278"/>
      <c r="G1" s="278"/>
      <c r="H1" s="279"/>
      <c r="I1" s="274" t="str">
        <f>IF('Données projet'!$B$9="","",'Données projet'!$B$9)</f>
        <v>Peuplier I-45/51</v>
      </c>
      <c r="J1" s="275"/>
      <c r="K1" s="275"/>
      <c r="L1" s="275"/>
      <c r="M1" s="275"/>
      <c r="N1" s="275"/>
      <c r="O1" s="275"/>
      <c r="P1" s="275"/>
      <c r="Q1" s="275"/>
      <c r="R1" s="275"/>
      <c r="S1" s="275"/>
      <c r="T1" s="275"/>
      <c r="U1" s="275"/>
      <c r="V1" s="275"/>
      <c r="W1" s="275"/>
      <c r="X1" s="275"/>
      <c r="Y1" s="275"/>
      <c r="Z1" s="275"/>
      <c r="AA1" s="275"/>
      <c r="AB1" s="275"/>
      <c r="AC1" s="276"/>
      <c r="AD1" s="275" t="str">
        <f>IF('Données projet'!$B$10="","",'Données projet'!$B$10)</f>
        <v>Peuplier Raspalje</v>
      </c>
      <c r="AE1" s="275"/>
      <c r="AF1" s="275"/>
      <c r="AG1" s="275"/>
      <c r="AH1" s="275"/>
      <c r="AI1" s="275"/>
      <c r="AJ1" s="275"/>
      <c r="AK1" s="275"/>
      <c r="AL1" s="275"/>
      <c r="AM1" s="275"/>
      <c r="AN1" s="275"/>
      <c r="AO1" s="275"/>
      <c r="AP1" s="275"/>
      <c r="AQ1" s="275"/>
      <c r="AR1" s="275"/>
      <c r="AS1" s="275"/>
      <c r="AT1" s="275"/>
      <c r="AU1" s="275"/>
      <c r="AV1" s="275"/>
      <c r="AW1" s="275"/>
      <c r="AX1" s="276"/>
      <c r="AY1" s="274" t="str">
        <f>IF('Données projet'!$B$11="","",'Données projet'!$B$11)</f>
        <v>Chêne chevelu</v>
      </c>
      <c r="AZ1" s="275"/>
      <c r="BA1" s="275"/>
      <c r="BB1" s="275"/>
      <c r="BC1" s="275"/>
      <c r="BD1" s="275"/>
      <c r="BE1" s="275"/>
      <c r="BF1" s="275"/>
      <c r="BG1" s="275"/>
      <c r="BH1" s="275"/>
      <c r="BI1" s="275"/>
      <c r="BJ1" s="275"/>
      <c r="BK1" s="275"/>
      <c r="BL1" s="275"/>
      <c r="BM1" s="275"/>
      <c r="BN1" s="275"/>
      <c r="BO1" s="275"/>
      <c r="BP1" s="275"/>
      <c r="BQ1" s="275"/>
      <c r="BR1" s="275"/>
      <c r="BS1" s="276"/>
      <c r="BT1" s="274" t="str">
        <f>IF('Données projet'!$B$12="","",'Données projet'!$B$12)</f>
        <v>Chêne vert</v>
      </c>
      <c r="BU1" s="275"/>
      <c r="BV1" s="275"/>
      <c r="BW1" s="275"/>
      <c r="BX1" s="275"/>
      <c r="BY1" s="275"/>
      <c r="BZ1" s="275"/>
      <c r="CA1" s="275"/>
      <c r="CB1" s="275"/>
      <c r="CC1" s="275"/>
      <c r="CD1" s="275"/>
      <c r="CE1" s="275"/>
      <c r="CF1" s="275"/>
      <c r="CG1" s="275"/>
      <c r="CH1" s="275"/>
      <c r="CI1" s="275"/>
      <c r="CJ1" s="275"/>
      <c r="CK1" s="275"/>
      <c r="CL1" s="275"/>
      <c r="CM1" s="275"/>
      <c r="CN1" s="276"/>
      <c r="CO1" s="274" t="str">
        <f>IF('Données projet'!$B$13="","",'Données projet'!$B$13)</f>
        <v>Chêne pubescent</v>
      </c>
      <c r="CP1" s="275"/>
      <c r="CQ1" s="275"/>
      <c r="CR1" s="275"/>
      <c r="CS1" s="275"/>
      <c r="CT1" s="275"/>
      <c r="CU1" s="275"/>
      <c r="CV1" s="275"/>
      <c r="CW1" s="275"/>
      <c r="CX1" s="275"/>
      <c r="CY1" s="275"/>
      <c r="CZ1" s="275"/>
      <c r="DA1" s="275"/>
      <c r="DB1" s="275"/>
      <c r="DC1" s="275"/>
      <c r="DD1" s="275"/>
      <c r="DE1" s="275"/>
      <c r="DF1" s="275"/>
      <c r="DG1" s="275"/>
      <c r="DH1" s="275"/>
      <c r="DI1" s="276"/>
      <c r="DJ1" s="274" t="str">
        <f>IF('Données projet'!$B$14="","",'Données projet'!$B$14)</f>
        <v>Charme</v>
      </c>
      <c r="DK1" s="275"/>
      <c r="DL1" s="275"/>
      <c r="DM1" s="275"/>
      <c r="DN1" s="275"/>
      <c r="DO1" s="275"/>
      <c r="DP1" s="275"/>
      <c r="DQ1" s="275"/>
      <c r="DR1" s="275"/>
      <c r="DS1" s="275"/>
      <c r="DT1" s="275"/>
      <c r="DU1" s="275"/>
      <c r="DV1" s="275"/>
      <c r="DW1" s="275"/>
      <c r="DX1" s="275"/>
      <c r="DY1" s="275"/>
      <c r="DZ1" s="275"/>
      <c r="EA1" s="275"/>
      <c r="EB1" s="275"/>
      <c r="EC1" s="275"/>
      <c r="ED1" s="276"/>
      <c r="EE1" s="274" t="str">
        <f>IF('Données projet'!$B$15="","",'Données projet'!$B$15)</f>
        <v/>
      </c>
      <c r="EF1" s="275"/>
      <c r="EG1" s="275"/>
      <c r="EH1" s="275"/>
      <c r="EI1" s="275"/>
      <c r="EJ1" s="275"/>
      <c r="EK1" s="275"/>
      <c r="EL1" s="275"/>
      <c r="EM1" s="275"/>
      <c r="EN1" s="275"/>
      <c r="EO1" s="275"/>
      <c r="EP1" s="275"/>
      <c r="EQ1" s="275"/>
      <c r="ER1" s="275"/>
      <c r="ES1" s="275"/>
      <c r="ET1" s="275"/>
      <c r="EU1" s="275"/>
      <c r="EV1" s="275"/>
      <c r="EW1" s="275"/>
      <c r="EX1" s="275"/>
      <c r="EY1" s="276"/>
      <c r="EZ1" s="274" t="str">
        <f>IF('Données projet'!$B$16="","",'Données projet'!$B$16)</f>
        <v/>
      </c>
      <c r="FA1" s="275"/>
      <c r="FB1" s="275"/>
      <c r="FC1" s="275"/>
      <c r="FD1" s="275"/>
      <c r="FE1" s="275"/>
      <c r="FF1" s="275"/>
      <c r="FG1" s="275"/>
      <c r="FH1" s="275"/>
      <c r="FI1" s="275"/>
      <c r="FJ1" s="275"/>
      <c r="FK1" s="275"/>
      <c r="FL1" s="275"/>
      <c r="FM1" s="275"/>
      <c r="FN1" s="275"/>
      <c r="FO1" s="275"/>
      <c r="FP1" s="275"/>
      <c r="FQ1" s="275"/>
      <c r="FR1" s="275"/>
      <c r="FS1" s="275"/>
      <c r="FT1" s="276"/>
      <c r="FU1" s="274" t="str">
        <f>IF('Données projet'!$B$17="","",'Données projet'!$B$17)</f>
        <v/>
      </c>
      <c r="FV1" s="275"/>
      <c r="FW1" s="275"/>
      <c r="FX1" s="275"/>
      <c r="FY1" s="275"/>
      <c r="FZ1" s="275"/>
      <c r="GA1" s="275"/>
      <c r="GB1" s="275"/>
      <c r="GC1" s="275"/>
      <c r="GD1" s="275"/>
      <c r="GE1" s="275"/>
      <c r="GF1" s="275"/>
      <c r="GG1" s="275"/>
      <c r="GH1" s="275"/>
      <c r="GI1" s="275"/>
      <c r="GJ1" s="275"/>
      <c r="GK1" s="275"/>
      <c r="GL1" s="275"/>
      <c r="GM1" s="275"/>
      <c r="GN1" s="275"/>
      <c r="GO1" s="276"/>
      <c r="GP1" s="274" t="str">
        <f>IF('Données projet'!$B$18="","",'Données projet'!$B$18)</f>
        <v/>
      </c>
      <c r="GQ1" s="275"/>
      <c r="GR1" s="275"/>
      <c r="GS1" s="275"/>
      <c r="GT1" s="275"/>
      <c r="GU1" s="275"/>
      <c r="GV1" s="275"/>
      <c r="GW1" s="275"/>
      <c r="GX1" s="275"/>
      <c r="GY1" s="275"/>
      <c r="GZ1" s="275"/>
      <c r="HA1" s="275"/>
      <c r="HB1" s="275"/>
      <c r="HC1" s="275"/>
      <c r="HD1" s="275"/>
      <c r="HE1" s="275"/>
      <c r="HF1" s="275"/>
      <c r="HG1" s="275"/>
      <c r="HH1" s="275"/>
      <c r="HI1" s="275"/>
      <c r="HJ1" s="276"/>
    </row>
    <row r="2" spans="1:218" ht="58.2" thickBot="1" x14ac:dyDescent="0.35">
      <c r="A2" s="70" t="s">
        <v>178</v>
      </c>
      <c r="B2" s="71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5" t="s">
        <v>299</v>
      </c>
      <c r="I2" s="67" t="s">
        <v>298</v>
      </c>
      <c r="J2" s="68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8" t="s">
        <v>298</v>
      </c>
      <c r="AE2" s="68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7" t="s">
        <v>298</v>
      </c>
      <c r="AZ2" s="68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7" t="s">
        <v>298</v>
      </c>
      <c r="BU2" s="68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7" t="s">
        <v>298</v>
      </c>
      <c r="CP2" s="68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7" t="s">
        <v>298</v>
      </c>
      <c r="DK2" s="68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7" t="s">
        <v>298</v>
      </c>
      <c r="EF2" s="68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7" t="s">
        <v>298</v>
      </c>
      <c r="FA2" s="68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7" t="s">
        <v>298</v>
      </c>
      <c r="FV2" s="68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7" t="s">
        <v>298</v>
      </c>
      <c r="GQ2" s="68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2">
        <f>'Scénario référence'!$B$16*5+'Scénario référence'!$B$17*0+'Scénario référence'!$B$18*5</f>
        <v>4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14.666666666666666</v>
      </c>
      <c r="H3" s="66">
        <f>(B3+E3+F3)*44/12+(C3+D3)*0.475*44/12</f>
        <v>159.86666666666667</v>
      </c>
      <c r="I3" s="6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145.20000000000002</v>
      </c>
      <c r="S3" s="59">
        <f ca="1">AVERAGE(OFFSET($R$3,0,0,'Données projet'!$E$9+1,1))-AVERAGE(OFFSET($H$3,0,0,'Données projet'!$E$9+1,1))</f>
        <v>140.03175887621094</v>
      </c>
      <c r="T3" s="59">
        <f>IF('Données projet'!E9&gt;30,$R$33-$H$33,LOOKUP('Données projet'!$E$9,$A$3:$A$203,R3:R203)-LOOKUP('Données projet'!$E$9,$A$3:$A$203,$H$3:$H$203))</f>
        <v>377.29475975964954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145.20000000000002</v>
      </c>
      <c r="AN3" s="59">
        <f ca="1">AVERAGE(OFFSET($AM$3,0,0,'Données projet'!$E$10+1,1))-AVERAGE(OFFSET($H$3,0,0,'Données projet'!$E$10+1,1))</f>
        <v>138.27364731587764</v>
      </c>
      <c r="AO3" s="59">
        <f>IF('Données projet'!E10&gt;30,$AM$33-$H$33,LOOKUP('Données projet'!$E$10,$A$3:$A$203,AM3:AM203)-LOOKUP('Données projet'!$E$10,$A$3:$A$203,$H$3:$H$203))</f>
        <v>372.50391467700013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145.20000000000002</v>
      </c>
      <c r="BI3" s="59">
        <f ca="1">AVERAGE(OFFSET($BH$3,0,0,'Données projet'!$E$11+1,1))-AVERAGE(OFFSET($H$3,0,0,'Données projet'!$E$11+1,1))</f>
        <v>638.07304290599211</v>
      </c>
      <c r="BJ3" s="59">
        <f>IF('Données projet'!E11&gt;30,$BH$33-$H$33,LOOKUP('Données projet'!$E$11,$A$3:$A$203,BH3:BH203)-LOOKUP('Données projet'!$E$11,$A$3:$A$203,$H$3:$H$203))</f>
        <v>408.22196233793511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145.20000000000002</v>
      </c>
      <c r="CD3" s="59">
        <f ca="1">AVERAGE(OFFSET($CC$3,0,0,'Données projet'!$E$12+1,1))-AVERAGE(OFFSET($H$3,0,0,'Données projet'!$E$12+1,1))</f>
        <v>685.99951993586967</v>
      </c>
      <c r="CE3" s="59">
        <f>IF('Données projet'!E12&gt;30,$CC$33-$H$33,LOOKUP('Données projet'!$E$12,$A$3:$A$203,CC3:CC203)-LOOKUP('Données projet'!$E$12,$A$3:$A$203,$H$3:$H$203))</f>
        <v>437.98014017823095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145.20000000000002</v>
      </c>
      <c r="CY3" s="59">
        <f ca="1">AVERAGE(OFFSET($CX$3,0,0,'Données projet'!$E$13+1,1))-AVERAGE(OFFSET($H$3,0,0,'Données projet'!$E$13+1,1))</f>
        <v>622.07867348539082</v>
      </c>
      <c r="CZ3" s="59">
        <f>IF('Données projet'!E13&gt;30,$CX$33-$H$33,LOOKUP('Données projet'!$E$13,$A$3:$A$203,CX3:CX203)-LOOKUP('Données projet'!$E$13,$A$3:$A$203,$H$3:$H$203))</f>
        <v>398.29010684041634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145.20000000000002</v>
      </c>
      <c r="DT3" s="59">
        <f ca="1">AVERAGE(OFFSET($DS$3,0,0,'Données projet'!$E$14+1,1))-AVERAGE(OFFSET($H$3,0,0,'Données projet'!$E$14+1,1))</f>
        <v>590.05965493677377</v>
      </c>
      <c r="DU3" s="59">
        <f>IF('Données projet'!E14&gt;30,$DS$33-$H$33,LOOKUP('Données projet'!$E$14,$A$3:$A$203,DS3:DS203)-LOOKUP('Données projet'!$E$14,$A$3:$A$203,$H$3:$H$203))</f>
        <v>378.40640480134505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39.6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2">
        <f>'Scénario référence'!$B$16*5+'Scénario référence'!$B$17*0+'Scénario référence'!$B$18*5</f>
        <v>4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14.666666666666666</v>
      </c>
      <c r="H4" s="66">
        <f t="shared" ref="H4:H67" si="1">(B4+E4+F4)*44/12+(C4+D4)*0.475*44/12</f>
        <v>159.86666666666667</v>
      </c>
      <c r="I4" s="6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1.6666666666666667</v>
      </c>
      <c r="N4" s="13">
        <f>IF('Données projet'!$A$36&gt;35,N3+M4-V3,IF(A4&lt;'Données projet'!$A$36,$K$205^A4,IF(A4='Données projet'!$A$36,'Données projet'!$B$36,N3+M4-V3)))</f>
        <v>1.5281421358157987</v>
      </c>
      <c r="O4" s="13">
        <f>N4*VLOOKUP('Données projet'!$B$9,Paramètres!$A$1:$I$89,3,0)*VLOOKUP('Données projet'!$B$9,Paramètres!$A$1:$I$89,5,0)</f>
        <v>0.78191976805422803</v>
      </c>
      <c r="P4" s="13">
        <f>EXP(-1.0587+0.8836*LN(O4)+0.284)</f>
        <v>0.3708089248681119</v>
      </c>
      <c r="Q4" s="20">
        <f t="shared" ref="Q4:Q34" si="2">(O4+P4)*0.475*44/12</f>
        <v>2.0076691401730753</v>
      </c>
      <c r="R4" s="59">
        <f t="shared" si="0"/>
        <v>150.36358882692849</v>
      </c>
      <c r="S4" s="59">
        <f ca="1">AVERAGE(OFFSET($R$3,0,0,'Données projet'!$E$9+1,1))-AVERAGE(OFFSET($H$3,0,0,'Données projet'!$E$9+1,1))</f>
        <v>140.03175887621094</v>
      </c>
      <c r="T4" s="59">
        <f>$T$3</f>
        <v>377.29475975964954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1.6666666666666667</v>
      </c>
      <c r="AI4" s="13">
        <f>IF('Données projet'!$A$62&gt;35,AI3+AH4-AQ3,IF(A4&lt;'Données projet'!$A$62,$AF$205^A4,IF(A4='Données projet'!$A$62,'Données projet'!$B$62,AI3+AH4-AQ3)))</f>
        <v>1.5281421358157987</v>
      </c>
      <c r="AJ4" s="13">
        <f>AI4*VLOOKUP('Données projet'!$B$10,Paramètres!$A$1:$I$89,3,0)*VLOOKUP('Données projet'!$B$10,Paramètres!$A$1:$I$89,5,0)</f>
        <v>0.77000025939486472</v>
      </c>
      <c r="AK4" s="13">
        <f>EXP(-1.0587+0.8836*LN(AJ4)+0.284)</f>
        <v>0.36580985299234398</v>
      </c>
      <c r="AL4" s="20">
        <f t="shared" ref="AL4:AL67" si="4">(AJ4+AK4)*0.475*44/12</f>
        <v>1.9782026124077217</v>
      </c>
      <c r="AM4" s="59">
        <f t="shared" ref="AM4:AM67" si="5">AL4+(AD4+AE4)*44/12</f>
        <v>150.33412229916314</v>
      </c>
      <c r="AN4" s="59">
        <f ca="1">AVERAGE(OFFSET($AM$3,0,0,'Données projet'!$E$10+1,1))-AVERAGE(OFFSET($H$3,0,0,'Données projet'!$E$10+1,1))</f>
        <v>138.27364731587764</v>
      </c>
      <c r="AO4" s="59">
        <f>$AO$3</f>
        <v>372.50391467700013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3.65</v>
      </c>
      <c r="BD4" s="12">
        <f>IF('Données projet'!$A$88&gt;35,BD3+BC4-BL3,IF(A4&lt;'Données projet'!$A$88,$BA$205^A4,IF(A4='Données projet'!$A$88,'Données projet'!$B$88,BD3+BC4-BL3)))</f>
        <v>1.2392705892426346</v>
      </c>
      <c r="BE4" s="13">
        <f>BD4*VLOOKUP('Données projet'!$B$11,Paramètres!$A$1:$I$89,3,0)*VLOOKUP('Données projet'!$B$11,Paramètres!$A$1:$I$89,5,0)</f>
        <v>1.2952856198764018</v>
      </c>
      <c r="BF4" s="13">
        <f>EXP(-1.0587+0.8836*LN(BE4)+0.284)</f>
        <v>0.57921294517312394</v>
      </c>
      <c r="BG4" s="20">
        <f t="shared" ref="BG4:BG67" si="7">(BE4+BF4)*0.475*44/12</f>
        <v>3.2647516674612578</v>
      </c>
      <c r="BH4" s="59">
        <f t="shared" ref="BH4:BH67" si="8">BG4+(AY4+AZ4)*44/12</f>
        <v>151.62067135421668</v>
      </c>
      <c r="BI4" s="59">
        <f ca="1">AVERAGE(OFFSET($BH$3,0,0,'Données projet'!$E$11+1,1))-AVERAGE(OFFSET($H$3,0,0,'Données projet'!$E$11+1,1))</f>
        <v>638.07304290599211</v>
      </c>
      <c r="BJ4" s="59">
        <f>$BJ$3</f>
        <v>408.22196233793511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1.4112813470295122</v>
      </c>
      <c r="CA4" s="13">
        <f>EXP(-1.0587+0.8836*LN(BZ4)+0.284)</f>
        <v>0.6248138432801692</v>
      </c>
      <c r="CB4" s="20">
        <f t="shared" ref="CB4:CB67" si="10">(BZ4+CA4)*0.475*44/12</f>
        <v>3.5461991231226953</v>
      </c>
      <c r="CC4" s="59">
        <f t="shared" ref="CC4:CC67" si="11">CB4+(BT4+BU4)*44/12</f>
        <v>151.90211880987812</v>
      </c>
      <c r="CD4" s="59">
        <f ca="1">AVERAGE(OFFSET($CC$3,0,0,'Données projet'!$E$12+1,1))-AVERAGE(OFFSET($H$3,0,0,'Données projet'!$E$12+1,1))</f>
        <v>685.99951993586967</v>
      </c>
      <c r="CE4" s="59">
        <f>$CE$3</f>
        <v>437.98014017823095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3.65</v>
      </c>
      <c r="CT4" s="12">
        <f>IF('Données projet'!$A$140&gt;35,CT3+CS4-DB3,IF(A4&lt;'Données projet'!$A$140,$CQ$205^A4,IF(A4='Données projet'!$A$140,'Données projet'!$B$140,CT3+CS4-DB3)))</f>
        <v>1.2392705892426346</v>
      </c>
      <c r="CU4" s="17">
        <f>CT4*VLOOKUP('Données projet'!$B$13,Paramètres!$A$1:$I$89,3,0)*VLOOKUP('Données projet'!$B$13,Paramètres!$A$1:$I$89,5,0)</f>
        <v>1.2566203774920315</v>
      </c>
      <c r="CV4" s="13">
        <f>EXP(-1.0587+0.8836*LN(CU4)+0.284)</f>
        <v>0.56390871417545174</v>
      </c>
      <c r="CW4" s="20">
        <f t="shared" ref="CW4:CW67" si="13">(CU4+CV4)*0.475*44/12</f>
        <v>3.1707548346542</v>
      </c>
      <c r="CX4" s="59">
        <f t="shared" ref="CX4:CX67" si="14">CW4+(CO4+CP4)*44/12</f>
        <v>151.5266745214096</v>
      </c>
      <c r="CY4" s="59">
        <f ca="1">AVERAGE(OFFSET($CX$3,0,0,'Données projet'!$E$13+1,1))-AVERAGE(OFFSET($H$3,0,0,'Données projet'!$E$13+1,1))</f>
        <v>622.07867348539082</v>
      </c>
      <c r="CZ4" s="59">
        <f>$CZ$3</f>
        <v>398.29010684041634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3.65</v>
      </c>
      <c r="DO4" s="12">
        <f>IF('Données projet'!$A$166&gt;35,DO3+DN4-DW3,IF(A4&lt;'Données projet'!$A$166,$DL$205^A4,IF(A4='Données projet'!$A$166,'Données projet'!$B$166,DO3+DN4-DW3)))</f>
        <v>1.2392705892426346</v>
      </c>
      <c r="DP4" s="17">
        <f>DO4*VLOOKUP('Données projet'!$B$14,Paramètres!$A$1:$I$89,3,0)*VLOOKUP('Données projet'!$B$14,Paramètres!$A$1:$I$89,5,0)</f>
        <v>1.1792898927232911</v>
      </c>
      <c r="DQ4" s="13">
        <f>EXP(-1.0587+0.8836*LN(DP4)+0.284)</f>
        <v>0.53313354102797472</v>
      </c>
      <c r="DR4" s="20">
        <f t="shared" ref="DR4:DR67" si="16">(DP4+DQ4)*0.475*44/12</f>
        <v>2.9824708137834541</v>
      </c>
      <c r="DS4" s="59">
        <f t="shared" ref="DS4:DS67" si="17">DR4+(DJ4+DK4)*44/12</f>
        <v>151.33839050053888</v>
      </c>
      <c r="DT4" s="59">
        <f ca="1">AVERAGE(OFFSET($DS$3,0,0,'Données projet'!$E$14+1,1))-AVERAGE(OFFSET($H$3,0,0,'Données projet'!$E$14+1,1))</f>
        <v>590.05965493677377</v>
      </c>
      <c r="DU4" s="59">
        <f>$DU$3</f>
        <v>378.40640480134505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40.127372035781775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2">
        <f>'Scénario référence'!$B$16*5+'Scénario référence'!$B$17*0+'Scénario référence'!$B$18*5</f>
        <v>4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14.666666666666666</v>
      </c>
      <c r="H5" s="66">
        <f t="shared" si="1"/>
        <v>159.86666666666667</v>
      </c>
      <c r="I5" s="6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1.6666666666666667</v>
      </c>
      <c r="N5" s="13">
        <f>IF('Données projet'!$A$36&gt;35,N4+M5-V4,IF(A5&lt;'Données projet'!$A$36,$K$205^A5,IF(A5='Données projet'!$A$36,'Données projet'!$B$36,N4+M5-V4)))</f>
        <v>2.3352183872556709</v>
      </c>
      <c r="O5" s="13">
        <f>N5*VLOOKUP('Données projet'!$B$9,Paramètres!$A$1:$I$89,3,0)*VLOOKUP('Données projet'!$B$9,Paramètres!$A$1:$I$89,5,0)</f>
        <v>1.1948845443909817</v>
      </c>
      <c r="P5" s="13">
        <f t="shared" ref="P5:P68" si="33">EXP(-1.0587+0.8836*LN(O5)+0.284)</f>
        <v>0.5393581787230638</v>
      </c>
      <c r="Q5" s="20">
        <f t="shared" si="2"/>
        <v>3.0204727427569629</v>
      </c>
      <c r="R5" s="59">
        <f t="shared" si="0"/>
        <v>154.49876678835801</v>
      </c>
      <c r="S5" s="59">
        <f ca="1">AVERAGE(OFFSET($R$3,0,0,'Données projet'!$E$9+1,1))-AVERAGE(OFFSET($H$3,0,0,'Données projet'!$E$9+1,1))</f>
        <v>140.03175887621094</v>
      </c>
      <c r="T5" s="59">
        <f t="shared" ref="T5:T68" si="34">$T$3</f>
        <v>377.29475975964954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1.6666666666666667</v>
      </c>
      <c r="AI5" s="13">
        <f>IF('Données projet'!$A$62&gt;35,AI4+AH5-AQ4,IF(A5&lt;'Données projet'!$A$62,$AF$205^A5,IF(A5='Données projet'!$A$62,'Données projet'!$B$62,AI4+AH5-AQ4)))</f>
        <v>2.3352183872556709</v>
      </c>
      <c r="AJ5" s="13">
        <f>AI5*VLOOKUP('Données projet'!$B$10,Paramètres!$A$1:$I$89,3,0)*VLOOKUP('Données projet'!$B$10,Paramètres!$A$1:$I$89,5,0)</f>
        <v>1.1766698409703875</v>
      </c>
      <c r="AK5" s="13">
        <f t="shared" ref="AK5:AK68" si="35">EXP(-1.0587+0.8836*LN(AJ5)+0.284)</f>
        <v>0.53208680492002258</v>
      </c>
      <c r="AL5" s="20">
        <f t="shared" si="4"/>
        <v>2.9760844915924642</v>
      </c>
      <c r="AM5" s="59">
        <f t="shared" si="5"/>
        <v>154.45437853719352</v>
      </c>
      <c r="AN5" s="59">
        <f ca="1">AVERAGE(OFFSET($AM$3,0,0,'Données projet'!$E$10+1,1))-AVERAGE(OFFSET($H$3,0,0,'Données projet'!$E$10+1,1))</f>
        <v>138.27364731587764</v>
      </c>
      <c r="AO5" s="59">
        <f t="shared" ref="AO5:AO68" si="36">$AO$3</f>
        <v>372.50391467700013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3.65</v>
      </c>
      <c r="BD5" s="12">
        <f>IF('Données projet'!$A$88&gt;35,BD4+BC5-BL4,IF(A5&lt;'Données projet'!$A$88,$BA$205^A5,IF(A5='Données projet'!$A$88,'Données projet'!$B$88,BD4+BC5-BL4)))</f>
        <v>1.5357915933617867</v>
      </c>
      <c r="BE5" s="13">
        <f>BD5*VLOOKUP('Données projet'!$B$11,Paramètres!$A$1:$I$89,3,0)*VLOOKUP('Données projet'!$B$11,Paramètres!$A$1:$I$89,5,0)</f>
        <v>1.6052093733817396</v>
      </c>
      <c r="BF5" s="13">
        <f t="shared" ref="BF5:BF68" si="37">EXP(-1.0587+0.8836*LN(BE5)+0.284)</f>
        <v>0.70009965487896453</v>
      </c>
      <c r="BG5" s="20">
        <f t="shared" si="7"/>
        <v>4.0150798908873933</v>
      </c>
      <c r="BH5" s="59">
        <f t="shared" si="8"/>
        <v>155.49337393648844</v>
      </c>
      <c r="BI5" s="59">
        <f ca="1">AVERAGE(OFFSET($BH$3,0,0,'Données projet'!$E$11+1,1))-AVERAGE(OFFSET($H$3,0,0,'Données projet'!$E$11+1,1))</f>
        <v>638.07304290599211</v>
      </c>
      <c r="BJ5" s="59">
        <f t="shared" ref="BJ5:BJ68" si="38">$BJ$3</f>
        <v>408.22196233793511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1.7489594665204027</v>
      </c>
      <c r="CA5" s="13">
        <f t="shared" ref="CA5:CA68" si="39">EXP(-1.0587+0.8836*LN(BZ5)+0.284)</f>
        <v>0.75521785155077914</v>
      </c>
      <c r="CB5" s="20">
        <f t="shared" si="10"/>
        <v>4.3614421623073083</v>
      </c>
      <c r="CC5" s="59">
        <f t="shared" si="11"/>
        <v>155.83973620790835</v>
      </c>
      <c r="CD5" s="59">
        <f ca="1">AVERAGE(OFFSET($CC$3,0,0,'Données projet'!$E$12+1,1))-AVERAGE(OFFSET($H$3,0,0,'Données projet'!$E$12+1,1))</f>
        <v>685.99951993586967</v>
      </c>
      <c r="CE5" s="59">
        <f t="shared" ref="CE5:CE68" si="40">$CE$3</f>
        <v>437.98014017823095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3.65</v>
      </c>
      <c r="CT5" s="12">
        <f>IF('Données projet'!$A$140&gt;35,CT4+CS5-DB4,IF(A5&lt;'Données projet'!$A$140,$CQ$205^A5,IF(A5='Données projet'!$A$140,'Données projet'!$B$140,CT4+CS5-DB4)))</f>
        <v>1.5357915933617867</v>
      </c>
      <c r="CU5" s="17">
        <f>CT5*VLOOKUP('Données projet'!$B$13,Paramètres!$A$1:$I$89,3,0)*VLOOKUP('Données projet'!$B$13,Paramètres!$A$1:$I$89,5,0)</f>
        <v>1.5572926756688519</v>
      </c>
      <c r="CV5" s="13">
        <f t="shared" ref="CV5:CV68" si="41">EXP(-1.0587+0.8836*LN(CU5)+0.284)</f>
        <v>0.68160129960402205</v>
      </c>
      <c r="CW5" s="20">
        <f t="shared" si="13"/>
        <v>3.8994070069335893</v>
      </c>
      <c r="CX5" s="59">
        <f t="shared" si="14"/>
        <v>155.37770105253463</v>
      </c>
      <c r="CY5" s="59">
        <f ca="1">AVERAGE(OFFSET($CX$3,0,0,'Données projet'!$E$13+1,1))-AVERAGE(OFFSET($H$3,0,0,'Données projet'!$E$13+1,1))</f>
        <v>622.07867348539082</v>
      </c>
      <c r="CZ5" s="59">
        <f t="shared" ref="CZ5:CZ68" si="42">$CZ$3</f>
        <v>398.29010684041634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3.65</v>
      </c>
      <c r="DO5" s="12">
        <f>IF('Données projet'!$A$166&gt;35,DO4+DN5-DW4,IF(A5&lt;'Données projet'!$A$166,$DL$205^A5,IF(A5='Données projet'!$A$166,'Données projet'!$B$166,DO4+DN5-DW4)))</f>
        <v>1.5357915933617867</v>
      </c>
      <c r="DP5" s="17">
        <f>DO5*VLOOKUP('Données projet'!$B$14,Paramètres!$A$1:$I$89,3,0)*VLOOKUP('Données projet'!$B$14,Paramètres!$A$1:$I$89,5,0)</f>
        <v>1.4614592802430761</v>
      </c>
      <c r="DQ5" s="13">
        <f t="shared" ref="DQ5:DQ68" si="43">EXP(-1.0587+0.8836*LN(DP5)+0.284)</f>
        <v>0.64440308385463263</v>
      </c>
      <c r="DR5" s="20">
        <f t="shared" si="16"/>
        <v>3.6677102841368421</v>
      </c>
      <c r="DS5" s="59">
        <f t="shared" si="17"/>
        <v>155.14600432973788</v>
      </c>
      <c r="DT5" s="59">
        <f ca="1">AVERAGE(OFFSET($DS$3,0,0,'Données projet'!$E$14+1,1))-AVERAGE(OFFSET($H$3,0,0,'Données projet'!$E$14+1,1))</f>
        <v>590.05965493677377</v>
      </c>
      <c r="DU5" s="59">
        <f t="shared" ref="DU5:DU68" si="44">$DU$3</f>
        <v>378.40640480134505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40.645595345769983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2">
        <f>'Scénario référence'!$B$16*5+'Scénario référence'!$B$17*0+'Scénario référence'!$B$18*5</f>
        <v>4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14.666666666666666</v>
      </c>
      <c r="H6" s="66">
        <f t="shared" si="1"/>
        <v>159.86666666666667</v>
      </c>
      <c r="I6" s="6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1.6666666666666667</v>
      </c>
      <c r="N6" s="13">
        <f>IF('Données projet'!$A$36&gt;35,N5+M6-V5,IF(A6&lt;'Données projet'!$A$36,$K$205^A6,IF(A6='Données projet'!$A$36,'Données projet'!$B$36,N5+M6-V5)))</f>
        <v>3.5685456138972058</v>
      </c>
      <c r="O6" s="13">
        <f>N6*VLOOKUP('Données projet'!$B$9,Paramètres!$A$1:$I$89,3,0)*VLOOKUP('Données projet'!$B$9,Paramètres!$A$1:$I$89,5,0)</f>
        <v>1.8259534197189222</v>
      </c>
      <c r="P6" s="13">
        <f t="shared" si="33"/>
        <v>0.78452061276283858</v>
      </c>
      <c r="Q6" s="20">
        <f t="shared" si="2"/>
        <v>4.5465756065723992</v>
      </c>
      <c r="R6" s="59">
        <f t="shared" si="0"/>
        <v>159.1142806195524</v>
      </c>
      <c r="S6" s="59">
        <f ca="1">AVERAGE(OFFSET($R$3,0,0,'Données projet'!$E$9+1,1))-AVERAGE(OFFSET($H$3,0,0,'Données projet'!$E$9+1,1))</f>
        <v>140.03175887621094</v>
      </c>
      <c r="T6" s="59">
        <f t="shared" si="34"/>
        <v>377.29475975964954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1.6666666666666667</v>
      </c>
      <c r="AI6" s="13">
        <f>IF('Données projet'!$A$62&gt;35,AI5+AH6-AQ5,IF(A6&lt;'Données projet'!$A$62,$AF$205^A6,IF(A6='Données projet'!$A$62,'Données projet'!$B$62,AI5+AH6-AQ5)))</f>
        <v>3.5685456138972058</v>
      </c>
      <c r="AJ6" s="13">
        <f>AI6*VLOOKUP('Données projet'!$B$10,Paramètres!$A$1:$I$89,3,0)*VLOOKUP('Données projet'!$B$10,Paramètres!$A$1:$I$89,5,0)</f>
        <v>1.7981187639305241</v>
      </c>
      <c r="AK6" s="13">
        <f t="shared" si="35"/>
        <v>0.77394407409776234</v>
      </c>
      <c r="AL6" s="20">
        <f t="shared" si="4"/>
        <v>4.4796761095659319</v>
      </c>
      <c r="AM6" s="59">
        <f t="shared" si="5"/>
        <v>159.04738112254594</v>
      </c>
      <c r="AN6" s="59">
        <f ca="1">AVERAGE(OFFSET($AM$3,0,0,'Données projet'!$E$10+1,1))-AVERAGE(OFFSET($H$3,0,0,'Données projet'!$E$10+1,1))</f>
        <v>138.27364731587764</v>
      </c>
      <c r="AO6" s="59">
        <f t="shared" si="36"/>
        <v>372.50391467700013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3.65</v>
      </c>
      <c r="BD6" s="12">
        <f>IF('Données projet'!$A$88&gt;35,BD5+BC6-BL5,IF(A6&lt;'Données projet'!$A$88,$BA$205^A6,IF(A6='Données projet'!$A$88,'Données projet'!$B$88,BD5+BC6-BL5)))</f>
        <v>1.9032613528593461</v>
      </c>
      <c r="BE6" s="13">
        <f>BD6*VLOOKUP('Données projet'!$B$11,Paramètres!$A$1:$I$89,3,0)*VLOOKUP('Données projet'!$B$11,Paramètres!$A$1:$I$89,5,0)</f>
        <v>1.9892887660085887</v>
      </c>
      <c r="BF6" s="13">
        <f t="shared" si="37"/>
        <v>0.84621645777468746</v>
      </c>
      <c r="BG6" s="20">
        <f t="shared" si="7"/>
        <v>4.9385049314225391</v>
      </c>
      <c r="BH6" s="59">
        <f t="shared" si="8"/>
        <v>159.50620994440254</v>
      </c>
      <c r="BI6" s="59">
        <f ca="1">AVERAGE(OFFSET($BH$3,0,0,'Données projet'!$E$11+1,1))-AVERAGE(OFFSET($H$3,0,0,'Données projet'!$E$11+1,1))</f>
        <v>638.07304290599211</v>
      </c>
      <c r="BJ6" s="59">
        <f t="shared" si="38"/>
        <v>408.22196233793511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2.1674340286362233</v>
      </c>
      <c r="CA6" s="13">
        <f t="shared" si="39"/>
        <v>0.91283829485388901</v>
      </c>
      <c r="CB6" s="20">
        <f t="shared" si="10"/>
        <v>5.3648076300786123</v>
      </c>
      <c r="CC6" s="59">
        <f t="shared" si="11"/>
        <v>159.93251264305863</v>
      </c>
      <c r="CD6" s="59">
        <f ca="1">AVERAGE(OFFSET($CC$3,0,0,'Données projet'!$E$12+1,1))-AVERAGE(OFFSET($H$3,0,0,'Données projet'!$E$12+1,1))</f>
        <v>685.99951993586967</v>
      </c>
      <c r="CE6" s="59">
        <f t="shared" si="40"/>
        <v>437.98014017823095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3.65</v>
      </c>
      <c r="CT6" s="12">
        <f>IF('Données projet'!$A$140&gt;35,CT5+CS6-DB5,IF(A6&lt;'Données projet'!$A$140,$CQ$205^A6,IF(A6='Données projet'!$A$140,'Données projet'!$B$140,CT5+CS6-DB5)))</f>
        <v>1.9032613528593461</v>
      </c>
      <c r="CU6" s="17">
        <f>CT6*VLOOKUP('Données projet'!$B$13,Paramètres!$A$1:$I$89,3,0)*VLOOKUP('Données projet'!$B$13,Paramètres!$A$1:$I$89,5,0)</f>
        <v>1.9299070117993768</v>
      </c>
      <c r="CV6" s="13">
        <f t="shared" si="41"/>
        <v>0.82385733708903885</v>
      </c>
      <c r="CW6" s="20">
        <f t="shared" si="13"/>
        <v>4.7961395743139903</v>
      </c>
      <c r="CX6" s="59">
        <f t="shared" si="14"/>
        <v>159.36384458729401</v>
      </c>
      <c r="CY6" s="59">
        <f ca="1">AVERAGE(OFFSET($CX$3,0,0,'Données projet'!$E$13+1,1))-AVERAGE(OFFSET($H$3,0,0,'Données projet'!$E$13+1,1))</f>
        <v>622.07867348539082</v>
      </c>
      <c r="CZ6" s="59">
        <f t="shared" si="42"/>
        <v>398.29010684041634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3.65</v>
      </c>
      <c r="DO6" s="12">
        <f>IF('Données projet'!$A$166&gt;35,DO5+DN6-DW5,IF(A6&lt;'Données projet'!$A$166,$DL$205^A6,IF(A6='Données projet'!$A$166,'Données projet'!$B$166,DO5+DN6-DW5)))</f>
        <v>1.9032613528593461</v>
      </c>
      <c r="DP6" s="17">
        <f>DO6*VLOOKUP('Données projet'!$B$14,Paramètres!$A$1:$I$89,3,0)*VLOOKUP('Données projet'!$B$14,Paramètres!$A$1:$I$89,5,0)</f>
        <v>1.8111435033809535</v>
      </c>
      <c r="DQ6" s="13">
        <f t="shared" si="43"/>
        <v>0.77889553465474304</v>
      </c>
      <c r="DR6" s="20">
        <f t="shared" si="16"/>
        <v>4.5109846579121706</v>
      </c>
      <c r="DS6" s="59">
        <f t="shared" si="17"/>
        <v>159.07868967089217</v>
      </c>
      <c r="DT6" s="59">
        <f ca="1">AVERAGE(OFFSET($DS$3,0,0,'Données projet'!$E$14+1,1))-AVERAGE(OFFSET($H$3,0,0,'Données projet'!$E$14+1,1))</f>
        <v>590.05965493677377</v>
      </c>
      <c r="DU6" s="59">
        <f t="shared" si="44"/>
        <v>378.40640480134505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41.154828639903641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2">
        <f>'Scénario référence'!$B$16*5+'Scénario référence'!$B$17*0+'Scénario référence'!$B$18*5</f>
        <v>4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14.666666666666666</v>
      </c>
      <c r="H7" s="66">
        <f t="shared" si="1"/>
        <v>159.86666666666667</v>
      </c>
      <c r="I7" s="6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1.6666666666666667</v>
      </c>
      <c r="N7" s="13">
        <f>IF('Données projet'!$A$36&gt;35,N6+M7-V6,IF(A7&lt;'Données projet'!$A$36,$K$205^A7,IF(A7='Données projet'!$A$36,'Données projet'!$B$36,N6+M7-V6)))</f>
        <v>5.4532449161769767</v>
      </c>
      <c r="O7" s="13">
        <f>N7*VLOOKUP('Données projet'!$B$9,Paramètres!$A$1:$I$89,3,0)*VLOOKUP('Données projet'!$B$9,Paramètres!$A$1:$I$89,5,0)</f>
        <v>2.7903163587094357</v>
      </c>
      <c r="P7" s="13">
        <f t="shared" si="33"/>
        <v>1.1411203466069944</v>
      </c>
      <c r="Q7" s="20">
        <f t="shared" si="2"/>
        <v>6.847252261759448</v>
      </c>
      <c r="R7" s="59">
        <f t="shared" si="0"/>
        <v>164.47197669179866</v>
      </c>
      <c r="S7" s="59">
        <f ca="1">AVERAGE(OFFSET($R$3,0,0,'Données projet'!$E$9+1,1))-AVERAGE(OFFSET($H$3,0,0,'Données projet'!$E$9+1,1))</f>
        <v>140.03175887621094</v>
      </c>
      <c r="T7" s="59">
        <f t="shared" si="34"/>
        <v>377.29475975964954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1.6666666666666667</v>
      </c>
      <c r="AI7" s="13">
        <f>IF('Données projet'!$A$62&gt;35,AI6+AH7-AQ6,IF(A7&lt;'Données projet'!$A$62,$AF$205^A7,IF(A7='Données projet'!$A$62,'Données projet'!$B$62,AI6+AH7-AQ6)))</f>
        <v>5.4532449161769767</v>
      </c>
      <c r="AJ7" s="13">
        <f>AI7*VLOOKUP('Données projet'!$B$10,Paramètres!$A$1:$I$89,3,0)*VLOOKUP('Données projet'!$B$10,Paramètres!$A$1:$I$89,5,0)</f>
        <v>2.747781048363255</v>
      </c>
      <c r="AK7" s="13">
        <f t="shared" si="35"/>
        <v>1.1257362977100629</v>
      </c>
      <c r="AL7" s="20">
        <f t="shared" si="4"/>
        <v>6.7463760444110292</v>
      </c>
      <c r="AM7" s="59">
        <f t="shared" si="5"/>
        <v>164.37110047445023</v>
      </c>
      <c r="AN7" s="59">
        <f ca="1">AVERAGE(OFFSET($AM$3,0,0,'Données projet'!$E$10+1,1))-AVERAGE(OFFSET($H$3,0,0,'Données projet'!$E$10+1,1))</f>
        <v>138.27364731587764</v>
      </c>
      <c r="AO7" s="59">
        <f t="shared" si="36"/>
        <v>372.50391467700013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3.65</v>
      </c>
      <c r="BD7" s="12">
        <f>IF('Données projet'!$A$88&gt;35,BD6+BC7-BL6,IF(A7&lt;'Données projet'!$A$88,$BA$205^A7,IF(A7='Données projet'!$A$88,'Données projet'!$B$88,BD6+BC7-BL6)))</f>
        <v>2.3586558182407358</v>
      </c>
      <c r="BE7" s="13">
        <f>BD7*VLOOKUP('Données projet'!$B$11,Paramètres!$A$1:$I$89,3,0)*VLOOKUP('Données projet'!$B$11,Paramètres!$A$1:$I$89,5,0)</f>
        <v>2.4652670612252172</v>
      </c>
      <c r="BF7" s="13">
        <f t="shared" si="37"/>
        <v>1.0228290907135758</v>
      </c>
      <c r="BG7" s="20">
        <f t="shared" si="7"/>
        <v>6.0751007979600642</v>
      </c>
      <c r="BH7" s="59">
        <f t="shared" si="8"/>
        <v>163.69982522799927</v>
      </c>
      <c r="BI7" s="59">
        <f ca="1">AVERAGE(OFFSET($BH$3,0,0,'Données projet'!$E$11+1,1))-AVERAGE(OFFSET($H$3,0,0,'Données projet'!$E$11+1,1))</f>
        <v>638.07304290599211</v>
      </c>
      <c r="BJ7" s="59">
        <f t="shared" si="38"/>
        <v>408.22196233793511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2.6860372458125501</v>
      </c>
      <c r="CA7" s="13">
        <f t="shared" si="39"/>
        <v>1.1033554766226659</v>
      </c>
      <c r="CB7" s="20">
        <f t="shared" si="10"/>
        <v>6.599858991574667</v>
      </c>
      <c r="CC7" s="59">
        <f t="shared" si="11"/>
        <v>164.22458342161389</v>
      </c>
      <c r="CD7" s="59">
        <f ca="1">AVERAGE(OFFSET($CC$3,0,0,'Données projet'!$E$12+1,1))-AVERAGE(OFFSET($H$3,0,0,'Données projet'!$E$12+1,1))</f>
        <v>685.99951993586967</v>
      </c>
      <c r="CE7" s="59">
        <f t="shared" si="40"/>
        <v>437.98014017823095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3.65</v>
      </c>
      <c r="CT7" s="12">
        <f>IF('Données projet'!$A$140&gt;35,CT6+CS7-DB6,IF(A7&lt;'Données projet'!$A$140,$CQ$205^A7,IF(A7='Données projet'!$A$140,'Données projet'!$B$140,CT6+CS7-DB6)))</f>
        <v>2.3586558182407358</v>
      </c>
      <c r="CU7" s="17">
        <f>CT7*VLOOKUP('Données projet'!$B$13,Paramètres!$A$1:$I$89,3,0)*VLOOKUP('Données projet'!$B$13,Paramètres!$A$1:$I$89,5,0)</f>
        <v>2.3916769996961063</v>
      </c>
      <c r="CV7" s="13">
        <f t="shared" si="41"/>
        <v>0.9958034297612971</v>
      </c>
      <c r="CW7" s="20">
        <f t="shared" si="13"/>
        <v>5.8998617479716442</v>
      </c>
      <c r="CX7" s="59">
        <f t="shared" si="14"/>
        <v>163.52458617801085</v>
      </c>
      <c r="CY7" s="59">
        <f ca="1">AVERAGE(OFFSET($CX$3,0,0,'Données projet'!$E$13+1,1))-AVERAGE(OFFSET($H$3,0,0,'Données projet'!$E$13+1,1))</f>
        <v>622.07867348539082</v>
      </c>
      <c r="CZ7" s="59">
        <f t="shared" si="42"/>
        <v>398.29010684041634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3.65</v>
      </c>
      <c r="DO7" s="12">
        <f>IF('Données projet'!$A$166&gt;35,DO6+DN7-DW6,IF(A7&lt;'Données projet'!$A$166,$DL$205^A7,IF(A7='Données projet'!$A$166,'Données projet'!$B$166,DO6+DN7-DW6)))</f>
        <v>2.3586558182407358</v>
      </c>
      <c r="DP7" s="17">
        <f>DO7*VLOOKUP('Données projet'!$B$14,Paramètres!$A$1:$I$89,3,0)*VLOOKUP('Données projet'!$B$14,Paramètres!$A$1:$I$89,5,0)</f>
        <v>2.2444968766378843</v>
      </c>
      <c r="DQ7" s="13">
        <f t="shared" si="43"/>
        <v>0.94145771351081142</v>
      </c>
      <c r="DR7" s="20">
        <f t="shared" si="16"/>
        <v>5.5488709111756451</v>
      </c>
      <c r="DS7" s="59">
        <f t="shared" si="17"/>
        <v>163.17359534121485</v>
      </c>
      <c r="DT7" s="59">
        <f ca="1">AVERAGE(OFFSET($DS$3,0,0,'Données projet'!$E$14+1,1))-AVERAGE(OFFSET($H$3,0,0,'Données projet'!$E$14+1,1))</f>
        <v>590.05965493677377</v>
      </c>
      <c r="DU7" s="59">
        <f t="shared" si="44"/>
        <v>378.40640480134505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41.655227874859179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2">
        <f>'Scénario référence'!$B$16*5+'Scénario référence'!$B$17*0+'Scénario référence'!$B$18*5</f>
        <v>4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14.666666666666666</v>
      </c>
      <c r="H8" s="66">
        <f t="shared" si="1"/>
        <v>159.86666666666667</v>
      </c>
      <c r="I8" s="6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8.3333333333333339</v>
      </c>
      <c r="L8" s="12">
        <f>VLOOKUP(A8,'Données projet'!$A$35:$I$55,9,0)</f>
        <v>1.6666666666666667</v>
      </c>
      <c r="M8" s="12">
        <f t="array" ref="M8">INDEX(L:L,MIN(IF(ISNUMBER(L8:L204),ROW(L8:L204),"")))</f>
        <v>1.6666666666666667</v>
      </c>
      <c r="N8" s="13">
        <f>IF('Données projet'!$A$36&gt;35,N7+M8-V7,IF(A8&lt;'Données projet'!$A$36,$K$205^A8,IF(A8='Données projet'!$A$36,'Données projet'!$B$36,N7+M8-V7)))</f>
        <v>8.3333333333333339</v>
      </c>
      <c r="O8" s="13">
        <f>N8*VLOOKUP('Données projet'!$B$9,Paramètres!$A$1:$I$89,3,0)*VLOOKUP('Données projet'!$B$9,Paramètres!$A$1:$I$89,5,0)</f>
        <v>4.2640000000000011</v>
      </c>
      <c r="P8" s="13">
        <f t="shared" si="33"/>
        <v>1.6598106209786871</v>
      </c>
      <c r="Q8" s="20">
        <f t="shared" si="2"/>
        <v>10.317303498204549</v>
      </c>
      <c r="R8" s="59">
        <f t="shared" si="0"/>
        <v>170.96721771596452</v>
      </c>
      <c r="S8" s="59">
        <f ca="1">AVERAGE(OFFSET($R$3,0,0,'Données projet'!$E$9+1,1))-AVERAGE(OFFSET($H$3,0,0,'Données projet'!$E$9+1,1))</f>
        <v>140.03175887621094</v>
      </c>
      <c r="T8" s="59">
        <f t="shared" si="34"/>
        <v>377.29475975964954</v>
      </c>
      <c r="U8" s="15">
        <f>IF(ISNA(VLOOKUP(A8,'Données projet'!$A$35:$I$55,3,0)),0,VLOOKUP(A8,'Données projet'!$A$35:$I$55,3,0))</f>
        <v>1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8.3333333333333339</v>
      </c>
      <c r="AG8" s="12">
        <f>VLOOKUP(A8,'Données projet'!$A$61:$I$81,9,0)</f>
        <v>1.6666666666666667</v>
      </c>
      <c r="AH8" s="12">
        <f t="array" ref="AH8">INDEX(AG:AG,MIN(IF(ISNUMBER(AG8:AG204),ROW(AG8:AG204),"")))</f>
        <v>1.6666666666666667</v>
      </c>
      <c r="AI8" s="13">
        <f>IF('Données projet'!$A$62&gt;35,AI7+AH8-AQ7,IF(A8&lt;'Données projet'!$A$62,$AF$205^A8,IF(A8='Données projet'!$A$62,'Données projet'!$B$62,AI7+AH8-AQ7)))</f>
        <v>8.3333333333333339</v>
      </c>
      <c r="AJ8" s="13">
        <f>AI8*VLOOKUP('Données projet'!$B$10,Paramètres!$A$1:$I$89,3,0)*VLOOKUP('Données projet'!$B$10,Paramètres!$A$1:$I$89,5,0)</f>
        <v>4.1990000000000007</v>
      </c>
      <c r="AK8" s="13">
        <f t="shared" si="35"/>
        <v>1.6374338332641334</v>
      </c>
      <c r="AL8" s="20">
        <f t="shared" si="4"/>
        <v>10.1651222596017</v>
      </c>
      <c r="AM8" s="59">
        <f t="shared" si="5"/>
        <v>170.81503647736167</v>
      </c>
      <c r="AN8" s="59">
        <f ca="1">AVERAGE(OFFSET($AM$3,0,0,'Données projet'!$E$10+1,1))-AVERAGE(OFFSET($H$3,0,0,'Données projet'!$E$10+1,1))</f>
        <v>138.27364731587764</v>
      </c>
      <c r="AO8" s="59">
        <f t="shared" si="36"/>
        <v>372.50391467700013</v>
      </c>
      <c r="AP8" s="15">
        <f>IF(ISNA(VLOOKUP(A8,'Données projet'!$A$61:$I$81,3,0)),0,VLOOKUP(A8,'Données projet'!$A$61:$I$81,3,0))</f>
        <v>1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3.65</v>
      </c>
      <c r="BD8" s="12">
        <f>IF('Données projet'!$A$88&gt;35,BD7+BC8-BL7,IF(A8&lt;'Données projet'!$A$88,$BA$205^A8,IF(A8='Données projet'!$A$88,'Données projet'!$B$88,BD7+BC8-BL7)))</f>
        <v>2.9230127856917649</v>
      </c>
      <c r="BE8" s="13">
        <f>BD8*VLOOKUP('Données projet'!$B$11,Paramètres!$A$1:$I$89,3,0)*VLOOKUP('Données projet'!$B$11,Paramètres!$A$1:$I$89,5,0)</f>
        <v>3.0551329636050331</v>
      </c>
      <c r="BF8" s="13">
        <f t="shared" si="37"/>
        <v>1.2363022949956788</v>
      </c>
      <c r="BG8" s="20">
        <f t="shared" si="7"/>
        <v>7.4742497420629066</v>
      </c>
      <c r="BH8" s="59">
        <f t="shared" si="8"/>
        <v>168.12416395982288</v>
      </c>
      <c r="BI8" s="59">
        <f ca="1">AVERAGE(OFFSET($BH$3,0,0,'Données projet'!$E$11+1,1))-AVERAGE(OFFSET($H$3,0,0,'Données projet'!$E$11+1,1))</f>
        <v>638.07304290599211</v>
      </c>
      <c r="BJ8" s="59">
        <f t="shared" si="38"/>
        <v>408.22196233793511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3.3287269603457816</v>
      </c>
      <c r="CA8" s="13">
        <f t="shared" si="39"/>
        <v>1.3336352283381017</v>
      </c>
      <c r="CB8" s="20">
        <f t="shared" si="10"/>
        <v>8.1202808119577643</v>
      </c>
      <c r="CC8" s="59">
        <f t="shared" si="11"/>
        <v>168.77019502971774</v>
      </c>
      <c r="CD8" s="59">
        <f ca="1">AVERAGE(OFFSET($CC$3,0,0,'Données projet'!$E$12+1,1))-AVERAGE(OFFSET($H$3,0,0,'Données projet'!$E$12+1,1))</f>
        <v>685.99951993586967</v>
      </c>
      <c r="CE8" s="59">
        <f t="shared" si="40"/>
        <v>437.98014017823095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3.65</v>
      </c>
      <c r="CT8" s="12">
        <f>IF('Données projet'!$A$140&gt;35,CT7+CS8-DB7,IF(A8&lt;'Données projet'!$A$140,$CQ$205^A8,IF(A8='Données projet'!$A$140,'Données projet'!$B$140,CT7+CS8-DB7)))</f>
        <v>2.9230127856917649</v>
      </c>
      <c r="CU8" s="17">
        <f>CT8*VLOOKUP('Données projet'!$B$13,Paramètres!$A$1:$I$89,3,0)*VLOOKUP('Données projet'!$B$13,Paramètres!$A$1:$I$89,5,0)</f>
        <v>2.9639349646914495</v>
      </c>
      <c r="CV8" s="13">
        <f t="shared" si="41"/>
        <v>1.2036361467970902</v>
      </c>
      <c r="CW8" s="20">
        <f t="shared" si="13"/>
        <v>7.2585196858425398</v>
      </c>
      <c r="CX8" s="59">
        <f t="shared" si="14"/>
        <v>167.90843390360251</v>
      </c>
      <c r="CY8" s="59">
        <f ca="1">AVERAGE(OFFSET($CX$3,0,0,'Données projet'!$E$13+1,1))-AVERAGE(OFFSET($H$3,0,0,'Données projet'!$E$13+1,1))</f>
        <v>622.07867348539082</v>
      </c>
      <c r="CZ8" s="59">
        <f t="shared" si="42"/>
        <v>398.29010684041634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3.65</v>
      </c>
      <c r="DO8" s="12">
        <f>IF('Données projet'!$A$166&gt;35,DO7+DN8-DW7,IF(A8&lt;'Données projet'!$A$166,$DL$205^A8,IF(A8='Données projet'!$A$166,'Données projet'!$B$166,DO7+DN8-DW7)))</f>
        <v>2.9230127856917649</v>
      </c>
      <c r="DP8" s="17">
        <f>DO8*VLOOKUP('Données projet'!$B$14,Paramètres!$A$1:$I$89,3,0)*VLOOKUP('Données projet'!$B$14,Paramètres!$A$1:$I$89,5,0)</f>
        <v>2.7815389668642836</v>
      </c>
      <c r="DQ8" s="13">
        <f t="shared" si="43"/>
        <v>1.1379480134288988</v>
      </c>
      <c r="DR8" s="20">
        <f t="shared" si="16"/>
        <v>6.8264398240106265</v>
      </c>
      <c r="DS8" s="59">
        <f t="shared" si="17"/>
        <v>167.47635404177061</v>
      </c>
      <c r="DT8" s="59">
        <f ca="1">AVERAGE(OFFSET($DS$3,0,0,'Données projet'!$E$14+1,1))-AVERAGE(OFFSET($H$3,0,0,'Données projet'!$E$14+1,1))</f>
        <v>590.05965493677377</v>
      </c>
      <c r="DU8" s="59">
        <f t="shared" si="44"/>
        <v>378.40640480134505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42.14694630181333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2">
        <f>'Scénario référence'!$B$16*5+'Scénario référence'!$B$17*0+'Scénario référence'!$B$18*5</f>
        <v>4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14.666666666666666</v>
      </c>
      <c r="H9" s="66">
        <f t="shared" si="1"/>
        <v>159.86666666666667</v>
      </c>
      <c r="I9" s="6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7.9487179487179471</v>
      </c>
      <c r="N9" s="13">
        <f>IF('Données projet'!$A$36&gt;35,N8+M9-V8,IF(A9&lt;'Données projet'!$A$36,$K$205^A9,IF(A9='Données projet'!$A$36,'Données projet'!$B$36,N8+M9-V8)))</f>
        <v>16.282051282051281</v>
      </c>
      <c r="O9" s="13">
        <f>N9*VLOOKUP('Données projet'!$B$9,Paramètres!$A$1:$I$89,3,0)*VLOOKUP('Données projet'!$B$9,Paramètres!$A$1:$I$89,5,0)</f>
        <v>8.3312000000000008</v>
      </c>
      <c r="P9" s="13">
        <f t="shared" si="33"/>
        <v>2.9997790322168241</v>
      </c>
      <c r="Q9" s="20">
        <f t="shared" si="2"/>
        <v>19.734788481110968</v>
      </c>
      <c r="R9" s="59">
        <f t="shared" si="0"/>
        <v>183.37861503016191</v>
      </c>
      <c r="S9" s="59">
        <f ca="1">AVERAGE(OFFSET($R$3,0,0,'Données projet'!$E$9+1,1))-AVERAGE(OFFSET($H$3,0,0,'Données projet'!$E$9+1,1))</f>
        <v>140.03175887621094</v>
      </c>
      <c r="T9" s="59">
        <f t="shared" si="34"/>
        <v>377.29475975964954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7.9487179487179471</v>
      </c>
      <c r="AI9" s="13">
        <f>IF('Données projet'!$A$62&gt;35,AI8+AH9-AQ8,IF(A9&lt;'Données projet'!$A$62,$AF$205^A9,IF(A9='Données projet'!$A$62,'Données projet'!$B$62,AI8+AH9-AQ8)))</f>
        <v>16.282051282051281</v>
      </c>
      <c r="AJ9" s="13">
        <f>AI9*VLOOKUP('Données projet'!$B$10,Paramètres!$A$1:$I$89,3,0)*VLOOKUP('Données projet'!$B$10,Paramètres!$A$1:$I$89,5,0)</f>
        <v>8.2042000000000002</v>
      </c>
      <c r="AK9" s="13">
        <f t="shared" si="35"/>
        <v>2.9593374193327566</v>
      </c>
      <c r="AL9" s="20">
        <f t="shared" si="4"/>
        <v>19.443161005337881</v>
      </c>
      <c r="AM9" s="59">
        <f t="shared" si="5"/>
        <v>183.08698755438883</v>
      </c>
      <c r="AN9" s="59">
        <f ca="1">AVERAGE(OFFSET($AM$3,0,0,'Données projet'!$E$10+1,1))-AVERAGE(OFFSET($H$3,0,0,'Données projet'!$E$10+1,1))</f>
        <v>138.27364731587764</v>
      </c>
      <c r="AO9" s="59">
        <f t="shared" si="36"/>
        <v>372.50391467700013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3.65</v>
      </c>
      <c r="BD9" s="12">
        <f>IF('Données projet'!$A$88&gt;35,BD8+BC9-BL8,IF(A9&lt;'Données projet'!$A$88,$BA$205^A9,IF(A9='Données projet'!$A$88,'Données projet'!$B$88,BD8+BC9-BL8)))</f>
        <v>3.6224037772879885</v>
      </c>
      <c r="BE9" s="13">
        <f>BD9*VLOOKUP('Données projet'!$B$11,Paramètres!$A$1:$I$89,3,0)*VLOOKUP('Données projet'!$B$11,Paramètres!$A$1:$I$89,5,0)</f>
        <v>3.7861364280214058</v>
      </c>
      <c r="BF9" s="13">
        <f t="shared" si="37"/>
        <v>1.494329188022278</v>
      </c>
      <c r="BG9" s="20">
        <f t="shared" si="7"/>
        <v>9.1968109479427493</v>
      </c>
      <c r="BH9" s="59">
        <f t="shared" si="8"/>
        <v>172.84063749699368</v>
      </c>
      <c r="BI9" s="59">
        <f ca="1">AVERAGE(OFFSET($BH$3,0,0,'Données projet'!$E$11+1,1))-AVERAGE(OFFSET($H$3,0,0,'Données projet'!$E$11+1,1))</f>
        <v>638.07304290599211</v>
      </c>
      <c r="BJ9" s="59">
        <f t="shared" si="38"/>
        <v>408.22196233793511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4.1251934215755606</v>
      </c>
      <c r="CA9" s="13">
        <f t="shared" si="39"/>
        <v>1.6119763394011546</v>
      </c>
      <c r="CB9" s="20">
        <f t="shared" si="10"/>
        <v>9.9922373337011123</v>
      </c>
      <c r="CC9" s="59">
        <f t="shared" si="11"/>
        <v>173.63606388275207</v>
      </c>
      <c r="CD9" s="59">
        <f ca="1">AVERAGE(OFFSET($CC$3,0,0,'Données projet'!$E$12+1,1))-AVERAGE(OFFSET($H$3,0,0,'Données projet'!$E$12+1,1))</f>
        <v>685.99951993586967</v>
      </c>
      <c r="CE9" s="59">
        <f t="shared" si="40"/>
        <v>437.98014017823095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3.65</v>
      </c>
      <c r="CT9" s="12">
        <f>IF('Données projet'!$A$140&gt;35,CT8+CS9-DB8,IF(A9&lt;'Données projet'!$A$140,$CQ$205^A9,IF(A9='Données projet'!$A$140,'Données projet'!$B$140,CT8+CS9-DB8)))</f>
        <v>3.6224037772879885</v>
      </c>
      <c r="CU9" s="17">
        <f>CT9*VLOOKUP('Données projet'!$B$13,Paramètres!$A$1:$I$89,3,0)*VLOOKUP('Données projet'!$B$13,Paramètres!$A$1:$I$89,5,0)</f>
        <v>3.6731174301700205</v>
      </c>
      <c r="CV9" s="13">
        <f t="shared" si="41"/>
        <v>1.4548453345092642</v>
      </c>
      <c r="CW9" s="20">
        <f t="shared" si="13"/>
        <v>8.9312018151497536</v>
      </c>
      <c r="CX9" s="59">
        <f t="shared" si="14"/>
        <v>172.5750283642007</v>
      </c>
      <c r="CY9" s="59">
        <f ca="1">AVERAGE(OFFSET($CX$3,0,0,'Données projet'!$E$13+1,1))-AVERAGE(OFFSET($H$3,0,0,'Données projet'!$E$13+1,1))</f>
        <v>622.07867348539082</v>
      </c>
      <c r="CZ9" s="59">
        <f t="shared" si="42"/>
        <v>398.29010684041634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3.65</v>
      </c>
      <c r="DO9" s="12">
        <f>IF('Données projet'!$A$166&gt;35,DO8+DN9-DW8,IF(A9&lt;'Données projet'!$A$166,$DL$205^A9,IF(A9='Données projet'!$A$166,'Données projet'!$B$166,DO8+DN9-DW8)))</f>
        <v>3.6224037772879885</v>
      </c>
      <c r="DP9" s="17">
        <f>DO9*VLOOKUP('Données projet'!$B$14,Paramètres!$A$1:$I$89,3,0)*VLOOKUP('Données projet'!$B$14,Paramètres!$A$1:$I$89,5,0)</f>
        <v>3.4470794344672502</v>
      </c>
      <c r="DQ9" s="13">
        <f t="shared" si="43"/>
        <v>1.3754475242842723</v>
      </c>
      <c r="DR9" s="20">
        <f t="shared" si="16"/>
        <v>8.3992344531589023</v>
      </c>
      <c r="DS9" s="59">
        <f t="shared" si="17"/>
        <v>172.04306100220984</v>
      </c>
      <c r="DT9" s="59">
        <f ca="1">AVERAGE(OFFSET($DS$3,0,0,'Données projet'!$E$14+1,1))-AVERAGE(OFFSET($H$3,0,0,'Données projet'!$E$14+1,1))</f>
        <v>590.05965493677377</v>
      </c>
      <c r="DU9" s="59">
        <f t="shared" si="44"/>
        <v>378.40640480134505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42.630134513377527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2">
        <f>'Scénario référence'!$B$16*5+'Scénario référence'!$B$17*0+'Scénario référence'!$B$18*5</f>
        <v>4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14.666666666666666</v>
      </c>
      <c r="H10" s="66">
        <f t="shared" si="1"/>
        <v>159.86666666666667</v>
      </c>
      <c r="I10" s="6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7.9487179487179471</v>
      </c>
      <c r="N10" s="13">
        <f>IF('Données projet'!$A$36&gt;35,N9+M10-V9,IF(A10&lt;'Données projet'!$A$36,$K$205^A10,IF(A10='Données projet'!$A$36,'Données projet'!$B$36,N9+M10-V9)))</f>
        <v>24.230769230769226</v>
      </c>
      <c r="O10" s="13">
        <f>N10*VLOOKUP('Données projet'!$B$9,Paramètres!$A$1:$I$89,3,0)*VLOOKUP('Données projet'!$B$9,Paramètres!$A$1:$I$89,5,0)</f>
        <v>12.398399999999999</v>
      </c>
      <c r="P10" s="13">
        <f t="shared" si="33"/>
        <v>4.2623582330138019</v>
      </c>
      <c r="Q10" s="20">
        <f t="shared" si="2"/>
        <v>29.017487255832368</v>
      </c>
      <c r="R10" s="59">
        <f t="shared" si="0"/>
        <v>195.62449127368765</v>
      </c>
      <c r="S10" s="59">
        <f ca="1">AVERAGE(OFFSET($R$3,0,0,'Données projet'!$E$9+1,1))-AVERAGE(OFFSET($H$3,0,0,'Données projet'!$E$9+1,1))</f>
        <v>140.03175887621094</v>
      </c>
      <c r="T10" s="59">
        <f t="shared" si="34"/>
        <v>377.29475975964954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7.9487179487179471</v>
      </c>
      <c r="AI10" s="13">
        <f>IF('Données projet'!$A$62&gt;35,AI9+AH10-AQ9,IF(A10&lt;'Données projet'!$A$62,$AF$205^A10,IF(A10='Données projet'!$A$62,'Données projet'!$B$62,AI9+AH10-AQ9)))</f>
        <v>24.230769230769226</v>
      </c>
      <c r="AJ10" s="13">
        <f>AI10*VLOOKUP('Données projet'!$B$10,Paramètres!$A$1:$I$89,3,0)*VLOOKUP('Données projet'!$B$10,Paramètres!$A$1:$I$89,5,0)</f>
        <v>12.209399999999999</v>
      </c>
      <c r="AK10" s="13">
        <f t="shared" si="35"/>
        <v>4.2048951199706472</v>
      </c>
      <c r="AL10" s="20">
        <f t="shared" si="4"/>
        <v>28.588230667282204</v>
      </c>
      <c r="AM10" s="59">
        <f t="shared" si="5"/>
        <v>195.19523468513748</v>
      </c>
      <c r="AN10" s="59">
        <f ca="1">AVERAGE(OFFSET($AM$3,0,0,'Données projet'!$E$10+1,1))-AVERAGE(OFFSET($H$3,0,0,'Données projet'!$E$10+1,1))</f>
        <v>138.27364731587764</v>
      </c>
      <c r="AO10" s="59">
        <f t="shared" si="36"/>
        <v>372.50391467700013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3.65</v>
      </c>
      <c r="BD10" s="12">
        <f>IF('Données projet'!$A$88&gt;35,BD9+BC10-BL9,IF(A10&lt;'Données projet'!$A$88,$BA$205^A10,IF(A10='Données projet'!$A$88,'Données projet'!$B$88,BD9+BC10-BL9)))</f>
        <v>4.4891384635544309</v>
      </c>
      <c r="BE10" s="13">
        <f>BD10*VLOOKUP('Données projet'!$B$11,Paramètres!$A$1:$I$89,3,0)*VLOOKUP('Données projet'!$B$11,Paramètres!$A$1:$I$89,5,0)</f>
        <v>4.6920475221070923</v>
      </c>
      <c r="BF10" s="13">
        <f t="shared" si="37"/>
        <v>1.8062085067820133</v>
      </c>
      <c r="BG10" s="20">
        <f t="shared" si="7"/>
        <v>11.317795916981858</v>
      </c>
      <c r="BH10" s="59">
        <f t="shared" si="8"/>
        <v>177.92479993483713</v>
      </c>
      <c r="BI10" s="59">
        <f ca="1">AVERAGE(OFFSET($BH$3,0,0,'Données projet'!$E$11+1,1))-AVERAGE(OFFSET($H$3,0,0,'Données projet'!$E$11+1,1))</f>
        <v>638.07304290599211</v>
      </c>
      <c r="BJ10" s="59">
        <f t="shared" si="38"/>
        <v>408.22196233793511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5.112230882295786</v>
      </c>
      <c r="CA10" s="13">
        <f t="shared" si="39"/>
        <v>1.9484096277414671</v>
      </c>
      <c r="CB10" s="20">
        <f t="shared" si="10"/>
        <v>12.297282221648215</v>
      </c>
      <c r="CC10" s="59">
        <f t="shared" si="11"/>
        <v>178.90428623950348</v>
      </c>
      <c r="CD10" s="59">
        <f ca="1">AVERAGE(OFFSET($CC$3,0,0,'Données projet'!$E$12+1,1))-AVERAGE(OFFSET($H$3,0,0,'Données projet'!$E$12+1,1))</f>
        <v>685.99951993586967</v>
      </c>
      <c r="CE10" s="59">
        <f t="shared" si="40"/>
        <v>437.98014017823095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3.65</v>
      </c>
      <c r="CT10" s="12">
        <f>IF('Données projet'!$A$140&gt;35,CT9+CS10-DB9,IF(A10&lt;'Données projet'!$A$140,$CQ$205^A10,IF(A10='Données projet'!$A$140,'Données projet'!$B$140,CT9+CS10-DB9)))</f>
        <v>4.4891384635544309</v>
      </c>
      <c r="CU10" s="17">
        <f>CT10*VLOOKUP('Données projet'!$B$13,Paramètres!$A$1:$I$89,3,0)*VLOOKUP('Données projet'!$B$13,Paramètres!$A$1:$I$89,5,0)</f>
        <v>4.5519864020441929</v>
      </c>
      <c r="CV10" s="13">
        <f t="shared" si="41"/>
        <v>1.7584840343783612</v>
      </c>
      <c r="CW10" s="20">
        <f t="shared" si="13"/>
        <v>10.990736010102614</v>
      </c>
      <c r="CX10" s="59">
        <f t="shared" si="14"/>
        <v>177.59774002795788</v>
      </c>
      <c r="CY10" s="59">
        <f ca="1">AVERAGE(OFFSET($CX$3,0,0,'Données projet'!$E$13+1,1))-AVERAGE(OFFSET($H$3,0,0,'Données projet'!$E$13+1,1))</f>
        <v>622.07867348539082</v>
      </c>
      <c r="CZ10" s="59">
        <f t="shared" si="42"/>
        <v>398.29010684041634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3.65</v>
      </c>
      <c r="DO10" s="12">
        <f>IF('Données projet'!$A$166&gt;35,DO9+DN10-DW9,IF(A10&lt;'Données projet'!$A$166,$DL$205^A10,IF(A10='Données projet'!$A$166,'Données projet'!$B$166,DO9+DN10-DW9)))</f>
        <v>4.4891384635544309</v>
      </c>
      <c r="DP10" s="17">
        <f>DO10*VLOOKUP('Données projet'!$B$14,Paramètres!$A$1:$I$89,3,0)*VLOOKUP('Données projet'!$B$14,Paramètres!$A$1:$I$89,5,0)</f>
        <v>4.2718641619183968</v>
      </c>
      <c r="DQ10" s="13">
        <f t="shared" si="43"/>
        <v>1.6625152201453717</v>
      </c>
      <c r="DR10" s="20">
        <f t="shared" si="16"/>
        <v>10.335710757094397</v>
      </c>
      <c r="DS10" s="59">
        <f t="shared" si="17"/>
        <v>176.94271477494968</v>
      </c>
      <c r="DT10" s="59">
        <f ca="1">AVERAGE(OFFSET($DS$3,0,0,'Données projet'!$E$14+1,1))-AVERAGE(OFFSET($H$3,0,0,'Données projet'!$E$14+1,1))</f>
        <v>590.05965493677377</v>
      </c>
      <c r="DU10" s="59">
        <f t="shared" si="44"/>
        <v>378.40640480134505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43.104940489718103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2">
        <f>'Scénario référence'!$B$16*5+'Scénario référence'!$B$17*0+'Scénario référence'!$B$18*5</f>
        <v>4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14.666666666666666</v>
      </c>
      <c r="H11" s="66">
        <f t="shared" si="1"/>
        <v>159.86666666666667</v>
      </c>
      <c r="I11" s="6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7.9487179487179471</v>
      </c>
      <c r="N11" s="13">
        <f>IF('Données projet'!$A$36&gt;35,N10+M11-V10,IF(A11&lt;'Données projet'!$A$36,$K$205^A11,IF(A11='Données projet'!$A$36,'Données projet'!$B$36,N10+M11-V10)))</f>
        <v>32.179487179487175</v>
      </c>
      <c r="O11" s="13">
        <f>N11*VLOOKUP('Données projet'!$B$9,Paramètres!$A$1:$I$89,3,0)*VLOOKUP('Données projet'!$B$9,Paramètres!$A$1:$I$89,5,0)</f>
        <v>16.465599999999998</v>
      </c>
      <c r="P11" s="13">
        <f t="shared" si="33"/>
        <v>5.4767131860467098</v>
      </c>
      <c r="Q11" s="20">
        <f t="shared" si="2"/>
        <v>38.216195465698014</v>
      </c>
      <c r="R11" s="59">
        <f t="shared" si="0"/>
        <v>207.75617527102219</v>
      </c>
      <c r="S11" s="59">
        <f ca="1">AVERAGE(OFFSET($R$3,0,0,'Données projet'!$E$9+1,1))-AVERAGE(OFFSET($H$3,0,0,'Données projet'!$E$9+1,1))</f>
        <v>140.03175887621094</v>
      </c>
      <c r="T11" s="59">
        <f t="shared" si="34"/>
        <v>377.29475975964954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7.9487179487179471</v>
      </c>
      <c r="AI11" s="13">
        <f>IF('Données projet'!$A$62&gt;35,AI10+AH11-AQ10,IF(A11&lt;'Données projet'!$A$62,$AF$205^A11,IF(A11='Données projet'!$A$62,'Données projet'!$B$62,AI10+AH11-AQ10)))</f>
        <v>32.179487179487175</v>
      </c>
      <c r="AJ11" s="13">
        <f>AI11*VLOOKUP('Données projet'!$B$10,Paramètres!$A$1:$I$89,3,0)*VLOOKUP('Données projet'!$B$10,Paramètres!$A$1:$I$89,5,0)</f>
        <v>16.214599999999997</v>
      </c>
      <c r="AK11" s="13">
        <f t="shared" si="35"/>
        <v>5.4028787095174531</v>
      </c>
      <c r="AL11" s="20">
        <f t="shared" si="4"/>
        <v>37.650442085742888</v>
      </c>
      <c r="AM11" s="59">
        <f t="shared" si="5"/>
        <v>207.19042189106707</v>
      </c>
      <c r="AN11" s="59">
        <f ca="1">AVERAGE(OFFSET($AM$3,0,0,'Données projet'!$E$10+1,1))-AVERAGE(OFFSET($H$3,0,0,'Données projet'!$E$10+1,1))</f>
        <v>138.27364731587764</v>
      </c>
      <c r="AO11" s="59">
        <f t="shared" si="36"/>
        <v>372.50391467700013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3.65</v>
      </c>
      <c r="BD11" s="12">
        <f>IF('Données projet'!$A$88&gt;35,BD10+BC11-BL10,IF(A11&lt;'Données projet'!$A$88,$BA$205^A11,IF(A11='Données projet'!$A$88,'Données projet'!$B$88,BD10+BC11-BL10)))</f>
        <v>5.563257268920875</v>
      </c>
      <c r="BE11" s="13">
        <f>BD11*VLOOKUP('Données projet'!$B$11,Paramètres!$A$1:$I$89,3,0)*VLOOKUP('Données projet'!$B$11,Paramètres!$A$1:$I$89,5,0)</f>
        <v>5.8147164974760992</v>
      </c>
      <c r="BF11" s="13">
        <f t="shared" si="37"/>
        <v>2.1831797144305476</v>
      </c>
      <c r="BG11" s="20">
        <f t="shared" si="7"/>
        <v>13.929669235737409</v>
      </c>
      <c r="BH11" s="59">
        <f t="shared" si="8"/>
        <v>183.46964904106159</v>
      </c>
      <c r="BI11" s="59">
        <f ca="1">AVERAGE(OFFSET($BH$3,0,0,'Données projet'!$E$11+1,1))-AVERAGE(OFFSET($H$3,0,0,'Données projet'!$E$11+1,1))</f>
        <v>638.07304290599211</v>
      </c>
      <c r="BJ11" s="59">
        <f t="shared" si="38"/>
        <v>408.22196233793511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6.3354373778470929</v>
      </c>
      <c r="CA11" s="13">
        <f t="shared" si="39"/>
        <v>2.3550594290273259</v>
      </c>
      <c r="CB11" s="20">
        <f t="shared" si="10"/>
        <v>15.135948605306281</v>
      </c>
      <c r="CC11" s="59">
        <f t="shared" si="11"/>
        <v>184.67592841063046</v>
      </c>
      <c r="CD11" s="59">
        <f ca="1">AVERAGE(OFFSET($CC$3,0,0,'Données projet'!$E$12+1,1))-AVERAGE(OFFSET($H$3,0,0,'Données projet'!$E$12+1,1))</f>
        <v>685.99951993586967</v>
      </c>
      <c r="CE11" s="59">
        <f t="shared" si="40"/>
        <v>437.98014017823095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3.65</v>
      </c>
      <c r="CT11" s="12">
        <f>IF('Données projet'!$A$140&gt;35,CT10+CS11-DB10,IF(A11&lt;'Données projet'!$A$140,$CQ$205^A11,IF(A11='Données projet'!$A$140,'Données projet'!$B$140,CT10+CS11-DB10)))</f>
        <v>5.563257268920875</v>
      </c>
      <c r="CU11" s="17">
        <f>CT11*VLOOKUP('Données projet'!$B$13,Paramètres!$A$1:$I$89,3,0)*VLOOKUP('Données projet'!$B$13,Paramètres!$A$1:$I$89,5,0)</f>
        <v>5.6411428706857674</v>
      </c>
      <c r="CV11" s="13">
        <f t="shared" si="41"/>
        <v>2.125494735292019</v>
      </c>
      <c r="CW11" s="20">
        <f t="shared" si="13"/>
        <v>13.526893830411311</v>
      </c>
      <c r="CX11" s="59">
        <f t="shared" si="14"/>
        <v>183.06687363573548</v>
      </c>
      <c r="CY11" s="59">
        <f ca="1">AVERAGE(OFFSET($CX$3,0,0,'Données projet'!$E$13+1,1))-AVERAGE(OFFSET($H$3,0,0,'Données projet'!$E$13+1,1))</f>
        <v>622.07867348539082</v>
      </c>
      <c r="CZ11" s="59">
        <f t="shared" si="42"/>
        <v>398.29010684041634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3.65</v>
      </c>
      <c r="DO11" s="12">
        <f>IF('Données projet'!$A$166&gt;35,DO10+DN11-DW10,IF(A11&lt;'Données projet'!$A$166,$DL$205^A11,IF(A11='Données projet'!$A$166,'Données projet'!$B$166,DO10+DN11-DW10)))</f>
        <v>5.563257268920875</v>
      </c>
      <c r="DP11" s="17">
        <f>DO11*VLOOKUP('Données projet'!$B$14,Paramètres!$A$1:$I$89,3,0)*VLOOKUP('Données projet'!$B$14,Paramètres!$A$1:$I$89,5,0)</f>
        <v>5.2939956171051046</v>
      </c>
      <c r="DQ11" s="13">
        <f t="shared" si="43"/>
        <v>2.0094964063810909</v>
      </c>
      <c r="DR11" s="20">
        <f t="shared" si="16"/>
        <v>12.72024860757179</v>
      </c>
      <c r="DS11" s="59">
        <f t="shared" si="17"/>
        <v>182.26022841289597</v>
      </c>
      <c r="DT11" s="59">
        <f ca="1">AVERAGE(OFFSET($DS$3,0,0,'Données projet'!$E$14+1,1))-AVERAGE(OFFSET($H$3,0,0,'Données projet'!$E$14+1,1))</f>
        <v>590.05965493677377</v>
      </c>
      <c r="DU11" s="59">
        <f t="shared" si="44"/>
        <v>378.40640480134505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43.571509643876297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2">
        <f>'Scénario référence'!$B$16*5+'Scénario référence'!$B$17*0+'Scénario référence'!$B$18*5</f>
        <v>4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14.666666666666666</v>
      </c>
      <c r="H12" s="66">
        <f t="shared" si="1"/>
        <v>159.86666666666667</v>
      </c>
      <c r="I12" s="6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7.9487179487179471</v>
      </c>
      <c r="N12" s="13">
        <f>IF('Données projet'!$A$36&gt;35,N11+M12-V11,IF(A12&lt;'Données projet'!$A$36,$K$205^A12,IF(A12='Données projet'!$A$36,'Données projet'!$B$36,N11+M12-V11)))</f>
        <v>40.128205128205124</v>
      </c>
      <c r="O12" s="13">
        <f>N12*VLOOKUP('Données projet'!$B$9,Paramètres!$A$1:$I$89,3,0)*VLOOKUP('Données projet'!$B$9,Paramètres!$A$1:$I$89,5,0)</f>
        <v>20.532800000000002</v>
      </c>
      <c r="P12" s="13">
        <f t="shared" si="33"/>
        <v>6.656275271728668</v>
      </c>
      <c r="Q12" s="20">
        <f t="shared" si="2"/>
        <v>47.354306098260764</v>
      </c>
      <c r="R12" s="59">
        <f t="shared" si="0"/>
        <v>219.79758394136891</v>
      </c>
      <c r="S12" s="59">
        <f ca="1">AVERAGE(OFFSET($R$3,0,0,'Données projet'!$E$9+1,1))-AVERAGE(OFFSET($H$3,0,0,'Données projet'!$E$9+1,1))</f>
        <v>140.03175887621094</v>
      </c>
      <c r="T12" s="59">
        <f t="shared" si="34"/>
        <v>377.29475975964954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7.9487179487179471</v>
      </c>
      <c r="AI12" s="13">
        <f>IF('Données projet'!$A$62&gt;35,AI11+AH12-AQ11,IF(A12&lt;'Données projet'!$A$62,$AF$205^A12,IF(A12='Données projet'!$A$62,'Données projet'!$B$62,AI11+AH12-AQ11)))</f>
        <v>40.128205128205124</v>
      </c>
      <c r="AJ12" s="13">
        <f>AI12*VLOOKUP('Données projet'!$B$10,Paramètres!$A$1:$I$89,3,0)*VLOOKUP('Données projet'!$B$10,Paramètres!$A$1:$I$89,5,0)</f>
        <v>20.219799999999999</v>
      </c>
      <c r="AK12" s="13">
        <f t="shared" si="35"/>
        <v>6.5665384928199488</v>
      </c>
      <c r="AL12" s="20">
        <f t="shared" si="4"/>
        <v>46.652872874994749</v>
      </c>
      <c r="AM12" s="59">
        <f t="shared" si="5"/>
        <v>219.0961507181029</v>
      </c>
      <c r="AN12" s="59">
        <f ca="1">AVERAGE(OFFSET($AM$3,0,0,'Données projet'!$E$10+1,1))-AVERAGE(OFFSET($H$3,0,0,'Données projet'!$E$10+1,1))</f>
        <v>138.27364731587764</v>
      </c>
      <c r="AO12" s="59">
        <f t="shared" si="36"/>
        <v>372.50391467700013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3.65</v>
      </c>
      <c r="BD12" s="12">
        <f>IF('Données projet'!$A$88&gt;35,BD11+BC12-BL11,IF(A12&lt;'Données projet'!$A$88,$BA$205^A12,IF(A12='Données projet'!$A$88,'Données projet'!$B$88,BD11+BC12-BL11)))</f>
        <v>6.8943811137639424</v>
      </c>
      <c r="BE12" s="13">
        <f>BD12*VLOOKUP('Données projet'!$B$11,Paramètres!$A$1:$I$89,3,0)*VLOOKUP('Données projet'!$B$11,Paramètres!$A$1:$I$89,5,0)</f>
        <v>7.2060071401060739</v>
      </c>
      <c r="BF12" s="13">
        <f t="shared" si="37"/>
        <v>2.6388280464877014</v>
      </c>
      <c r="BG12" s="20">
        <f t="shared" si="7"/>
        <v>17.14642128331749</v>
      </c>
      <c r="BH12" s="59">
        <f t="shared" si="8"/>
        <v>189.58969912642564</v>
      </c>
      <c r="BI12" s="59">
        <f ca="1">AVERAGE(OFFSET($BH$3,0,0,'Données projet'!$E$11+1,1))-AVERAGE(OFFSET($H$3,0,0,'Données projet'!$E$11+1,1))</f>
        <v>638.07304290599211</v>
      </c>
      <c r="BJ12" s="59">
        <f t="shared" si="38"/>
        <v>408.22196233793511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7.8513212123543772</v>
      </c>
      <c r="CA12" s="13">
        <f t="shared" si="39"/>
        <v>2.8465805317743214</v>
      </c>
      <c r="CB12" s="20">
        <f t="shared" si="10"/>
        <v>18.632178871024148</v>
      </c>
      <c r="CC12" s="59">
        <f t="shared" si="11"/>
        <v>191.07545671413229</v>
      </c>
      <c r="CD12" s="59">
        <f ca="1">AVERAGE(OFFSET($CC$3,0,0,'Données projet'!$E$12+1,1))-AVERAGE(OFFSET($H$3,0,0,'Données projet'!$E$12+1,1))</f>
        <v>685.99951993586967</v>
      </c>
      <c r="CE12" s="59">
        <f t="shared" si="40"/>
        <v>437.98014017823095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3.65</v>
      </c>
      <c r="CT12" s="12">
        <f>IF('Données projet'!$A$140&gt;35,CT11+CS12-DB11,IF(A12&lt;'Données projet'!$A$140,$CQ$205^A12,IF(A12='Données projet'!$A$140,'Données projet'!$B$140,CT11+CS12-DB11)))</f>
        <v>6.8943811137639424</v>
      </c>
      <c r="CU12" s="17">
        <f>CT12*VLOOKUP('Données projet'!$B$13,Paramètres!$A$1:$I$89,3,0)*VLOOKUP('Données projet'!$B$13,Paramètres!$A$1:$I$89,5,0)</f>
        <v>6.9909024493566383</v>
      </c>
      <c r="CV12" s="13">
        <f t="shared" si="41"/>
        <v>2.5691037174250742</v>
      </c>
      <c r="CW12" s="20">
        <f t="shared" si="13"/>
        <v>16.650344073811482</v>
      </c>
      <c r="CX12" s="59">
        <f t="shared" si="14"/>
        <v>189.09362191691963</v>
      </c>
      <c r="CY12" s="59">
        <f ca="1">AVERAGE(OFFSET($CX$3,0,0,'Données projet'!$E$13+1,1))-AVERAGE(OFFSET($H$3,0,0,'Données projet'!$E$13+1,1))</f>
        <v>622.07867348539082</v>
      </c>
      <c r="CZ12" s="59">
        <f t="shared" si="42"/>
        <v>398.29010684041634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3.65</v>
      </c>
      <c r="DO12" s="12">
        <f>IF('Données projet'!$A$166&gt;35,DO11+DN12-DW11,IF(A12&lt;'Données projet'!$A$166,$DL$205^A12,IF(A12='Données projet'!$A$166,'Données projet'!$B$166,DO11+DN12-DW11)))</f>
        <v>6.8943811137639424</v>
      </c>
      <c r="DP12" s="17">
        <f>DO12*VLOOKUP('Données projet'!$B$14,Paramètres!$A$1:$I$89,3,0)*VLOOKUP('Données projet'!$B$14,Paramètres!$A$1:$I$89,5,0)</f>
        <v>6.560693067857768</v>
      </c>
      <c r="DQ12" s="13">
        <f t="shared" si="43"/>
        <v>2.4288955423249754</v>
      </c>
      <c r="DR12" s="20">
        <f t="shared" si="16"/>
        <v>15.65686682940161</v>
      </c>
      <c r="DS12" s="59">
        <f t="shared" si="17"/>
        <v>188.10014467250977</v>
      </c>
      <c r="DT12" s="59">
        <f ca="1">AVERAGE(OFFSET($DS$3,0,0,'Données projet'!$E$14+1,1))-AVERAGE(OFFSET($H$3,0,0,'Données projet'!$E$14+1,1))</f>
        <v>590.05965493677377</v>
      </c>
      <c r="DU12" s="59">
        <f t="shared" si="44"/>
        <v>378.40640480134505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44.029984866302222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2">
        <f>'Scénario référence'!$B$16*5+'Scénario référence'!$B$17*0+'Scénario référence'!$B$18*5</f>
        <v>4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14.666666666666666</v>
      </c>
      <c r="H13" s="66">
        <f t="shared" si="1"/>
        <v>159.86666666666667</v>
      </c>
      <c r="I13" s="6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48.076923076923073</v>
      </c>
      <c r="L13" s="12">
        <f>VLOOKUP(A13,'Données projet'!$A$35:$I$55,9,0)</f>
        <v>7.9487179487179471</v>
      </c>
      <c r="M13" s="12">
        <f t="array" ref="M13">INDEX(L:L,MIN(IF(ISNUMBER(L13:L209),ROW(L13:L209),"")))</f>
        <v>7.9487179487179471</v>
      </c>
      <c r="N13" s="13">
        <f>IF('Données projet'!$A$36&gt;35,N12+M13-V12,IF(A13&lt;'Données projet'!$A$36,$K$205^A13,IF(A13='Données projet'!$A$36,'Données projet'!$B$36,N12+M13-V12)))</f>
        <v>48.076923076923073</v>
      </c>
      <c r="O13" s="13">
        <f>N13*VLOOKUP('Données projet'!$B$9,Paramètres!$A$1:$I$89,3,0)*VLOOKUP('Données projet'!$B$9,Paramètres!$A$1:$I$89,5,0)</f>
        <v>24.599999999999998</v>
      </c>
      <c r="P13" s="13">
        <f t="shared" si="33"/>
        <v>7.8087645020698737</v>
      </c>
      <c r="Q13" s="20">
        <f t="shared" si="2"/>
        <v>56.445264841105022</v>
      </c>
      <c r="R13" s="59">
        <f t="shared" si="0"/>
        <v>231.76267781491961</v>
      </c>
      <c r="S13" s="59">
        <f ca="1">AVERAGE(OFFSET($R$3,0,0,'Données projet'!$E$9+1,1))-AVERAGE(OFFSET($H$3,0,0,'Données projet'!$E$9+1,1))</f>
        <v>140.03175887621094</v>
      </c>
      <c r="T13" s="59">
        <f t="shared" si="34"/>
        <v>377.29475975964954</v>
      </c>
      <c r="U13" s="15">
        <f>IF(ISNA(VLOOKUP(A13,'Données projet'!$A$35:$I$55,3,0)),0,VLOOKUP(A13,'Données projet'!$A$35:$I$55,3,0))</f>
        <v>2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48.076923076923073</v>
      </c>
      <c r="AG13" s="12">
        <f>VLOOKUP(A13,'Données projet'!$A$61:$I$81,9,0)</f>
        <v>7.9487179487179471</v>
      </c>
      <c r="AH13" s="12">
        <f t="array" ref="AH13">INDEX(AG:AG,MIN(IF(ISNUMBER(AG13:AG209),ROW(AG13:AG209),"")))</f>
        <v>7.9487179487179471</v>
      </c>
      <c r="AI13" s="13">
        <f>IF('Données projet'!$A$62&gt;35,AI12+AH13-AQ12,IF(A13&lt;'Données projet'!$A$62,$AF$205^A13,IF(A13='Données projet'!$A$62,'Données projet'!$B$62,AI12+AH13-AQ12)))</f>
        <v>48.076923076923073</v>
      </c>
      <c r="AJ13" s="13">
        <f>AI13*VLOOKUP('Données projet'!$B$10,Paramètres!$A$1:$I$89,3,0)*VLOOKUP('Données projet'!$B$10,Paramètres!$A$1:$I$89,5,0)</f>
        <v>24.225000000000001</v>
      </c>
      <c r="AK13" s="13">
        <f t="shared" si="35"/>
        <v>7.7034904043100187</v>
      </c>
      <c r="AL13" s="20">
        <f t="shared" si="4"/>
        <v>55.608787454173275</v>
      </c>
      <c r="AM13" s="59">
        <f t="shared" si="5"/>
        <v>230.92620042798785</v>
      </c>
      <c r="AN13" s="59">
        <f ca="1">AVERAGE(OFFSET($AM$3,0,0,'Données projet'!$E$10+1,1))-AVERAGE(OFFSET($H$3,0,0,'Données projet'!$E$10+1,1))</f>
        <v>138.27364731587764</v>
      </c>
      <c r="AO13" s="59">
        <f t="shared" si="36"/>
        <v>372.50391467700013</v>
      </c>
      <c r="AP13" s="15">
        <f>IF(ISNA(VLOOKUP(A13,'Données projet'!$A$61:$I$81,3,0)),0,VLOOKUP(A13,'Données projet'!$A$61:$I$81,3,0))</f>
        <v>2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3.65</v>
      </c>
      <c r="BD13" s="12">
        <f>IF('Données projet'!$A$88&gt;35,BD12+BC13-BL12,IF(A13&lt;'Données projet'!$A$88,$BA$205^A13,IF(A13='Données projet'!$A$88,'Données projet'!$B$88,BD12+BC13-BL12)))</f>
        <v>8.5440037453175322</v>
      </c>
      <c r="BE13" s="13">
        <f>BD13*VLOOKUP('Données projet'!$B$11,Paramètres!$A$1:$I$89,3,0)*VLOOKUP('Données projet'!$B$11,Paramètres!$A$1:$I$89,5,0)</f>
        <v>8.9301927146058855</v>
      </c>
      <c r="BF13" s="13">
        <f t="shared" si="37"/>
        <v>3.1895740936500991</v>
      </c>
      <c r="BG13" s="20">
        <f t="shared" si="7"/>
        <v>21.108593857712506</v>
      </c>
      <c r="BH13" s="59">
        <f t="shared" si="8"/>
        <v>196.4260068315271</v>
      </c>
      <c r="BI13" s="59">
        <f ca="1">AVERAGE(OFFSET($BH$3,0,0,'Données projet'!$E$11+1,1))-AVERAGE(OFFSET($H$3,0,0,'Données projet'!$E$11+1,1))</f>
        <v>638.07304290599211</v>
      </c>
      <c r="BJ13" s="59">
        <f t="shared" si="38"/>
        <v>408.22196233793511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9.7299114651676053</v>
      </c>
      <c r="CA13" s="13">
        <f t="shared" si="39"/>
        <v>3.4406863045588816</v>
      </c>
      <c r="CB13" s="20">
        <f t="shared" si="10"/>
        <v>22.938791115606964</v>
      </c>
      <c r="CC13" s="59">
        <f t="shared" si="11"/>
        <v>198.25620408942154</v>
      </c>
      <c r="CD13" s="59">
        <f ca="1">AVERAGE(OFFSET($CC$3,0,0,'Données projet'!$E$12+1,1))-AVERAGE(OFFSET($H$3,0,0,'Données projet'!$E$12+1,1))</f>
        <v>685.99951993586967</v>
      </c>
      <c r="CE13" s="59">
        <f t="shared" si="40"/>
        <v>437.98014017823095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3.65</v>
      </c>
      <c r="CT13" s="12">
        <f>IF('Données projet'!$A$140&gt;35,CT12+CS13-DB12,IF(A13&lt;'Données projet'!$A$140,$CQ$205^A13,IF(A13='Données projet'!$A$140,'Données projet'!$B$140,CT12+CS13-DB12)))</f>
        <v>8.5440037453175322</v>
      </c>
      <c r="CU13" s="17">
        <f>CT13*VLOOKUP('Données projet'!$B$13,Paramètres!$A$1:$I$89,3,0)*VLOOKUP('Données projet'!$B$13,Paramètres!$A$1:$I$89,5,0)</f>
        <v>8.6636197977519771</v>
      </c>
      <c r="CV13" s="13">
        <f t="shared" si="41"/>
        <v>3.1052976990698267</v>
      </c>
      <c r="CW13" s="20">
        <f t="shared" si="13"/>
        <v>20.497531306964643</v>
      </c>
      <c r="CX13" s="59">
        <f t="shared" si="14"/>
        <v>195.81494428077923</v>
      </c>
      <c r="CY13" s="59">
        <f ca="1">AVERAGE(OFFSET($CX$3,0,0,'Données projet'!$E$13+1,1))-AVERAGE(OFFSET($H$3,0,0,'Données projet'!$E$13+1,1))</f>
        <v>622.07867348539082</v>
      </c>
      <c r="CZ13" s="59">
        <f t="shared" si="42"/>
        <v>398.29010684041634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3.65</v>
      </c>
      <c r="DO13" s="12">
        <f>IF('Données projet'!$A$166&gt;35,DO12+DN13-DW12,IF(A13&lt;'Données projet'!$A$166,$DL$205^A13,IF(A13='Données projet'!$A$166,'Données projet'!$B$166,DO12+DN13-DW12)))</f>
        <v>8.5440037453175322</v>
      </c>
      <c r="DP13" s="17">
        <f>DO13*VLOOKUP('Données projet'!$B$14,Paramètres!$A$1:$I$89,3,0)*VLOOKUP('Données projet'!$B$14,Paramètres!$A$1:$I$89,5,0)</f>
        <v>8.1304739640441639</v>
      </c>
      <c r="DQ13" s="13">
        <f t="shared" si="43"/>
        <v>2.9358268752272259</v>
      </c>
      <c r="DR13" s="20">
        <f t="shared" si="16"/>
        <v>19.273807295064337</v>
      </c>
      <c r="DS13" s="59">
        <f t="shared" si="17"/>
        <v>194.59122026887891</v>
      </c>
      <c r="DT13" s="59">
        <f ca="1">AVERAGE(OFFSET($DS$3,0,0,'Données projet'!$E$14+1,1))-AVERAGE(OFFSET($H$3,0,0,'Données projet'!$E$14+1,1))</f>
        <v>590.05965493677377</v>
      </c>
      <c r="DU13" s="59">
        <f t="shared" si="44"/>
        <v>378.40640480134505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44.480506568616093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2">
        <f>'Scénario référence'!$B$16*5+'Scénario référence'!$B$17*0+'Scénario référence'!$B$18*5</f>
        <v>4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14.666666666666666</v>
      </c>
      <c r="H14" s="66">
        <f t="shared" si="1"/>
        <v>159.86666666666667</v>
      </c>
      <c r="I14" s="6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13.205128205128204</v>
      </c>
      <c r="N14" s="13">
        <f>IF('Données projet'!$A$36&gt;35,N13+M14-V13,IF(A14&lt;'Données projet'!$A$36,$K$205^A14,IF(A14='Données projet'!$A$36,'Données projet'!$B$36,N13+M14-V13)))</f>
        <v>61.282051282051277</v>
      </c>
      <c r="O14" s="13">
        <f>N14*VLOOKUP('Données projet'!$B$9,Paramètres!$A$1:$I$89,3,0)*VLOOKUP('Données projet'!$B$9,Paramètres!$A$1:$I$89,5,0)</f>
        <v>31.3568</v>
      </c>
      <c r="P14" s="13">
        <f t="shared" si="33"/>
        <v>9.6763325786843009</v>
      </c>
      <c r="Q14" s="20">
        <f t="shared" si="2"/>
        <v>71.466039241208492</v>
      </c>
      <c r="R14" s="59">
        <f t="shared" si="0"/>
        <v>249.62893034989128</v>
      </c>
      <c r="S14" s="59">
        <f ca="1">AVERAGE(OFFSET($R$3,0,0,'Données projet'!$E$9+1,1))-AVERAGE(OFFSET($H$3,0,0,'Données projet'!$E$9+1,1))</f>
        <v>140.03175887621094</v>
      </c>
      <c r="T14" s="59">
        <f t="shared" si="34"/>
        <v>377.29475975964954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13.205128205128204</v>
      </c>
      <c r="AI14" s="13">
        <f>IF('Données projet'!$A$62&gt;35,AI13+AH14-AQ13,IF(A14&lt;'Données projet'!$A$62,$AF$205^A14,IF(A14='Données projet'!$A$62,'Données projet'!$B$62,AI13+AH14-AQ13)))</f>
        <v>61.282051282051277</v>
      </c>
      <c r="AJ14" s="13">
        <f>AI14*VLOOKUP('Données projet'!$B$10,Paramètres!$A$1:$I$89,3,0)*VLOOKUP('Données projet'!$B$10,Paramètres!$A$1:$I$89,5,0)</f>
        <v>30.878799999999998</v>
      </c>
      <c r="AK14" s="13">
        <f t="shared" si="35"/>
        <v>9.5458808047096504</v>
      </c>
      <c r="AL14" s="20">
        <f t="shared" si="4"/>
        <v>70.406319068202649</v>
      </c>
      <c r="AM14" s="59">
        <f t="shared" si="5"/>
        <v>248.56921017688541</v>
      </c>
      <c r="AN14" s="59">
        <f ca="1">AVERAGE(OFFSET($AM$3,0,0,'Données projet'!$E$10+1,1))-AVERAGE(OFFSET($H$3,0,0,'Données projet'!$E$10+1,1))</f>
        <v>138.27364731587764</v>
      </c>
      <c r="AO14" s="59">
        <f t="shared" si="36"/>
        <v>372.50391467700013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3.65</v>
      </c>
      <c r="BD14" s="12">
        <f>IF('Données projet'!$A$88&gt;35,BD13+BC14-BL13,IF(A14&lt;'Données projet'!$A$88,$BA$205^A14,IF(A14='Données projet'!$A$88,'Données projet'!$B$88,BD13+BC14-BL13)))</f>
        <v>10.588332555950936</v>
      </c>
      <c r="BE14" s="13">
        <f>BD14*VLOOKUP('Données projet'!$B$11,Paramètres!$A$1:$I$89,3,0)*VLOOKUP('Données projet'!$B$11,Paramètres!$A$1:$I$89,5,0)</f>
        <v>11.066925187479919</v>
      </c>
      <c r="BF14" s="13">
        <f t="shared" si="37"/>
        <v>3.8552655647360954</v>
      </c>
      <c r="BG14" s="20">
        <f t="shared" si="7"/>
        <v>25.989482226776222</v>
      </c>
      <c r="BH14" s="59">
        <f t="shared" si="8"/>
        <v>204.152373335459</v>
      </c>
      <c r="BI14" s="59">
        <f ca="1">AVERAGE(OFFSET($BH$3,0,0,'Données projet'!$E$11+1,1))-AVERAGE(OFFSET($H$3,0,0,'Données projet'!$E$11+1,1))</f>
        <v>638.07304290599211</v>
      </c>
      <c r="BJ14" s="59">
        <f t="shared" si="38"/>
        <v>408.22196233793511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12.057993114716927</v>
      </c>
      <c r="CA14" s="13">
        <f t="shared" si="39"/>
        <v>4.1587870479111393</v>
      </c>
      <c r="CB14" s="20">
        <f t="shared" si="10"/>
        <v>28.244225449910545</v>
      </c>
      <c r="CC14" s="59">
        <f t="shared" si="11"/>
        <v>206.40711655859332</v>
      </c>
      <c r="CD14" s="59">
        <f ca="1">AVERAGE(OFFSET($CC$3,0,0,'Données projet'!$E$12+1,1))-AVERAGE(OFFSET($H$3,0,0,'Données projet'!$E$12+1,1))</f>
        <v>685.99951993586967</v>
      </c>
      <c r="CE14" s="59">
        <f t="shared" si="40"/>
        <v>437.98014017823095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3.65</v>
      </c>
      <c r="CT14" s="12">
        <f>IF('Données projet'!$A$140&gt;35,CT13+CS14-DB13,IF(A14&lt;'Données projet'!$A$140,$CQ$205^A14,IF(A14='Données projet'!$A$140,'Données projet'!$B$140,CT13+CS14-DB13)))</f>
        <v>10.588332555950936</v>
      </c>
      <c r="CU14" s="17">
        <f>CT14*VLOOKUP('Données projet'!$B$13,Paramètres!$A$1:$I$89,3,0)*VLOOKUP('Données projet'!$B$13,Paramètres!$A$1:$I$89,5,0)</f>
        <v>10.736569211734251</v>
      </c>
      <c r="CV14" s="13">
        <f t="shared" si="41"/>
        <v>3.7533999637480915</v>
      </c>
      <c r="CW14" s="20">
        <f t="shared" si="13"/>
        <v>25.23669631396508</v>
      </c>
      <c r="CX14" s="59">
        <f t="shared" si="14"/>
        <v>203.39958742264784</v>
      </c>
      <c r="CY14" s="59">
        <f ca="1">AVERAGE(OFFSET($CX$3,0,0,'Données projet'!$E$13+1,1))-AVERAGE(OFFSET($H$3,0,0,'Données projet'!$E$13+1,1))</f>
        <v>622.07867348539082</v>
      </c>
      <c r="CZ14" s="59">
        <f t="shared" si="42"/>
        <v>398.29010684041634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3.65</v>
      </c>
      <c r="DO14" s="12">
        <f>IF('Données projet'!$A$166&gt;35,DO13+DN14-DW13,IF(A14&lt;'Données projet'!$A$166,$DL$205^A14,IF(A14='Données projet'!$A$166,'Données projet'!$B$166,DO13+DN14-DW13)))</f>
        <v>10.588332555950936</v>
      </c>
      <c r="DP14" s="17">
        <f>DO14*VLOOKUP('Données projet'!$B$14,Paramètres!$A$1:$I$89,3,0)*VLOOKUP('Données projet'!$B$14,Paramètres!$A$1:$I$89,5,0)</f>
        <v>10.075857260242911</v>
      </c>
      <c r="DQ14" s="13">
        <f t="shared" si="43"/>
        <v>3.5485591253776776</v>
      </c>
      <c r="DR14" s="20">
        <f t="shared" si="16"/>
        <v>23.729191871622522</v>
      </c>
      <c r="DS14" s="59">
        <f t="shared" si="17"/>
        <v>201.8920829803053</v>
      </c>
      <c r="DT14" s="59">
        <f ca="1">AVERAGE(OFFSET($DS$3,0,0,'Données projet'!$E$14+1,1))-AVERAGE(OFFSET($H$3,0,0,'Données projet'!$E$14+1,1))</f>
        <v>590.05965493677377</v>
      </c>
      <c r="DU14" s="59">
        <f t="shared" si="44"/>
        <v>378.40640480134505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44.923212726610458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2">
        <f>'Scénario référence'!$B$16*5+'Scénario référence'!$B$17*0+'Scénario référence'!$B$18*5</f>
        <v>4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14.666666666666666</v>
      </c>
      <c r="H15" s="66">
        <f t="shared" si="1"/>
        <v>159.86666666666667</v>
      </c>
      <c r="I15" s="6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13.205128205128204</v>
      </c>
      <c r="N15" s="13">
        <f>IF('Données projet'!$A$36&gt;35,N14+M15-V14,IF(A15&lt;'Données projet'!$A$36,$K$205^A15,IF(A15='Données projet'!$A$36,'Données projet'!$B$36,N14+M15-V14)))</f>
        <v>74.487179487179475</v>
      </c>
      <c r="O15" s="13">
        <f>N15*VLOOKUP('Données projet'!$B$9,Paramètres!$A$1:$I$89,3,0)*VLOOKUP('Données projet'!$B$9,Paramètres!$A$1:$I$89,5,0)</f>
        <v>38.113599999999991</v>
      </c>
      <c r="P15" s="13">
        <f t="shared" si="33"/>
        <v>11.497259345532081</v>
      </c>
      <c r="Q15" s="20">
        <f t="shared" si="2"/>
        <v>86.405580026801672</v>
      </c>
      <c r="R15" s="59">
        <f t="shared" si="0"/>
        <v>267.38578940932484</v>
      </c>
      <c r="S15" s="59">
        <f ca="1">AVERAGE(OFFSET($R$3,0,0,'Données projet'!$E$9+1,1))-AVERAGE(OFFSET($H$3,0,0,'Données projet'!$E$9+1,1))</f>
        <v>140.03175887621094</v>
      </c>
      <c r="T15" s="59">
        <f t="shared" si="34"/>
        <v>377.29475975964954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13.205128205128204</v>
      </c>
      <c r="AI15" s="13">
        <f>IF('Données projet'!$A$62&gt;35,AI14+AH15-AQ14,IF(A15&lt;'Données projet'!$A$62,$AF$205^A15,IF(A15='Données projet'!$A$62,'Données projet'!$B$62,AI14+AH15-AQ14)))</f>
        <v>74.487179487179475</v>
      </c>
      <c r="AJ15" s="13">
        <f>AI15*VLOOKUP('Données projet'!$B$10,Paramètres!$A$1:$I$89,3,0)*VLOOKUP('Données projet'!$B$10,Paramètres!$A$1:$I$89,5,0)</f>
        <v>37.532599999999995</v>
      </c>
      <c r="AK15" s="13">
        <f t="shared" si="35"/>
        <v>11.342258691588537</v>
      </c>
      <c r="AL15" s="20">
        <f t="shared" si="4"/>
        <v>85.123712221183354</v>
      </c>
      <c r="AM15" s="59">
        <f t="shared" si="5"/>
        <v>266.10392160370651</v>
      </c>
      <c r="AN15" s="59">
        <f ca="1">AVERAGE(OFFSET($AM$3,0,0,'Données projet'!$E$10+1,1))-AVERAGE(OFFSET($H$3,0,0,'Données projet'!$E$10+1,1))</f>
        <v>138.27364731587764</v>
      </c>
      <c r="AO15" s="59">
        <f t="shared" si="36"/>
        <v>372.50391467700013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3.65</v>
      </c>
      <c r="BD15" s="12">
        <f>IF('Données projet'!$A$88&gt;35,BD14+BC15-BL14,IF(A15&lt;'Données projet'!$A$88,$BA$205^A15,IF(A15='Données projet'!$A$88,'Données projet'!$B$88,BD14+BC15-BL14)))</f>
        <v>13.121809125710287</v>
      </c>
      <c r="BE15" s="13">
        <f>BD15*VLOOKUP('Données projet'!$B$11,Paramètres!$A$1:$I$89,3,0)*VLOOKUP('Données projet'!$B$11,Paramètres!$A$1:$I$89,5,0)</f>
        <v>13.714914898192394</v>
      </c>
      <c r="BF15" s="13">
        <f t="shared" si="37"/>
        <v>4.6598925556329869</v>
      </c>
      <c r="BG15" s="20">
        <f t="shared" si="7"/>
        <v>32.002789648745868</v>
      </c>
      <c r="BH15" s="59">
        <f t="shared" si="8"/>
        <v>212.98299903126903</v>
      </c>
      <c r="BI15" s="59">
        <f ca="1">AVERAGE(OFFSET($BH$3,0,0,'Données projet'!$E$11+1,1))-AVERAGE(OFFSET($H$3,0,0,'Données projet'!$E$11+1,1))</f>
        <v>638.07304290599211</v>
      </c>
      <c r="BJ15" s="59">
        <f t="shared" si="38"/>
        <v>408.22196233793511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14.943116232358877</v>
      </c>
      <c r="CA15" s="13">
        <f t="shared" si="39"/>
        <v>5.0267615757231452</v>
      </c>
      <c r="CB15" s="20">
        <f t="shared" si="10"/>
        <v>34.780870515742855</v>
      </c>
      <c r="CC15" s="59">
        <f t="shared" si="11"/>
        <v>215.76107989826602</v>
      </c>
      <c r="CD15" s="59">
        <f ca="1">AVERAGE(OFFSET($CC$3,0,0,'Données projet'!$E$12+1,1))-AVERAGE(OFFSET($H$3,0,0,'Données projet'!$E$12+1,1))</f>
        <v>685.99951993586967</v>
      </c>
      <c r="CE15" s="59">
        <f t="shared" si="40"/>
        <v>437.98014017823095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3.65</v>
      </c>
      <c r="CT15" s="12">
        <f>IF('Données projet'!$A$140&gt;35,CT14+CS15-DB14,IF(A15&lt;'Données projet'!$A$140,$CQ$205^A15,IF(A15='Données projet'!$A$140,'Données projet'!$B$140,CT14+CS15-DB14)))</f>
        <v>13.121809125710287</v>
      </c>
      <c r="CU15" s="17">
        <f>CT15*VLOOKUP('Données projet'!$B$13,Paramètres!$A$1:$I$89,3,0)*VLOOKUP('Données projet'!$B$13,Paramètres!$A$1:$I$89,5,0)</f>
        <v>13.305514453470233</v>
      </c>
      <c r="CV15" s="13">
        <f t="shared" si="41"/>
        <v>4.5367667299931158</v>
      </c>
      <c r="CW15" s="20">
        <f t="shared" si="13"/>
        <v>31.075306394532003</v>
      </c>
      <c r="CX15" s="59">
        <f t="shared" si="14"/>
        <v>212.05551577705515</v>
      </c>
      <c r="CY15" s="59">
        <f ca="1">AVERAGE(OFFSET($CX$3,0,0,'Données projet'!$E$13+1,1))-AVERAGE(OFFSET($H$3,0,0,'Données projet'!$E$13+1,1))</f>
        <v>622.07867348539082</v>
      </c>
      <c r="CZ15" s="59">
        <f t="shared" si="42"/>
        <v>398.29010684041634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3.65</v>
      </c>
      <c r="DO15" s="12">
        <f>IF('Données projet'!$A$166&gt;35,DO14+DN15-DW14,IF(A15&lt;'Données projet'!$A$166,$DL$205^A15,IF(A15='Données projet'!$A$166,'Données projet'!$B$166,DO14+DN15-DW14)))</f>
        <v>13.121809125710287</v>
      </c>
      <c r="DP15" s="17">
        <f>DO15*VLOOKUP('Données projet'!$B$14,Paramètres!$A$1:$I$89,3,0)*VLOOKUP('Données projet'!$B$14,Paramètres!$A$1:$I$89,5,0)</f>
        <v>12.486713564025909</v>
      </c>
      <c r="DQ15" s="13">
        <f t="shared" si="43"/>
        <v>4.289173851685848</v>
      </c>
      <c r="DR15" s="20">
        <f t="shared" si="16"/>
        <v>29.218003915697977</v>
      </c>
      <c r="DS15" s="59">
        <f t="shared" si="17"/>
        <v>210.19821329822113</v>
      </c>
      <c r="DT15" s="59">
        <f ca="1">AVERAGE(OFFSET($DS$3,0,0,'Données projet'!$E$14+1,1))-AVERAGE(OFFSET($H$3,0,0,'Données projet'!$E$14+1,1))</f>
        <v>590.05965493677377</v>
      </c>
      <c r="DU15" s="59">
        <f t="shared" si="44"/>
        <v>378.40640480134505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45.358238922506317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2">
        <f>'Scénario référence'!$B$16*5+'Scénario référence'!$B$17*0+'Scénario référence'!$B$18*5</f>
        <v>4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14.666666666666666</v>
      </c>
      <c r="H16" s="66">
        <f t="shared" si="1"/>
        <v>159.86666666666667</v>
      </c>
      <c r="I16" s="6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13.205128205128204</v>
      </c>
      <c r="N16" s="13">
        <f>IF('Données projet'!$A$36&gt;35,N15+M16-V15,IF(A16&lt;'Données projet'!$A$36,$K$205^A16,IF(A16='Données projet'!$A$36,'Données projet'!$B$36,N15+M16-V15)))</f>
        <v>87.692307692307679</v>
      </c>
      <c r="O16" s="13">
        <f>N16*VLOOKUP('Données projet'!$B$9,Paramètres!$A$1:$I$89,3,0)*VLOOKUP('Données projet'!$B$9,Paramètres!$A$1:$I$89,5,0)</f>
        <v>44.870399999999997</v>
      </c>
      <c r="P16" s="13">
        <f t="shared" si="33"/>
        <v>13.280788754439524</v>
      </c>
      <c r="Q16" s="20">
        <f t="shared" si="2"/>
        <v>101.27998708064882</v>
      </c>
      <c r="R16" s="59">
        <f t="shared" si="0"/>
        <v>285.04984338661728</v>
      </c>
      <c r="S16" s="59">
        <f ca="1">AVERAGE(OFFSET($R$3,0,0,'Données projet'!$E$9+1,1))-AVERAGE(OFFSET($H$3,0,0,'Données projet'!$E$9+1,1))</f>
        <v>140.03175887621094</v>
      </c>
      <c r="T16" s="59">
        <f t="shared" si="34"/>
        <v>377.29475975964954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13.205128205128204</v>
      </c>
      <c r="AI16" s="13">
        <f>IF('Données projet'!$A$62&gt;35,AI15+AH16-AQ15,IF(A16&lt;'Données projet'!$A$62,$AF$205^A16,IF(A16='Données projet'!$A$62,'Données projet'!$B$62,AI15+AH16-AQ15)))</f>
        <v>87.692307692307679</v>
      </c>
      <c r="AJ16" s="13">
        <f>AI16*VLOOKUP('Données projet'!$B$10,Paramètres!$A$1:$I$89,3,0)*VLOOKUP('Données projet'!$B$10,Paramètres!$A$1:$I$89,5,0)</f>
        <v>44.186399999999999</v>
      </c>
      <c r="AK16" s="13">
        <f t="shared" si="35"/>
        <v>13.101743394153372</v>
      </c>
      <c r="AL16" s="20">
        <f t="shared" si="4"/>
        <v>99.776849744817127</v>
      </c>
      <c r="AM16" s="59">
        <f t="shared" si="5"/>
        <v>283.54670605078559</v>
      </c>
      <c r="AN16" s="59">
        <f ca="1">AVERAGE(OFFSET($AM$3,0,0,'Données projet'!$E$10+1,1))-AVERAGE(OFFSET($H$3,0,0,'Données projet'!$E$10+1,1))</f>
        <v>138.27364731587764</v>
      </c>
      <c r="AO16" s="59">
        <f t="shared" si="36"/>
        <v>372.50391467700013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3.65</v>
      </c>
      <c r="BD16" s="12">
        <f>IF('Données projet'!$A$88&gt;35,BD15+BC16-BL15,IF(A16&lt;'Données projet'!$A$88,$BA$205^A16,IF(A16='Données projet'!$A$88,'Données projet'!$B$88,BD15+BC16-BL15)))</f>
        <v>16.261472127148366</v>
      </c>
      <c r="BE16" s="13">
        <f>BD16*VLOOKUP('Données projet'!$B$11,Paramètres!$A$1:$I$89,3,0)*VLOOKUP('Données projet'!$B$11,Paramètres!$A$1:$I$89,5,0)</f>
        <v>16.996490667295472</v>
      </c>
      <c r="BF16" s="13">
        <f t="shared" si="37"/>
        <v>5.6324521010085444</v>
      </c>
      <c r="BG16" s="20">
        <f t="shared" si="7"/>
        <v>39.412075321462829</v>
      </c>
      <c r="BH16" s="59">
        <f t="shared" si="8"/>
        <v>223.18193162743128</v>
      </c>
      <c r="BI16" s="59">
        <f ca="1">AVERAGE(OFFSET($BH$3,0,0,'Données projet'!$E$11+1,1))-AVERAGE(OFFSET($H$3,0,0,'Données projet'!$E$11+1,1))</f>
        <v>638.07304290599211</v>
      </c>
      <c r="BJ16" s="59">
        <f t="shared" si="38"/>
        <v>408.22196233793511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18.518564458396558</v>
      </c>
      <c r="CA16" s="13">
        <f t="shared" si="39"/>
        <v>6.0758898323150072</v>
      </c>
      <c r="CB16" s="20">
        <f t="shared" si="10"/>
        <v>42.835341222989307</v>
      </c>
      <c r="CC16" s="59">
        <f t="shared" si="11"/>
        <v>226.60519752895777</v>
      </c>
      <c r="CD16" s="59">
        <f ca="1">AVERAGE(OFFSET($CC$3,0,0,'Données projet'!$E$12+1,1))-AVERAGE(OFFSET($H$3,0,0,'Données projet'!$E$12+1,1))</f>
        <v>685.99951993586967</v>
      </c>
      <c r="CE16" s="59">
        <f t="shared" si="40"/>
        <v>437.98014017823095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3.65</v>
      </c>
      <c r="CT16" s="12">
        <f>IF('Données projet'!$A$140&gt;35,CT15+CS16-DB15,IF(A16&lt;'Données projet'!$A$140,$CQ$205^A16,IF(A16='Données projet'!$A$140,'Données projet'!$B$140,CT15+CS16-DB15)))</f>
        <v>16.261472127148366</v>
      </c>
      <c r="CU16" s="17">
        <f>CT16*VLOOKUP('Données projet'!$B$13,Paramètres!$A$1:$I$89,3,0)*VLOOKUP('Données projet'!$B$13,Paramètres!$A$1:$I$89,5,0)</f>
        <v>16.489132736928447</v>
      </c>
      <c r="CV16" s="13">
        <f t="shared" si="41"/>
        <v>5.4836288594779292</v>
      </c>
      <c r="CW16" s="20">
        <f t="shared" si="13"/>
        <v>38.269226447074438</v>
      </c>
      <c r="CX16" s="59">
        <f t="shared" si="14"/>
        <v>222.03908275304289</v>
      </c>
      <c r="CY16" s="59">
        <f ca="1">AVERAGE(OFFSET($CX$3,0,0,'Données projet'!$E$13+1,1))-AVERAGE(OFFSET($H$3,0,0,'Données projet'!$E$13+1,1))</f>
        <v>622.07867348539082</v>
      </c>
      <c r="CZ16" s="59">
        <f t="shared" si="42"/>
        <v>398.29010684041634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3.65</v>
      </c>
      <c r="DO16" s="12">
        <f>IF('Données projet'!$A$166&gt;35,DO15+DN16-DW15,IF(A16&lt;'Données projet'!$A$166,$DL$205^A16,IF(A16='Données projet'!$A$166,'Données projet'!$B$166,DO15+DN16-DW15)))</f>
        <v>16.261472127148366</v>
      </c>
      <c r="DP16" s="17">
        <f>DO16*VLOOKUP('Données projet'!$B$14,Paramètres!$A$1:$I$89,3,0)*VLOOKUP('Données projet'!$B$14,Paramètres!$A$1:$I$89,5,0)</f>
        <v>15.474416876194386</v>
      </c>
      <c r="DQ16" s="13">
        <f t="shared" si="43"/>
        <v>5.1843612238044923</v>
      </c>
      <c r="DR16" s="20">
        <f t="shared" si="16"/>
        <v>35.980705190831372</v>
      </c>
      <c r="DS16" s="59">
        <f t="shared" si="17"/>
        <v>219.75056149679983</v>
      </c>
      <c r="DT16" s="59">
        <f ca="1">AVERAGE(OFFSET($DS$3,0,0,'Données projet'!$E$14+1,1))-AVERAGE(OFFSET($H$3,0,0,'Données projet'!$E$14+1,1))</f>
        <v>590.05965493677377</v>
      </c>
      <c r="DU16" s="59">
        <f t="shared" si="44"/>
        <v>378.40640480134505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45.785718386476248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2">
        <f>'Scénario référence'!$B$16*5+'Scénario référence'!$B$17*0+'Scénario référence'!$B$18*5</f>
        <v>4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14.666666666666666</v>
      </c>
      <c r="H17" s="66">
        <f t="shared" si="1"/>
        <v>159.86666666666667</v>
      </c>
      <c r="I17" s="6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13.205128205128204</v>
      </c>
      <c r="N17" s="13">
        <f>IF('Données projet'!$A$36&gt;35,N16+M17-V16,IF(A17&lt;'Données projet'!$A$36,$K$205^A17,IF(A17='Données projet'!$A$36,'Données projet'!$B$36,N16+M17-V16)))</f>
        <v>100.89743589743588</v>
      </c>
      <c r="O17" s="13">
        <f>N17*VLOOKUP('Données projet'!$B$9,Paramètres!$A$1:$I$89,3,0)*VLOOKUP('Données projet'!$B$9,Paramètres!$A$1:$I$89,5,0)</f>
        <v>51.627199999999995</v>
      </c>
      <c r="P17" s="13">
        <f t="shared" si="33"/>
        <v>15.033204692055911</v>
      </c>
      <c r="Q17" s="20">
        <f t="shared" si="2"/>
        <v>116.10020483866403</v>
      </c>
      <c r="R17" s="59">
        <f t="shared" si="0"/>
        <v>302.63251675374829</v>
      </c>
      <c r="S17" s="59">
        <f ca="1">AVERAGE(OFFSET($R$3,0,0,'Données projet'!$E$9+1,1))-AVERAGE(OFFSET($H$3,0,0,'Données projet'!$E$9+1,1))</f>
        <v>140.03175887621094</v>
      </c>
      <c r="T17" s="59">
        <f t="shared" si="34"/>
        <v>377.29475975964954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13.205128205128204</v>
      </c>
      <c r="AI17" s="13">
        <f>IF('Données projet'!$A$62&gt;35,AI16+AH17-AQ16,IF(A17&lt;'Données projet'!$A$62,$AF$205^A17,IF(A17='Données projet'!$A$62,'Données projet'!$B$62,AI16+AH17-AQ16)))</f>
        <v>100.89743589743588</v>
      </c>
      <c r="AJ17" s="13">
        <f>AI17*VLOOKUP('Données projet'!$B$10,Paramètres!$A$1:$I$89,3,0)*VLOOKUP('Données projet'!$B$10,Paramètres!$A$1:$I$89,5,0)</f>
        <v>50.840199999999996</v>
      </c>
      <c r="AK17" s="13">
        <f t="shared" si="35"/>
        <v>14.830534082643128</v>
      </c>
      <c r="AL17" s="20">
        <f t="shared" si="4"/>
        <v>114.37652852727008</v>
      </c>
      <c r="AM17" s="59">
        <f t="shared" si="5"/>
        <v>300.90884044235435</v>
      </c>
      <c r="AN17" s="59">
        <f ca="1">AVERAGE(OFFSET($AM$3,0,0,'Données projet'!$E$10+1,1))-AVERAGE(OFFSET($H$3,0,0,'Données projet'!$E$10+1,1))</f>
        <v>138.27364731587764</v>
      </c>
      <c r="AO17" s="59">
        <f t="shared" si="36"/>
        <v>372.50391467700013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3.65</v>
      </c>
      <c r="BD17" s="12">
        <f>IF('Données projet'!$A$88&gt;35,BD16+BC17-BL16,IF(A17&lt;'Données projet'!$A$88,$BA$205^A17,IF(A17='Données projet'!$A$88,'Données projet'!$B$88,BD16+BC17-BL16)))</f>
        <v>20.152364144963837</v>
      </c>
      <c r="BE17" s="13">
        <f>BD17*VLOOKUP('Données projet'!$B$11,Paramètres!$A$1:$I$89,3,0)*VLOOKUP('Données projet'!$B$11,Paramètres!$A$1:$I$89,5,0)</f>
        <v>21.063251004316204</v>
      </c>
      <c r="BF17" s="13">
        <f t="shared" si="37"/>
        <v>6.8079931653802301</v>
      </c>
      <c r="BG17" s="20">
        <f t="shared" si="7"/>
        <v>48.542416928887945</v>
      </c>
      <c r="BH17" s="59">
        <f t="shared" si="8"/>
        <v>235.0747288439722</v>
      </c>
      <c r="BI17" s="59">
        <f ca="1">AVERAGE(OFFSET($BH$3,0,0,'Données projet'!$E$11+1,1))-AVERAGE(OFFSET($H$3,0,0,'Données projet'!$E$11+1,1))</f>
        <v>638.07304290599211</v>
      </c>
      <c r="BJ17" s="59">
        <f t="shared" si="38"/>
        <v>408.22196233793511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22.949512288284819</v>
      </c>
      <c r="CA17" s="13">
        <f t="shared" si="39"/>
        <v>7.3439801546820176</v>
      </c>
      <c r="CB17" s="20">
        <f t="shared" si="10"/>
        <v>52.761166004833903</v>
      </c>
      <c r="CC17" s="59">
        <f t="shared" si="11"/>
        <v>239.29347791991816</v>
      </c>
      <c r="CD17" s="59">
        <f ca="1">AVERAGE(OFFSET($CC$3,0,0,'Données projet'!$E$12+1,1))-AVERAGE(OFFSET($H$3,0,0,'Données projet'!$E$12+1,1))</f>
        <v>685.99951993586967</v>
      </c>
      <c r="CE17" s="59">
        <f t="shared" si="40"/>
        <v>437.98014017823095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3.65</v>
      </c>
      <c r="CT17" s="12">
        <f>IF('Données projet'!$A$140&gt;35,CT16+CS17-DB16,IF(A17&lt;'Données projet'!$A$140,$CQ$205^A17,IF(A17='Données projet'!$A$140,'Données projet'!$B$140,CT16+CS17-DB16)))</f>
        <v>20.152364144963837</v>
      </c>
      <c r="CU17" s="17">
        <f>CT17*VLOOKUP('Données projet'!$B$13,Paramètres!$A$1:$I$89,3,0)*VLOOKUP('Données projet'!$B$13,Paramètres!$A$1:$I$89,5,0)</f>
        <v>20.434497242993334</v>
      </c>
      <c r="CV17" s="13">
        <f t="shared" si="41"/>
        <v>6.6281092368495731</v>
      </c>
      <c r="CW17" s="20">
        <f t="shared" si="13"/>
        <v>47.134039619059727</v>
      </c>
      <c r="CX17" s="59">
        <f t="shared" si="14"/>
        <v>233.66635153414398</v>
      </c>
      <c r="CY17" s="59">
        <f ca="1">AVERAGE(OFFSET($CX$3,0,0,'Données projet'!$E$13+1,1))-AVERAGE(OFFSET($H$3,0,0,'Données projet'!$E$13+1,1))</f>
        <v>622.07867348539082</v>
      </c>
      <c r="CZ17" s="59">
        <f t="shared" si="42"/>
        <v>398.29010684041634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3.65</v>
      </c>
      <c r="DO17" s="12">
        <f>IF('Données projet'!$A$166&gt;35,DO16+DN17-DW16,IF(A17&lt;'Données projet'!$A$166,$DL$205^A17,IF(A17='Données projet'!$A$166,'Données projet'!$B$166,DO16+DN17-DW16)))</f>
        <v>20.152364144963837</v>
      </c>
      <c r="DP17" s="17">
        <f>DO17*VLOOKUP('Données projet'!$B$14,Paramètres!$A$1:$I$89,3,0)*VLOOKUP('Données projet'!$B$14,Paramètres!$A$1:$I$89,5,0)</f>
        <v>19.176989720347589</v>
      </c>
      <c r="DQ17" s="13">
        <f t="shared" si="43"/>
        <v>6.2663818787208765</v>
      </c>
      <c r="DR17" s="20">
        <f t="shared" si="16"/>
        <v>44.3138722017109</v>
      </c>
      <c r="DS17" s="59">
        <f t="shared" si="17"/>
        <v>230.84618411679514</v>
      </c>
      <c r="DT17" s="59">
        <f ca="1">AVERAGE(OFFSET($DS$3,0,0,'Données projet'!$E$14+1,1))-AVERAGE(OFFSET($H$3,0,0,'Données projet'!$E$14+1,1))</f>
        <v>590.05965493677377</v>
      </c>
      <c r="DU17" s="59">
        <f t="shared" si="44"/>
        <v>378.40640480134505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46.205782037447214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2">
        <f>'Scénario référence'!$B$16*5+'Scénario référence'!$B$17*0+'Scénario référence'!$B$18*5</f>
        <v>4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14.666666666666666</v>
      </c>
      <c r="H18" s="66">
        <f t="shared" si="1"/>
        <v>159.86666666666667</v>
      </c>
      <c r="I18" s="6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114.1025641025641</v>
      </c>
      <c r="L18" s="12">
        <f>VLOOKUP(A18,'Données projet'!$A$35:$I$55,9,0)</f>
        <v>13.205128205128204</v>
      </c>
      <c r="M18" s="12">
        <f t="array" ref="M18">INDEX(L:L,MIN(IF(ISNUMBER(L18:L214),ROW(L18:L214),"")))</f>
        <v>13.205128205128204</v>
      </c>
      <c r="N18" s="13">
        <f>IF('Données projet'!$A$36&gt;35,N17+M18-V17,IF(A18&lt;'Données projet'!$A$36,$K$205^A18,IF(A18='Données projet'!$A$36,'Données projet'!$B$36,N17+M18-V17)))</f>
        <v>114.10256410256409</v>
      </c>
      <c r="O18" s="13">
        <f>N18*VLOOKUP('Données projet'!$B$9,Paramètres!$A$1:$I$89,3,0)*VLOOKUP('Données projet'!$B$9,Paramètres!$A$1:$I$89,5,0)</f>
        <v>58.383999999999993</v>
      </c>
      <c r="P18" s="13">
        <f t="shared" si="33"/>
        <v>16.759046548102731</v>
      </c>
      <c r="Q18" s="20">
        <f t="shared" si="2"/>
        <v>130.87413940461224</v>
      </c>
      <c r="R18" s="59">
        <f t="shared" si="0"/>
        <v>320.1421873229956</v>
      </c>
      <c r="S18" s="59">
        <f ca="1">AVERAGE(OFFSET($R$3,0,0,'Données projet'!$E$9+1,1))-AVERAGE(OFFSET($H$3,0,0,'Données projet'!$E$9+1,1))</f>
        <v>140.03175887621094</v>
      </c>
      <c r="T18" s="59">
        <f t="shared" si="34"/>
        <v>377.29475975964954</v>
      </c>
      <c r="U18" s="15">
        <f>IF(ISNA(VLOOKUP(A18,'Données projet'!$A$35:$I$55,3,0)),0,VLOOKUP(A18,'Données projet'!$A$35:$I$55,3,0))</f>
        <v>3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114.1025641025641</v>
      </c>
      <c r="AG18" s="12">
        <f>VLOOKUP(A18,'Données projet'!$A$61:$I$81,9,0)</f>
        <v>13.205128205128204</v>
      </c>
      <c r="AH18" s="12">
        <f t="array" ref="AH18">INDEX(AG:AG,MIN(IF(ISNUMBER(AG18:AG214),ROW(AG18:AG214),"")))</f>
        <v>13.205128205128204</v>
      </c>
      <c r="AI18" s="13">
        <f>IF('Données projet'!$A$62&gt;35,AI17+AH18-AQ17,IF(A18&lt;'Données projet'!$A$62,$AF$205^A18,IF(A18='Données projet'!$A$62,'Données projet'!$B$62,AI17+AH18-AQ17)))</f>
        <v>114.10256410256409</v>
      </c>
      <c r="AJ18" s="13">
        <f>AI18*VLOOKUP('Données projet'!$B$10,Paramètres!$A$1:$I$89,3,0)*VLOOKUP('Données projet'!$B$10,Paramètres!$A$1:$I$89,5,0)</f>
        <v>57.494</v>
      </c>
      <c r="AK18" s="13">
        <f t="shared" si="35"/>
        <v>16.53310894885777</v>
      </c>
      <c r="AL18" s="20">
        <f t="shared" si="4"/>
        <v>128.93054808592728</v>
      </c>
      <c r="AM18" s="59">
        <f t="shared" si="5"/>
        <v>318.19859600431062</v>
      </c>
      <c r="AN18" s="59">
        <f ca="1">AVERAGE(OFFSET($AM$3,0,0,'Données projet'!$E$10+1,1))-AVERAGE(OFFSET($H$3,0,0,'Données projet'!$E$10+1,1))</f>
        <v>138.27364731587764</v>
      </c>
      <c r="AO18" s="59">
        <f t="shared" si="36"/>
        <v>372.50391467700013</v>
      </c>
      <c r="AP18" s="15">
        <f>IF(ISNA(VLOOKUP(A18,'Données projet'!$A$61:$I$81,3,0)),0,VLOOKUP(A18,'Données projet'!$A$61:$I$81,3,0))</f>
        <v>3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3.65</v>
      </c>
      <c r="BD18" s="12">
        <f>IF('Données projet'!$A$88&gt;35,BD17+BC18-BL17,IF(A18&lt;'Données projet'!$A$88,$BA$205^A18,IF(A18='Données projet'!$A$88,'Données projet'!$B$88,BD17+BC18-BL17)))</f>
        <v>24.974232188561476</v>
      </c>
      <c r="BE18" s="13">
        <f>BD18*VLOOKUP('Données projet'!$B$11,Paramètres!$A$1:$I$89,3,0)*VLOOKUP('Données projet'!$B$11,Paramètres!$A$1:$I$89,5,0)</f>
        <v>26.103067483484455</v>
      </c>
      <c r="BF18" s="13">
        <f t="shared" si="37"/>
        <v>8.2288797327836498</v>
      </c>
      <c r="BG18" s="20">
        <f t="shared" si="7"/>
        <v>59.794808068333602</v>
      </c>
      <c r="BH18" s="59">
        <f t="shared" si="8"/>
        <v>249.06285598671695</v>
      </c>
      <c r="BI18" s="59">
        <f ca="1">AVERAGE(OFFSET($BH$3,0,0,'Données projet'!$E$11+1,1))-AVERAGE(OFFSET($H$3,0,0,'Données projet'!$E$11+1,1))</f>
        <v>638.07304290599211</v>
      </c>
      <c r="BJ18" s="59">
        <f t="shared" si="38"/>
        <v>408.22196233793511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28.440655616333807</v>
      </c>
      <c r="CA18" s="13">
        <f t="shared" si="39"/>
        <v>8.8767318040415493</v>
      </c>
      <c r="CB18" s="20">
        <f t="shared" si="10"/>
        <v>64.994449757153745</v>
      </c>
      <c r="CC18" s="59">
        <f t="shared" si="11"/>
        <v>254.26249767553711</v>
      </c>
      <c r="CD18" s="59">
        <f ca="1">AVERAGE(OFFSET($CC$3,0,0,'Données projet'!$E$12+1,1))-AVERAGE(OFFSET($H$3,0,0,'Données projet'!$E$12+1,1))</f>
        <v>685.99951993586967</v>
      </c>
      <c r="CE18" s="59">
        <f t="shared" si="40"/>
        <v>437.98014017823095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3.65</v>
      </c>
      <c r="CT18" s="12">
        <f>IF('Données projet'!$A$140&gt;35,CT17+CS18-DB17,IF(A18&lt;'Données projet'!$A$140,$CQ$205^A18,IF(A18='Données projet'!$A$140,'Données projet'!$B$140,CT17+CS18-DB17)))</f>
        <v>24.974232188561476</v>
      </c>
      <c r="CU18" s="17">
        <f>CT18*VLOOKUP('Données projet'!$B$13,Paramètres!$A$1:$I$89,3,0)*VLOOKUP('Données projet'!$B$13,Paramètres!$A$1:$I$89,5,0)</f>
        <v>25.323871439201337</v>
      </c>
      <c r="CV18" s="13">
        <f t="shared" si="41"/>
        <v>8.0114524854610902</v>
      </c>
      <c r="CW18" s="20">
        <f t="shared" si="13"/>
        <v>58.059022502120392</v>
      </c>
      <c r="CX18" s="59">
        <f t="shared" si="14"/>
        <v>247.32707042050376</v>
      </c>
      <c r="CY18" s="59">
        <f ca="1">AVERAGE(OFFSET($CX$3,0,0,'Données projet'!$E$13+1,1))-AVERAGE(OFFSET($H$3,0,0,'Données projet'!$E$13+1,1))</f>
        <v>622.07867348539082</v>
      </c>
      <c r="CZ18" s="59">
        <f t="shared" si="42"/>
        <v>398.29010684041634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3.65</v>
      </c>
      <c r="DO18" s="12">
        <f>IF('Données projet'!$A$166&gt;35,DO17+DN18-DW17,IF(A18&lt;'Données projet'!$A$166,$DL$205^A18,IF(A18='Données projet'!$A$166,'Données projet'!$B$166,DO17+DN18-DW17)))</f>
        <v>24.974232188561476</v>
      </c>
      <c r="DP18" s="17">
        <f>DO18*VLOOKUP('Données projet'!$B$14,Paramètres!$A$1:$I$89,3,0)*VLOOKUP('Données projet'!$B$14,Paramètres!$A$1:$I$89,5,0)</f>
        <v>23.765479350635101</v>
      </c>
      <c r="DQ18" s="13">
        <f t="shared" si="43"/>
        <v>7.5742295250687146</v>
      </c>
      <c r="DR18" s="20">
        <f t="shared" si="16"/>
        <v>54.583326291850803</v>
      </c>
      <c r="DS18" s="59">
        <f t="shared" si="17"/>
        <v>243.85137421023416</v>
      </c>
      <c r="DT18" s="59">
        <f ca="1">AVERAGE(OFFSET($DS$3,0,0,'Données projet'!$E$14+1,1))-AVERAGE(OFFSET($H$3,0,0,'Données projet'!$E$14+1,1))</f>
        <v>590.05965493677377</v>
      </c>
      <c r="DU18" s="59">
        <f t="shared" si="44"/>
        <v>378.40640480134505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46.61855852319546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2">
        <f>'Scénario référence'!$B$16*5+'Scénario référence'!$B$17*0+'Scénario référence'!$B$18*5</f>
        <v>4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14.666666666666666</v>
      </c>
      <c r="H19" s="66">
        <f t="shared" si="1"/>
        <v>159.86666666666667</v>
      </c>
      <c r="I19" s="6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16.92307692307692</v>
      </c>
      <c r="N19" s="13">
        <f>IF('Données projet'!$A$36&gt;35,N18+M19-V18,IF(A19&lt;'Données projet'!$A$36,$K$205^A19,IF(A19='Données projet'!$A$36,'Données projet'!$B$36,N18+M19-V18)))</f>
        <v>131.02564102564099</v>
      </c>
      <c r="O19" s="13">
        <f>N19*VLOOKUP('Données projet'!$B$9,Paramètres!$A$1:$I$89,3,0)*VLOOKUP('Données projet'!$B$9,Paramètres!$A$1:$I$89,5,0)</f>
        <v>67.043199999999985</v>
      </c>
      <c r="P19" s="13">
        <f t="shared" si="33"/>
        <v>18.937345770030191</v>
      </c>
      <c r="Q19" s="20">
        <f t="shared" si="2"/>
        <v>149.74945054946923</v>
      </c>
      <c r="R19" s="59">
        <f t="shared" si="0"/>
        <v>341.72697839075994</v>
      </c>
      <c r="S19" s="59">
        <f ca="1">AVERAGE(OFFSET($R$3,0,0,'Données projet'!$E$9+1,1))-AVERAGE(OFFSET($H$3,0,0,'Données projet'!$E$9+1,1))</f>
        <v>140.03175887621094</v>
      </c>
      <c r="T19" s="59">
        <f t="shared" si="34"/>
        <v>377.29475975964954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16.92307692307692</v>
      </c>
      <c r="AI19" s="13">
        <f>IF('Données projet'!$A$62&gt;35,AI18+AH19-AQ18,IF(A19&lt;'Données projet'!$A$62,$AF$205^A19,IF(A19='Données projet'!$A$62,'Données projet'!$B$62,AI18+AH19-AQ18)))</f>
        <v>131.02564102564099</v>
      </c>
      <c r="AJ19" s="13">
        <f>AI19*VLOOKUP('Données projet'!$B$10,Paramètres!$A$1:$I$89,3,0)*VLOOKUP('Données projet'!$B$10,Paramètres!$A$1:$I$89,5,0)</f>
        <v>66.021199999999979</v>
      </c>
      <c r="AK19" s="13">
        <f t="shared" si="35"/>
        <v>18.682041363119492</v>
      </c>
      <c r="AL19" s="20">
        <f t="shared" si="4"/>
        <v>147.52481204076642</v>
      </c>
      <c r="AM19" s="59">
        <f t="shared" si="5"/>
        <v>339.50233988205713</v>
      </c>
      <c r="AN19" s="59">
        <f ca="1">AVERAGE(OFFSET($AM$3,0,0,'Données projet'!$E$10+1,1))-AVERAGE(OFFSET($H$3,0,0,'Données projet'!$E$10+1,1))</f>
        <v>138.27364731587764</v>
      </c>
      <c r="AO19" s="59">
        <f t="shared" si="36"/>
        <v>372.50391467700013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3.65</v>
      </c>
      <c r="BD19" s="12">
        <f>IF('Données projet'!$A$88&gt;35,BD18+BC19-BL18,IF(A19&lt;'Données projet'!$A$88,$BA$205^A19,IF(A19='Données projet'!$A$88,'Données projet'!$B$88,BD18+BC19-BL18)))</f>
        <v>30.949831440200953</v>
      </c>
      <c r="BE19" s="13">
        <f>BD19*VLOOKUP('Données projet'!$B$11,Paramètres!$A$1:$I$89,3,0)*VLOOKUP('Données projet'!$B$11,Paramètres!$A$1:$I$89,5,0)</f>
        <v>32.348763821298036</v>
      </c>
      <c r="BF19" s="13">
        <f t="shared" si="37"/>
        <v>9.9463175140886975</v>
      </c>
      <c r="BG19" s="20">
        <f t="shared" si="7"/>
        <v>73.663933325798567</v>
      </c>
      <c r="BH19" s="59">
        <f t="shared" si="8"/>
        <v>265.64146116708929</v>
      </c>
      <c r="BI19" s="59">
        <f ca="1">AVERAGE(OFFSET($BH$3,0,0,'Données projet'!$E$11+1,1))-AVERAGE(OFFSET($H$3,0,0,'Données projet'!$E$11+1,1))</f>
        <v>638.07304290599211</v>
      </c>
      <c r="BJ19" s="59">
        <f t="shared" si="38"/>
        <v>408.22196233793511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35.245668044100846</v>
      </c>
      <c r="CA19" s="13">
        <f t="shared" si="39"/>
        <v>10.72938186940056</v>
      </c>
      <c r="CB19" s="20">
        <f t="shared" si="10"/>
        <v>80.073211932681616</v>
      </c>
      <c r="CC19" s="59">
        <f t="shared" si="11"/>
        <v>272.05073977397234</v>
      </c>
      <c r="CD19" s="59">
        <f ca="1">AVERAGE(OFFSET($CC$3,0,0,'Données projet'!$E$12+1,1))-AVERAGE(OFFSET($H$3,0,0,'Données projet'!$E$12+1,1))</f>
        <v>685.99951993586967</v>
      </c>
      <c r="CE19" s="59">
        <f t="shared" si="40"/>
        <v>437.98014017823095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3.65</v>
      </c>
      <c r="CT19" s="12">
        <f>IF('Données projet'!$A$140&gt;35,CT18+CS19-DB18,IF(A19&lt;'Données projet'!$A$140,$CQ$205^A19,IF(A19='Données projet'!$A$140,'Données projet'!$B$140,CT18+CS19-DB18)))</f>
        <v>30.949831440200953</v>
      </c>
      <c r="CU19" s="17">
        <f>CT19*VLOOKUP('Données projet'!$B$13,Paramètres!$A$1:$I$89,3,0)*VLOOKUP('Données projet'!$B$13,Paramètres!$A$1:$I$89,5,0)</f>
        <v>31.383129080363769</v>
      </c>
      <c r="CV19" s="13">
        <f t="shared" si="41"/>
        <v>9.6835113353243223</v>
      </c>
      <c r="CW19" s="20">
        <f t="shared" si="13"/>
        <v>71.524398723990075</v>
      </c>
      <c r="CX19" s="59">
        <f t="shared" si="14"/>
        <v>263.50192656528077</v>
      </c>
      <c r="CY19" s="59">
        <f ca="1">AVERAGE(OFFSET($CX$3,0,0,'Données projet'!$E$13+1,1))-AVERAGE(OFFSET($H$3,0,0,'Données projet'!$E$13+1,1))</f>
        <v>622.07867348539082</v>
      </c>
      <c r="CZ19" s="59">
        <f t="shared" si="42"/>
        <v>398.29010684041634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3.65</v>
      </c>
      <c r="DO19" s="12">
        <f>IF('Données projet'!$A$166&gt;35,DO18+DN19-DW18,IF(A19&lt;'Données projet'!$A$166,$DL$205^A19,IF(A19='Données projet'!$A$166,'Données projet'!$B$166,DO18+DN19-DW18)))</f>
        <v>30.949831440200953</v>
      </c>
      <c r="DP19" s="17">
        <f>DO19*VLOOKUP('Données projet'!$B$14,Paramètres!$A$1:$I$89,3,0)*VLOOKUP('Données projet'!$B$14,Paramètres!$A$1:$I$89,5,0)</f>
        <v>29.451859598495226</v>
      </c>
      <c r="DQ19" s="13">
        <f t="shared" si="43"/>
        <v>9.1550361929319699</v>
      </c>
      <c r="DR19" s="20">
        <f t="shared" si="16"/>
        <v>67.240343503402343</v>
      </c>
      <c r="DS19" s="59">
        <f t="shared" si="17"/>
        <v>259.21787134469304</v>
      </c>
      <c r="DT19" s="59">
        <f ca="1">AVERAGE(OFFSET($DS$3,0,0,'Données projet'!$E$14+1,1))-AVERAGE(OFFSET($H$3,0,0,'Données projet'!$E$14+1,1))</f>
        <v>590.05965493677377</v>
      </c>
      <c r="DU19" s="59">
        <f t="shared" si="44"/>
        <v>378.40640480134505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47.024174259745948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2">
        <f>'Scénario référence'!$B$16*5+'Scénario référence'!$B$17*0+'Scénario référence'!$B$18*5</f>
        <v>4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14.666666666666666</v>
      </c>
      <c r="H20" s="66">
        <f t="shared" si="1"/>
        <v>159.86666666666667</v>
      </c>
      <c r="I20" s="6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16.92307692307692</v>
      </c>
      <c r="N20" s="13">
        <f>IF('Données projet'!$A$36&gt;35,N19+M20-V19,IF(A20&lt;'Données projet'!$A$36,$K$205^A20,IF(A20='Données projet'!$A$36,'Données projet'!$B$36,N19+M20-V19)))</f>
        <v>147.9487179487179</v>
      </c>
      <c r="O20" s="13">
        <f>N20*VLOOKUP('Données projet'!$B$9,Paramètres!$A$1:$I$89,3,0)*VLOOKUP('Données projet'!$B$9,Paramètres!$A$1:$I$89,5,0)</f>
        <v>75.702399999999983</v>
      </c>
      <c r="P20" s="13">
        <f t="shared" si="33"/>
        <v>21.083045693747945</v>
      </c>
      <c r="Q20" s="20">
        <f t="shared" si="2"/>
        <v>168.56798458327765</v>
      </c>
      <c r="R20" s="59">
        <f t="shared" si="0"/>
        <v>363.22919175137889</v>
      </c>
      <c r="S20" s="59">
        <f ca="1">AVERAGE(OFFSET($R$3,0,0,'Données projet'!$E$9+1,1))-AVERAGE(OFFSET($H$3,0,0,'Données projet'!$E$9+1,1))</f>
        <v>140.03175887621094</v>
      </c>
      <c r="T20" s="59">
        <f t="shared" si="34"/>
        <v>377.29475975964954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16.92307692307692</v>
      </c>
      <c r="AI20" s="13">
        <f>IF('Données projet'!$A$62&gt;35,AI19+AH20-AQ19,IF(A20&lt;'Données projet'!$A$62,$AF$205^A20,IF(A20='Données projet'!$A$62,'Données projet'!$B$62,AI19+AH20-AQ19)))</f>
        <v>147.9487179487179</v>
      </c>
      <c r="AJ20" s="13">
        <f>AI20*VLOOKUP('Données projet'!$B$10,Paramètres!$A$1:$I$89,3,0)*VLOOKUP('Données projet'!$B$10,Paramètres!$A$1:$I$89,5,0)</f>
        <v>74.548399999999987</v>
      </c>
      <c r="AK20" s="13">
        <f t="shared" si="35"/>
        <v>20.79881396760857</v>
      </c>
      <c r="AL20" s="20">
        <f t="shared" si="4"/>
        <v>166.06306432691824</v>
      </c>
      <c r="AM20" s="59">
        <f t="shared" si="5"/>
        <v>360.72427149501948</v>
      </c>
      <c r="AN20" s="59">
        <f ca="1">AVERAGE(OFFSET($AM$3,0,0,'Données projet'!$E$10+1,1))-AVERAGE(OFFSET($H$3,0,0,'Données projet'!$E$10+1,1))</f>
        <v>138.27364731587764</v>
      </c>
      <c r="AO20" s="59">
        <f t="shared" si="36"/>
        <v>372.50391467700013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3.65</v>
      </c>
      <c r="BD20" s="12">
        <f>IF('Données projet'!$A$88&gt;35,BD19+BC20-BL19,IF(A20&lt;'Données projet'!$A$88,$BA$205^A20,IF(A20='Données projet'!$A$88,'Données projet'!$B$88,BD19+BC20-BL19)))</f>
        <v>38.355215845858055</v>
      </c>
      <c r="BE20" s="13">
        <f>BD20*VLOOKUP('Données projet'!$B$11,Paramètres!$A$1:$I$89,3,0)*VLOOKUP('Données projet'!$B$11,Paramètres!$A$1:$I$89,5,0)</f>
        <v>40.08887160209084</v>
      </c>
      <c r="BF20" s="13">
        <f t="shared" si="37"/>
        <v>12.022199291227453</v>
      </c>
      <c r="BG20" s="20">
        <f t="shared" si="7"/>
        <v>90.760115139196031</v>
      </c>
      <c r="BH20" s="59">
        <f t="shared" si="8"/>
        <v>285.42132230729726</v>
      </c>
      <c r="BI20" s="59">
        <f ca="1">AVERAGE(OFFSET($BH$3,0,0,'Données projet'!$E$11+1,1))-AVERAGE(OFFSET($H$3,0,0,'Données projet'!$E$11+1,1))</f>
        <v>638.07304290599211</v>
      </c>
      <c r="BJ20" s="59">
        <f t="shared" si="38"/>
        <v>408.22196233793511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43.678919805263149</v>
      </c>
      <c r="CA20" s="13">
        <f t="shared" si="39"/>
        <v>12.968695894023499</v>
      </c>
      <c r="CB20" s="20">
        <f t="shared" si="10"/>
        <v>98.661264009590909</v>
      </c>
      <c r="CC20" s="59">
        <f t="shared" si="11"/>
        <v>293.32247117769214</v>
      </c>
      <c r="CD20" s="59">
        <f ca="1">AVERAGE(OFFSET($CC$3,0,0,'Données projet'!$E$12+1,1))-AVERAGE(OFFSET($H$3,0,0,'Données projet'!$E$12+1,1))</f>
        <v>685.99951993586967</v>
      </c>
      <c r="CE20" s="59">
        <f t="shared" si="40"/>
        <v>437.98014017823095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3.65</v>
      </c>
      <c r="CT20" s="12">
        <f>IF('Données projet'!$A$140&gt;35,CT19+CS20-DB19,IF(A20&lt;'Données projet'!$A$140,$CQ$205^A20,IF(A20='Données projet'!$A$140,'Données projet'!$B$140,CT19+CS20-DB19)))</f>
        <v>38.355215845858055</v>
      </c>
      <c r="CU20" s="17">
        <f>CT20*VLOOKUP('Données projet'!$B$13,Paramètres!$A$1:$I$89,3,0)*VLOOKUP('Données projet'!$B$13,Paramètres!$A$1:$I$89,5,0)</f>
        <v>38.892188867700071</v>
      </c>
      <c r="CV20" s="13">
        <f t="shared" si="41"/>
        <v>11.704543208803392</v>
      </c>
      <c r="CW20" s="20">
        <f t="shared" si="13"/>
        <v>88.122641699910204</v>
      </c>
      <c r="CX20" s="59">
        <f t="shared" si="14"/>
        <v>282.78384886801143</v>
      </c>
      <c r="CY20" s="59">
        <f ca="1">AVERAGE(OFFSET($CX$3,0,0,'Données projet'!$E$13+1,1))-AVERAGE(OFFSET($H$3,0,0,'Données projet'!$E$13+1,1))</f>
        <v>622.07867348539082</v>
      </c>
      <c r="CZ20" s="59">
        <f t="shared" si="42"/>
        <v>398.29010684041634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3.65</v>
      </c>
      <c r="DO20" s="12">
        <f>IF('Données projet'!$A$166&gt;35,DO19+DN20-DW19,IF(A20&lt;'Données projet'!$A$166,$DL$205^A20,IF(A20='Données projet'!$A$166,'Données projet'!$B$166,DO19+DN20-DW19)))</f>
        <v>38.355215845858055</v>
      </c>
      <c r="DP20" s="17">
        <f>DO20*VLOOKUP('Données projet'!$B$14,Paramètres!$A$1:$I$89,3,0)*VLOOKUP('Données projet'!$B$14,Paramètres!$A$1:$I$89,5,0)</f>
        <v>36.498823398918525</v>
      </c>
      <c r="DQ20" s="13">
        <f t="shared" si="43"/>
        <v>11.065770771335835</v>
      </c>
      <c r="DR20" s="20">
        <f t="shared" si="16"/>
        <v>82.841668179859667</v>
      </c>
      <c r="DS20" s="59">
        <f t="shared" si="17"/>
        <v>277.50287534796092</v>
      </c>
      <c r="DT20" s="59">
        <f ca="1">AVERAGE(OFFSET($DS$3,0,0,'Données projet'!$E$14+1,1))-AVERAGE(OFFSET($H$3,0,0,'Données projet'!$E$14+1,1))</f>
        <v>590.05965493677377</v>
      </c>
      <c r="DU20" s="59">
        <f t="shared" si="44"/>
        <v>378.40640480134505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47.422753470088217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2">
        <f>'Scénario référence'!$B$16*5+'Scénario référence'!$B$17*0+'Scénario référence'!$B$18*5</f>
        <v>4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14.666666666666666</v>
      </c>
      <c r="H21" s="66">
        <f t="shared" si="1"/>
        <v>159.86666666666667</v>
      </c>
      <c r="I21" s="6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16.92307692307692</v>
      </c>
      <c r="N21" s="13">
        <f>IF('Données projet'!$A$36&gt;35,N20+M21-V20,IF(A21&lt;'Données projet'!$A$36,$K$205^A21,IF(A21='Données projet'!$A$36,'Données projet'!$B$36,N20+M21-V20)))</f>
        <v>164.8717948717948</v>
      </c>
      <c r="O21" s="13">
        <f>N21*VLOOKUP('Données projet'!$B$9,Paramètres!$A$1:$I$89,3,0)*VLOOKUP('Données projet'!$B$9,Paramètres!$A$1:$I$89,5,0)</f>
        <v>84.361599999999981</v>
      </c>
      <c r="P21" s="13">
        <f t="shared" si="33"/>
        <v>23.200300879032188</v>
      </c>
      <c r="Q21" s="20">
        <f t="shared" si="2"/>
        <v>187.33697736431432</v>
      </c>
      <c r="R21" s="59">
        <f t="shared" si="0"/>
        <v>384.65651084579008</v>
      </c>
      <c r="S21" s="59">
        <f ca="1">AVERAGE(OFFSET($R$3,0,0,'Données projet'!$E$9+1,1))-AVERAGE(OFFSET($H$3,0,0,'Données projet'!$E$9+1,1))</f>
        <v>140.03175887621094</v>
      </c>
      <c r="T21" s="59">
        <f t="shared" si="34"/>
        <v>377.29475975964954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16.92307692307692</v>
      </c>
      <c r="AI21" s="13">
        <f>IF('Données projet'!$A$62&gt;35,AI20+AH21-AQ20,IF(A21&lt;'Données projet'!$A$62,$AF$205^A21,IF(A21='Données projet'!$A$62,'Données projet'!$B$62,AI20+AH21-AQ20)))</f>
        <v>164.8717948717948</v>
      </c>
      <c r="AJ21" s="13">
        <f>AI21*VLOOKUP('Données projet'!$B$10,Paramètres!$A$1:$I$89,3,0)*VLOOKUP('Données projet'!$B$10,Paramètres!$A$1:$I$89,5,0)</f>
        <v>83.075599999999966</v>
      </c>
      <c r="AK21" s="13">
        <f t="shared" si="35"/>
        <v>22.88752531227642</v>
      </c>
      <c r="AL21" s="20">
        <f t="shared" si="4"/>
        <v>184.55244325221472</v>
      </c>
      <c r="AM21" s="59">
        <f t="shared" si="5"/>
        <v>381.87197673369053</v>
      </c>
      <c r="AN21" s="59">
        <f ca="1">AVERAGE(OFFSET($AM$3,0,0,'Données projet'!$E$10+1,1))-AVERAGE(OFFSET($H$3,0,0,'Données projet'!$E$10+1,1))</f>
        <v>138.27364731587764</v>
      </c>
      <c r="AO21" s="59">
        <f t="shared" si="36"/>
        <v>372.50391467700013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3.65</v>
      </c>
      <c r="BD21" s="12">
        <f>IF('Données projet'!$A$88&gt;35,BD20+BC21-BL20,IF(A21&lt;'Données projet'!$A$88,$BA$205^A21,IF(A21='Données projet'!$A$88,'Données projet'!$B$88,BD20+BC21-BL20)))</f>
        <v>47.532490941824946</v>
      </c>
      <c r="BE21" s="13">
        <f>BD21*VLOOKUP('Données projet'!$B$11,Paramètres!$A$1:$I$89,3,0)*VLOOKUP('Données projet'!$B$11,Paramètres!$A$1:$I$89,5,0)</f>
        <v>49.680959532395441</v>
      </c>
      <c r="BF21" s="13">
        <f t="shared" si="37"/>
        <v>14.53133540059045</v>
      </c>
      <c r="BG21" s="20">
        <f t="shared" si="7"/>
        <v>111.83641367495041</v>
      </c>
      <c r="BH21" s="59">
        <f t="shared" si="8"/>
        <v>309.15594715642618</v>
      </c>
      <c r="BI21" s="59">
        <f ca="1">AVERAGE(OFFSET($BH$3,0,0,'Données projet'!$E$11+1,1))-AVERAGE(OFFSET($H$3,0,0,'Données projet'!$E$11+1,1))</f>
        <v>638.07304290599211</v>
      </c>
      <c r="BJ21" s="59">
        <f t="shared" si="38"/>
        <v>408.22196233793511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54.130000684550247</v>
      </c>
      <c r="CA21" s="13">
        <f t="shared" si="39"/>
        <v>15.675373962718172</v>
      </c>
      <c r="CB21" s="20">
        <f t="shared" si="10"/>
        <v>121.57769417732584</v>
      </c>
      <c r="CC21" s="59">
        <f t="shared" si="11"/>
        <v>318.89722765880163</v>
      </c>
      <c r="CD21" s="59">
        <f ca="1">AVERAGE(OFFSET($CC$3,0,0,'Données projet'!$E$12+1,1))-AVERAGE(OFFSET($H$3,0,0,'Données projet'!$E$12+1,1))</f>
        <v>685.99951993586967</v>
      </c>
      <c r="CE21" s="59">
        <f t="shared" si="40"/>
        <v>437.98014017823095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3.65</v>
      </c>
      <c r="CT21" s="12">
        <f>IF('Données projet'!$A$140&gt;35,CT20+CS21-DB20,IF(A21&lt;'Données projet'!$A$140,$CQ$205^A21,IF(A21='Données projet'!$A$140,'Données projet'!$B$140,CT20+CS21-DB20)))</f>
        <v>47.532490941824946</v>
      </c>
      <c r="CU21" s="17">
        <f>CT21*VLOOKUP('Données projet'!$B$13,Paramètres!$A$1:$I$89,3,0)*VLOOKUP('Données projet'!$B$13,Paramètres!$A$1:$I$89,5,0)</f>
        <v>48.197945815010499</v>
      </c>
      <c r="CV21" s="13">
        <f t="shared" si="41"/>
        <v>14.147381769152156</v>
      </c>
      <c r="CW21" s="20">
        <f t="shared" si="13"/>
        <v>108.58477887574996</v>
      </c>
      <c r="CX21" s="59">
        <f t="shared" si="14"/>
        <v>305.90431235722576</v>
      </c>
      <c r="CY21" s="59">
        <f ca="1">AVERAGE(OFFSET($CX$3,0,0,'Données projet'!$E$13+1,1))-AVERAGE(OFFSET($H$3,0,0,'Données projet'!$E$13+1,1))</f>
        <v>622.07867348539082</v>
      </c>
      <c r="CZ21" s="59">
        <f t="shared" si="42"/>
        <v>398.29010684041634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3.65</v>
      </c>
      <c r="DO21" s="12">
        <f>IF('Données projet'!$A$166&gt;35,DO20+DN21-DW20,IF(A21&lt;'Données projet'!$A$166,$DL$205^A21,IF(A21='Données projet'!$A$166,'Données projet'!$B$166,DO20+DN21-DW20)))</f>
        <v>47.532490941824946</v>
      </c>
      <c r="DP21" s="17">
        <f>DO21*VLOOKUP('Données projet'!$B$14,Paramètres!$A$1:$I$89,3,0)*VLOOKUP('Données projet'!$B$14,Paramètres!$A$1:$I$89,5,0)</f>
        <v>45.231918380240622</v>
      </c>
      <c r="DQ21" s="13">
        <f t="shared" si="43"/>
        <v>13.375292045080878</v>
      </c>
      <c r="DR21" s="20">
        <f t="shared" si="16"/>
        <v>102.07422482410162</v>
      </c>
      <c r="DS21" s="59">
        <f t="shared" si="17"/>
        <v>299.39375830557742</v>
      </c>
      <c r="DT21" s="59">
        <f ca="1">AVERAGE(OFFSET($DS$3,0,0,'Données projet'!$E$14+1,1))-AVERAGE(OFFSET($H$3,0,0,'Données projet'!$E$14+1,1))</f>
        <v>590.05965493677377</v>
      </c>
      <c r="DU21" s="59">
        <f t="shared" si="44"/>
        <v>378.40640480134505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47.814418222220674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2">
        <f>'Scénario référence'!$B$16*5+'Scénario référence'!$B$17*0+'Scénario référence'!$B$18*5</f>
        <v>4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14.666666666666666</v>
      </c>
      <c r="H22" s="66">
        <f t="shared" si="1"/>
        <v>159.86666666666667</v>
      </c>
      <c r="I22" s="6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16.92307692307692</v>
      </c>
      <c r="N22" s="13">
        <f>IF('Données projet'!$A$36&gt;35,N21+M22-V21,IF(A22&lt;'Données projet'!$A$36,$K$205^A22,IF(A22='Données projet'!$A$36,'Données projet'!$B$36,N21+M22-V21)))</f>
        <v>181.79487179487171</v>
      </c>
      <c r="O22" s="13">
        <f>N22*VLOOKUP('Données projet'!$B$9,Paramètres!$A$1:$I$89,3,0)*VLOOKUP('Données projet'!$B$9,Paramètres!$A$1:$I$89,5,0)</f>
        <v>93.020799999999966</v>
      </c>
      <c r="P22" s="13">
        <f t="shared" si="33"/>
        <v>25.292363504877063</v>
      </c>
      <c r="Q22" s="20">
        <f t="shared" si="2"/>
        <v>206.06209310432746</v>
      </c>
      <c r="R22" s="59">
        <f t="shared" si="0"/>
        <v>406.01503970384408</v>
      </c>
      <c r="S22" s="59">
        <f ca="1">AVERAGE(OFFSET($R$3,0,0,'Données projet'!$E$9+1,1))-AVERAGE(OFFSET($H$3,0,0,'Données projet'!$E$9+1,1))</f>
        <v>140.03175887621094</v>
      </c>
      <c r="T22" s="59">
        <f t="shared" si="34"/>
        <v>377.29475975964954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16.92307692307692</v>
      </c>
      <c r="AI22" s="13">
        <f>IF('Données projet'!$A$62&gt;35,AI21+AH22-AQ21,IF(A22&lt;'Données projet'!$A$62,$AF$205^A22,IF(A22='Données projet'!$A$62,'Données projet'!$B$62,AI21+AH22-AQ21)))</f>
        <v>181.79487179487171</v>
      </c>
      <c r="AJ22" s="13">
        <f>AI22*VLOOKUP('Données projet'!$B$10,Paramètres!$A$1:$I$89,3,0)*VLOOKUP('Données projet'!$B$10,Paramètres!$A$1:$I$89,5,0)</f>
        <v>91.602799999999959</v>
      </c>
      <c r="AK22" s="13">
        <f t="shared" si="35"/>
        <v>24.951383731766409</v>
      </c>
      <c r="AL22" s="20">
        <f t="shared" si="4"/>
        <v>202.99853666615977</v>
      </c>
      <c r="AM22" s="59">
        <f t="shared" si="5"/>
        <v>402.95148326567642</v>
      </c>
      <c r="AN22" s="59">
        <f ca="1">AVERAGE(OFFSET($AM$3,0,0,'Données projet'!$E$10+1,1))-AVERAGE(OFFSET($H$3,0,0,'Données projet'!$E$10+1,1))</f>
        <v>138.27364731587764</v>
      </c>
      <c r="AO22" s="59">
        <f t="shared" si="36"/>
        <v>372.50391467700013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3.65</v>
      </c>
      <c r="BD22" s="12">
        <f>IF('Données projet'!$A$88&gt;35,BD21+BC22-BL21,IF(A22&lt;'Données projet'!$A$88,$BA$205^A22,IF(A22='Données projet'!$A$88,'Données projet'!$B$88,BD21+BC22-BL21)))</f>
        <v>58.90561805764559</v>
      </c>
      <c r="BE22" s="13">
        <f>BD22*VLOOKUP('Données projet'!$B$11,Paramètres!$A$1:$I$89,3,0)*VLOOKUP('Données projet'!$B$11,Paramètres!$A$1:$I$89,5,0)</f>
        <v>61.568151993851174</v>
      </c>
      <c r="BF22" s="13">
        <f t="shared" si="37"/>
        <v>17.564149737439095</v>
      </c>
      <c r="BG22" s="20">
        <f t="shared" si="7"/>
        <v>137.82209218199722</v>
      </c>
      <c r="BH22" s="59">
        <f t="shared" si="8"/>
        <v>337.77503878151384</v>
      </c>
      <c r="BI22" s="59">
        <f ca="1">AVERAGE(OFFSET($BH$3,0,0,'Données projet'!$E$11+1,1))-AVERAGE(OFFSET($H$3,0,0,'Données projet'!$E$11+1,1))</f>
        <v>638.07304290599211</v>
      </c>
      <c r="BJ22" s="59">
        <f t="shared" si="38"/>
        <v>408.22196233793511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67.081717844046793</v>
      </c>
      <c r="CA22" s="13">
        <f t="shared" si="39"/>
        <v>18.946958960175738</v>
      </c>
      <c r="CB22" s="20">
        <f t="shared" si="10"/>
        <v>149.83327876735424</v>
      </c>
      <c r="CC22" s="59">
        <f t="shared" si="11"/>
        <v>349.78622536687089</v>
      </c>
      <c r="CD22" s="59">
        <f ca="1">AVERAGE(OFFSET($CC$3,0,0,'Données projet'!$E$12+1,1))-AVERAGE(OFFSET($H$3,0,0,'Données projet'!$E$12+1,1))</f>
        <v>685.99951993586967</v>
      </c>
      <c r="CE22" s="59">
        <f t="shared" si="40"/>
        <v>437.98014017823095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3.65</v>
      </c>
      <c r="CT22" s="12">
        <f>IF('Données projet'!$A$140&gt;35,CT21+CS22-DB21,IF(A22&lt;'Données projet'!$A$140,$CQ$205^A22,IF(A22='Données projet'!$A$140,'Données projet'!$B$140,CT21+CS22-DB21)))</f>
        <v>58.90561805764559</v>
      </c>
      <c r="CU22" s="17">
        <f>CT22*VLOOKUP('Données projet'!$B$13,Paramètres!$A$1:$I$89,3,0)*VLOOKUP('Données projet'!$B$13,Paramètres!$A$1:$I$89,5,0)</f>
        <v>59.730296710452635</v>
      </c>
      <c r="CV22" s="13">
        <f t="shared" si="41"/>
        <v>17.100061689857345</v>
      </c>
      <c r="CW22" s="20">
        <f t="shared" si="13"/>
        <v>133.81287421387319</v>
      </c>
      <c r="CX22" s="59">
        <f t="shared" si="14"/>
        <v>333.76582081338984</v>
      </c>
      <c r="CY22" s="59">
        <f ca="1">AVERAGE(OFFSET($CX$3,0,0,'Données projet'!$E$13+1,1))-AVERAGE(OFFSET($H$3,0,0,'Données projet'!$E$13+1,1))</f>
        <v>622.07867348539082</v>
      </c>
      <c r="CZ22" s="59">
        <f t="shared" si="42"/>
        <v>398.29010684041634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3.65</v>
      </c>
      <c r="DO22" s="12">
        <f>IF('Données projet'!$A$166&gt;35,DO21+DN22-DW21,IF(A22&lt;'Données projet'!$A$166,$DL$205^A22,IF(A22='Données projet'!$A$166,'Données projet'!$B$166,DO21+DN22-DW21)))</f>
        <v>58.90561805764559</v>
      </c>
      <c r="DP22" s="17">
        <f>DO22*VLOOKUP('Données projet'!$B$14,Paramètres!$A$1:$I$89,3,0)*VLOOKUP('Données projet'!$B$14,Paramètres!$A$1:$I$89,5,0)</f>
        <v>56.054586143655548</v>
      </c>
      <c r="DQ22" s="13">
        <f t="shared" si="43"/>
        <v>16.166830217973832</v>
      </c>
      <c r="DR22" s="20">
        <f t="shared" si="16"/>
        <v>125.78563349650449</v>
      </c>
      <c r="DS22" s="59">
        <f t="shared" si="17"/>
        <v>325.73858009602111</v>
      </c>
      <c r="DT22" s="59">
        <f ca="1">AVERAGE(OFFSET($DS$3,0,0,'Données projet'!$E$14+1,1))-AVERAGE(OFFSET($H$3,0,0,'Données projet'!$E$14+1,1))</f>
        <v>590.05965493677377</v>
      </c>
      <c r="DU22" s="59">
        <f t="shared" si="44"/>
        <v>378.40640480134505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48.199288466534838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2">
        <f>'Scénario référence'!$B$16*5+'Scénario référence'!$B$17*0+'Scénario référence'!$B$18*5</f>
        <v>4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14.666666666666666</v>
      </c>
      <c r="H23" s="66">
        <f t="shared" si="1"/>
        <v>159.86666666666667</v>
      </c>
      <c r="I23" s="6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198.7179487179487</v>
      </c>
      <c r="L23" s="12">
        <f>VLOOKUP(A23,'Données projet'!$A$35:$I$55,9,0)</f>
        <v>16.92307692307692</v>
      </c>
      <c r="M23" s="12">
        <f t="array" ref="M23">INDEX(L:L,MIN(IF(ISNUMBER(L23:L219),ROW(L23:L219),"")))</f>
        <v>16.92307692307692</v>
      </c>
      <c r="N23" s="13">
        <f>IF('Données projet'!$A$36&gt;35,N22+M23-V22,IF(A23&lt;'Données projet'!$A$36,$K$205^A23,IF(A23='Données projet'!$A$36,'Données projet'!$B$36,N22+M23-V22)))</f>
        <v>198.71794871794862</v>
      </c>
      <c r="O23" s="13">
        <f>N23*VLOOKUP('Données projet'!$B$9,Paramètres!$A$1:$I$89,3,0)*VLOOKUP('Données projet'!$B$9,Paramètres!$A$1:$I$89,5,0)</f>
        <v>101.67999999999996</v>
      </c>
      <c r="P23" s="13">
        <f t="shared" si="33"/>
        <v>27.361845471196556</v>
      </c>
      <c r="Q23" s="20">
        <f t="shared" si="2"/>
        <v>224.74788086233397</v>
      </c>
      <c r="R23" s="59">
        <f t="shared" si="0"/>
        <v>427.30975957279918</v>
      </c>
      <c r="S23" s="59">
        <f ca="1">AVERAGE(OFFSET($R$3,0,0,'Données projet'!$E$9+1,1))-AVERAGE(OFFSET($H$3,0,0,'Données projet'!$E$9+1,1))</f>
        <v>140.03175887621094</v>
      </c>
      <c r="T23" s="59">
        <f t="shared" si="34"/>
        <v>377.29475975964954</v>
      </c>
      <c r="U23" s="15">
        <f>IF(ISNA(VLOOKUP(A23,'Données projet'!$A$35:$I$55,3,0)),0,VLOOKUP(A23,'Données projet'!$A$35:$I$55,3,0))</f>
        <v>4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198.7179487179487</v>
      </c>
      <c r="AG23" s="12">
        <f>VLOOKUP(A23,'Données projet'!$A$61:$I$81,9,0)</f>
        <v>16.92307692307692</v>
      </c>
      <c r="AH23" s="12">
        <f t="array" ref="AH23">INDEX(AG:AG,MIN(IF(ISNUMBER(AG23:AG219),ROW(AG23:AG219),"")))</f>
        <v>16.92307692307692</v>
      </c>
      <c r="AI23" s="13">
        <f>IF('Données projet'!$A$62&gt;35,AI22+AH23-AQ22,IF(A23&lt;'Données projet'!$A$62,$AF$205^A23,IF(A23='Données projet'!$A$62,'Données projet'!$B$62,AI22+AH23-AQ22)))</f>
        <v>198.71794871794862</v>
      </c>
      <c r="AJ23" s="13">
        <f>AI23*VLOOKUP('Données projet'!$B$10,Paramètres!$A$1:$I$89,3,0)*VLOOKUP('Données projet'!$B$10,Paramètres!$A$1:$I$89,5,0)</f>
        <v>100.12999999999995</v>
      </c>
      <c r="AK23" s="13">
        <f t="shared" si="35"/>
        <v>26.992965913583905</v>
      </c>
      <c r="AL23" s="20">
        <f t="shared" si="4"/>
        <v>221.40583229949186</v>
      </c>
      <c r="AM23" s="59">
        <f t="shared" si="5"/>
        <v>423.96771100995704</v>
      </c>
      <c r="AN23" s="59">
        <f ca="1">AVERAGE(OFFSET($AM$3,0,0,'Données projet'!$E$10+1,1))-AVERAGE(OFFSET($H$3,0,0,'Données projet'!$E$10+1,1))</f>
        <v>138.27364731587764</v>
      </c>
      <c r="AO23" s="59">
        <f t="shared" si="36"/>
        <v>372.50391467700013</v>
      </c>
      <c r="AP23" s="15">
        <f>IF(ISNA(VLOOKUP(A23,'Données projet'!$A$61:$I$81,3,0)),0,VLOOKUP(A23,'Données projet'!$A$61:$I$81,3,0))</f>
        <v>4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0</v>
      </c>
      <c r="AW23" s="21">
        <f>EXP(-LN(2)/2)*AW22+(1-EXP(-LN(2)/2))/(LN(2)/2)*AQ23*AT23*VLOOKUP('Données projet'!$B$10,Paramètres!$A$1:$I$89,3,0)*0.475*44/12</f>
        <v>0</v>
      </c>
      <c r="AX23" s="21">
        <f t="shared" si="6"/>
        <v>0</v>
      </c>
      <c r="AY23" s="7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73</v>
      </c>
      <c r="BB23" s="12">
        <f>VLOOKUP(A23,'Données projet'!$A$87:$I$107,9,0)</f>
        <v>3.65</v>
      </c>
      <c r="BC23" s="12">
        <f t="array" ref="BC23">INDEX(BB:BB,MIN(IF(ISNUMBER(BB23:BB219),ROW(BB23:BB219),"")))</f>
        <v>3.65</v>
      </c>
      <c r="BD23" s="12">
        <f>IF('Données projet'!$A$88&gt;35,BD22+BC23-BL22,IF(A23&lt;'Données projet'!$A$88,$BA$205^A23,IF(A23='Données projet'!$A$88,'Données projet'!$B$88,BD22+BC23-BL22)))</f>
        <v>73</v>
      </c>
      <c r="BE23" s="13">
        <f>BD23*VLOOKUP('Données projet'!$B$11,Paramètres!$A$1:$I$89,3,0)*VLOOKUP('Données projet'!$B$11,Paramètres!$A$1:$I$89,5,0)</f>
        <v>76.299600000000012</v>
      </c>
      <c r="BF23" s="13">
        <f t="shared" si="37"/>
        <v>21.229938439563291</v>
      </c>
      <c r="BG23" s="20">
        <f t="shared" si="7"/>
        <v>169.86394611557276</v>
      </c>
      <c r="BH23" s="59">
        <f t="shared" si="8"/>
        <v>372.42582482603791</v>
      </c>
      <c r="BI23" s="59">
        <f ca="1">AVERAGE(OFFSET($BH$3,0,0,'Données projet'!$E$11+1,1))-AVERAGE(OFFSET($H$3,0,0,'Données projet'!$E$11+1,1))</f>
        <v>638.07304290599211</v>
      </c>
      <c r="BJ23" s="59">
        <f t="shared" si="38"/>
        <v>408.22196233793511</v>
      </c>
      <c r="BK23" s="15">
        <f>IF(ISNA(VLOOKUP(A23,'Données projet'!$A$87:$I$107,3,0)),0,VLOOKUP(A23,'Données projet'!$A$87:$I$107,3,0))</f>
        <v>1</v>
      </c>
      <c r="BL23" s="15">
        <f>IF(ISNA(VLOOKUP(A23,'Données projet'!$A$87:$I$107,4,0)),0,VLOOKUP(A23,'Données projet'!$A$87:$I$107,4,0))</f>
        <v>6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83.132400000000004</v>
      </c>
      <c r="CA23" s="13">
        <f t="shared" si="39"/>
        <v>22.901351807771078</v>
      </c>
      <c r="CB23" s="20">
        <f t="shared" si="10"/>
        <v>184.67545106520129</v>
      </c>
      <c r="CC23" s="59">
        <f t="shared" si="11"/>
        <v>387.23732977566647</v>
      </c>
      <c r="CD23" s="59">
        <f ca="1">AVERAGE(OFFSET($CC$3,0,0,'Données projet'!$E$12+1,1))-AVERAGE(OFFSET($H$3,0,0,'Données projet'!$E$12+1,1))</f>
        <v>685.99951993586967</v>
      </c>
      <c r="CE23" s="59">
        <f t="shared" si="40"/>
        <v>437.98014017823095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>
        <f>VLOOKUP(A23,'Données projet'!$A$139:$I$159,2,0)</f>
        <v>73</v>
      </c>
      <c r="CR23" s="12">
        <f>VLOOKUP(A23,'Données projet'!$A$139:$I$159,9,0)</f>
        <v>3.65</v>
      </c>
      <c r="CS23" s="12">
        <f t="array" ref="CS23">INDEX(CR:CR,MIN(IF(ISNUMBER(CR23:CR219),ROW(CR23:CR219),"")))</f>
        <v>3.65</v>
      </c>
      <c r="CT23" s="12">
        <f>IF('Données projet'!$A$140&gt;35,CT22+CS23-DB22,IF(A23&lt;'Données projet'!$A$140,$CQ$205^A23,IF(A23='Données projet'!$A$140,'Données projet'!$B$140,CT22+CS23-DB22)))</f>
        <v>73</v>
      </c>
      <c r="CU23" s="17">
        <f>CT23*VLOOKUP('Données projet'!$B$13,Paramètres!$A$1:$I$89,3,0)*VLOOKUP('Données projet'!$B$13,Paramètres!$A$1:$I$89,5,0)</f>
        <v>74.022000000000006</v>
      </c>
      <c r="CV23" s="13">
        <f t="shared" si="41"/>
        <v>20.668991235856851</v>
      </c>
      <c r="CW23" s="20">
        <f t="shared" si="13"/>
        <v>164.92014306911736</v>
      </c>
      <c r="CX23" s="59">
        <f t="shared" si="14"/>
        <v>367.48202177958251</v>
      </c>
      <c r="CY23" s="59">
        <f ca="1">AVERAGE(OFFSET($CX$3,0,0,'Données projet'!$E$13+1,1))-AVERAGE(OFFSET($H$3,0,0,'Données projet'!$E$13+1,1))</f>
        <v>622.07867348539082</v>
      </c>
      <c r="CZ23" s="59">
        <f t="shared" si="42"/>
        <v>398.29010684041634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6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0</v>
      </c>
      <c r="DH23" s="21">
        <f>EXP(-LN(2)/2)*DH22+(1-EXP(-LN(2)/2))/(LN(2)/2)*DB23*DE23*VLOOKUP('Données projet'!$B$13,Paramètres!$A$1:$I$89,3,0)*0.475*44/12</f>
        <v>0</v>
      </c>
      <c r="DI23" s="22">
        <f t="shared" si="15"/>
        <v>0</v>
      </c>
      <c r="DJ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>
        <f>VLOOKUP(A23,'Données projet'!$A$165:$I$185,2,0)</f>
        <v>73</v>
      </c>
      <c r="DM23" s="12">
        <f>VLOOKUP(A23,'Données projet'!$A$165:$I$185,9,0)</f>
        <v>3.65</v>
      </c>
      <c r="DN23" s="12">
        <f t="array" ref="DN23">INDEX(DM:DM,MIN(IF(ISNUMBER(DM23:DM219),ROW(DM23:DM219),"")))</f>
        <v>3.65</v>
      </c>
      <c r="DO23" s="12">
        <f>IF('Données projet'!$A$166&gt;35,DO22+DN23-DW22,IF(A23&lt;'Données projet'!$A$166,$DL$205^A23,IF(A23='Données projet'!$A$166,'Données projet'!$B$166,DO22+DN23-DW22)))</f>
        <v>73</v>
      </c>
      <c r="DP23" s="17">
        <f>DO23*VLOOKUP('Données projet'!$B$14,Paramètres!$A$1:$I$89,3,0)*VLOOKUP('Données projet'!$B$14,Paramètres!$A$1:$I$89,5,0)</f>
        <v>69.466800000000006</v>
      </c>
      <c r="DQ23" s="13">
        <f t="shared" si="43"/>
        <v>19.540986351241298</v>
      </c>
      <c r="DR23" s="20">
        <f t="shared" si="16"/>
        <v>155.02189456174526</v>
      </c>
      <c r="DS23" s="59">
        <f t="shared" si="17"/>
        <v>357.58377327221046</v>
      </c>
      <c r="DT23" s="59">
        <f ca="1">AVERAGE(OFFSET($DS$3,0,0,'Données projet'!$E$14+1,1))-AVERAGE(OFFSET($H$3,0,0,'Données projet'!$E$14+1,1))</f>
        <v>590.05965493677377</v>
      </c>
      <c r="DU23" s="59">
        <f t="shared" si="44"/>
        <v>378.40640480134505</v>
      </c>
      <c r="DV23" s="15">
        <f>IF(ISNA(VLOOKUP(A23,'Données projet'!$A$165:$I$185,3,0)),0,VLOOKUP(A23,'Données projet'!$A$165:$I$185,3,0))</f>
        <v>1</v>
      </c>
      <c r="DW23" s="15">
        <f>IF(ISNA(VLOOKUP(A23,'Données projet'!$A$165:$I$185,4,0)),0,VLOOKUP(A23,'Données projet'!$A$165:$I$185,4,0))</f>
        <v>6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48.577482072551113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2">
        <f>'Scénario référence'!$B$16*5+'Scénario référence'!$B$17*0+'Scénario référence'!$B$18*5</f>
        <v>4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14.666666666666666</v>
      </c>
      <c r="H24" s="66">
        <f t="shared" si="1"/>
        <v>159.86666666666667</v>
      </c>
      <c r="I24" s="6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17.692307692307697</v>
      </c>
      <c r="N24" s="13">
        <f>IF('Données projet'!$A$36&gt;35,N23+M24-V23,IF(A24&lt;'Données projet'!$A$36,$K$205^A24,IF(A24='Données projet'!$A$36,'Données projet'!$B$36,N23+M24-V23)))</f>
        <v>216.41025641025632</v>
      </c>
      <c r="O24" s="13">
        <f>N24*VLOOKUP('Données projet'!$B$9,Paramètres!$A$1:$I$89,3,0)*VLOOKUP('Données projet'!$B$9,Paramètres!$A$1:$I$89,5,0)</f>
        <v>110.73279999999997</v>
      </c>
      <c r="P24" s="13">
        <f t="shared" si="33"/>
        <v>29.503571192759477</v>
      </c>
      <c r="Q24" s="20">
        <f t="shared" si="2"/>
        <v>244.24501316072266</v>
      </c>
      <c r="R24" s="59">
        <f t="shared" si="0"/>
        <v>449.39176766578589</v>
      </c>
      <c r="S24" s="59">
        <f ca="1">AVERAGE(OFFSET($R$3,0,0,'Données projet'!$E$9+1,1))-AVERAGE(OFFSET($H$3,0,0,'Données projet'!$E$9+1,1))</f>
        <v>140.03175887621094</v>
      </c>
      <c r="T24" s="59">
        <f t="shared" si="34"/>
        <v>377.29475975964954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17.692307692307697</v>
      </c>
      <c r="AI24" s="13">
        <f>IF('Données projet'!$A$62&gt;35,AI23+AH24-AQ23,IF(A24&lt;'Données projet'!$A$62,$AF$205^A24,IF(A24='Données projet'!$A$62,'Données projet'!$B$62,AI23+AH24-AQ23)))</f>
        <v>216.41025641025632</v>
      </c>
      <c r="AJ24" s="13">
        <f>AI24*VLOOKUP('Données projet'!$B$10,Paramètres!$A$1:$I$89,3,0)*VLOOKUP('Données projet'!$B$10,Paramètres!$A$1:$I$89,5,0)</f>
        <v>109.04479999999995</v>
      </c>
      <c r="AK24" s="13">
        <f t="shared" si="35"/>
        <v>29.105817894246218</v>
      </c>
      <c r="AL24" s="20">
        <f t="shared" si="4"/>
        <v>240.61232616581208</v>
      </c>
      <c r="AM24" s="59">
        <f t="shared" si="5"/>
        <v>445.75908067087528</v>
      </c>
      <c r="AN24" s="59">
        <f ca="1">AVERAGE(OFFSET($AM$3,0,0,'Données projet'!$E$10+1,1))-AVERAGE(OFFSET($H$3,0,0,'Données projet'!$E$10+1,1))</f>
        <v>138.27364731587764</v>
      </c>
      <c r="AO24" s="59">
        <f t="shared" si="36"/>
        <v>372.50391467700013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0</v>
      </c>
      <c r="AW24" s="21">
        <f>EXP(-LN(2)/2)*AW23+(1-EXP(-LN(2)/2))/(LN(2)/2)*AQ24*AT24*VLOOKUP('Données projet'!$B$10,Paramètres!$A$1:$I$89,3,0)*0.475*44/12</f>
        <v>0</v>
      </c>
      <c r="AX24" s="21">
        <f t="shared" si="6"/>
        <v>0</v>
      </c>
      <c r="AY24" s="7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8.1999999999999993</v>
      </c>
      <c r="BD24" s="12">
        <f>IF('Données projet'!$A$88&gt;35,BD23+BC24-BL23,IF(A24&lt;'Données projet'!$A$88,$BA$205^A24,IF(A24='Données projet'!$A$88,'Données projet'!$B$88,BD23+BC24-BL23)))</f>
        <v>75.2</v>
      </c>
      <c r="BE24" s="13">
        <f>BD24*VLOOKUP('Données projet'!$B$11,Paramètres!$A$1:$I$89,3,0)*VLOOKUP('Données projet'!$B$11,Paramètres!$A$1:$I$89,5,0)</f>
        <v>78.599040000000016</v>
      </c>
      <c r="BF24" s="13">
        <f t="shared" si="37"/>
        <v>21.794290710780661</v>
      </c>
      <c r="BG24" s="20">
        <f t="shared" si="7"/>
        <v>174.85171765460964</v>
      </c>
      <c r="BH24" s="59">
        <f t="shared" si="8"/>
        <v>379.99847215967287</v>
      </c>
      <c r="BI24" s="59">
        <f ca="1">AVERAGE(OFFSET($BH$3,0,0,'Données projet'!$E$11+1,1))-AVERAGE(OFFSET($H$3,0,0,'Données projet'!$E$11+1,1))</f>
        <v>638.07304290599211</v>
      </c>
      <c r="BJ24" s="59">
        <f t="shared" si="38"/>
        <v>408.22196233793511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75.2</v>
      </c>
      <c r="BZ24" s="13">
        <f>BY24*VLOOKUP('Données projet'!$B$12,Paramètres!$A$1:$I$89,3,0)*VLOOKUP('Données projet'!$B$12,Paramètres!$A$1:$I$89,5,0)</f>
        <v>85.63776</v>
      </c>
      <c r="CA24" s="13">
        <f t="shared" si="39"/>
        <v>23.510135010014299</v>
      </c>
      <c r="CB24" s="20">
        <f t="shared" si="10"/>
        <v>190.09925047577488</v>
      </c>
      <c r="CC24" s="59">
        <f t="shared" si="11"/>
        <v>395.24600498083811</v>
      </c>
      <c r="CD24" s="59">
        <f ca="1">AVERAGE(OFFSET($CC$3,0,0,'Données projet'!$E$12+1,1))-AVERAGE(OFFSET($H$3,0,0,'Données projet'!$E$12+1,1))</f>
        <v>685.99951993586967</v>
      </c>
      <c r="CE24" s="59">
        <f t="shared" si="40"/>
        <v>437.98014017823095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8.1999999999999993</v>
      </c>
      <c r="CT24" s="12">
        <f>IF('Données projet'!$A$140&gt;35,CT23+CS24-DB23,IF(A24&lt;'Données projet'!$A$140,$CQ$205^A24,IF(A24='Données projet'!$A$140,'Données projet'!$B$140,CT23+CS24-DB23)))</f>
        <v>75.2</v>
      </c>
      <c r="CU24" s="17">
        <f>CT24*VLOOKUP('Données projet'!$B$13,Paramètres!$A$1:$I$89,3,0)*VLOOKUP('Données projet'!$B$13,Paramètres!$A$1:$I$89,5,0)</f>
        <v>76.252800000000008</v>
      </c>
      <c r="CV24" s="13">
        <f t="shared" si="41"/>
        <v>21.21843193164284</v>
      </c>
      <c r="CW24" s="20">
        <f t="shared" si="13"/>
        <v>169.76239561427795</v>
      </c>
      <c r="CX24" s="59">
        <f t="shared" si="14"/>
        <v>374.90915011934118</v>
      </c>
      <c r="CY24" s="59">
        <f ca="1">AVERAGE(OFFSET($CX$3,0,0,'Données projet'!$E$13+1,1))-AVERAGE(OFFSET($H$3,0,0,'Données projet'!$E$13+1,1))</f>
        <v>622.07867348539082</v>
      </c>
      <c r="CZ24" s="59">
        <f t="shared" si="42"/>
        <v>398.29010684041634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0</v>
      </c>
      <c r="DH24" s="21">
        <f>EXP(-LN(2)/2)*DH23+(1-EXP(-LN(2)/2))/(LN(2)/2)*DB24*DE24*VLOOKUP('Données projet'!$B$13,Paramètres!$A$1:$I$89,3,0)*0.475*44/12</f>
        <v>0</v>
      </c>
      <c r="DI24" s="22">
        <f t="shared" si="15"/>
        <v>0</v>
      </c>
      <c r="DJ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8.1999999999999993</v>
      </c>
      <c r="DO24" s="12">
        <f>IF('Données projet'!$A$166&gt;35,DO23+DN24-DW23,IF(A24&lt;'Données projet'!$A$166,$DL$205^A24,IF(A24='Données projet'!$A$166,'Données projet'!$B$166,DO23+DN24-DW23)))</f>
        <v>75.2</v>
      </c>
      <c r="DP24" s="17">
        <f>DO24*VLOOKUP('Données projet'!$B$14,Paramètres!$A$1:$I$89,3,0)*VLOOKUP('Données projet'!$B$14,Paramètres!$A$1:$I$89,5,0)</f>
        <v>71.560320000000004</v>
      </c>
      <c r="DQ24" s="13">
        <f t="shared" si="43"/>
        <v>20.060441462265054</v>
      </c>
      <c r="DR24" s="20">
        <f t="shared" si="16"/>
        <v>159.57282621344496</v>
      </c>
      <c r="DS24" s="59">
        <f t="shared" si="17"/>
        <v>364.71958071850815</v>
      </c>
      <c r="DT24" s="59">
        <f ca="1">AVERAGE(OFFSET($DS$3,0,0,'Données projet'!$E$14+1,1))-AVERAGE(OFFSET($H$3,0,0,'Données projet'!$E$14+1,1))</f>
        <v>590.05965493677377</v>
      </c>
      <c r="DU24" s="59">
        <f t="shared" si="44"/>
        <v>378.40640480134505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48.949114865017243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2">
        <f>'Scénario référence'!$B$16*5+'Scénario référence'!$B$17*0+'Scénario référence'!$B$18*5</f>
        <v>4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14.666666666666666</v>
      </c>
      <c r="H25" s="66">
        <f t="shared" si="1"/>
        <v>159.86666666666667</v>
      </c>
      <c r="I25" s="6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17.692307692307697</v>
      </c>
      <c r="N25" s="13">
        <f>IF('Données projet'!$A$36&gt;35,N24+M25-V24,IF(A25&lt;'Données projet'!$A$36,$K$205^A25,IF(A25='Données projet'!$A$36,'Données projet'!$B$36,N24+M25-V24)))</f>
        <v>234.10256410256403</v>
      </c>
      <c r="O25" s="13">
        <f>N25*VLOOKUP('Données projet'!$B$9,Paramètres!$A$1:$I$89,3,0)*VLOOKUP('Données projet'!$B$9,Paramètres!$A$1:$I$89,5,0)</f>
        <v>119.78559999999996</v>
      </c>
      <c r="P25" s="13">
        <f t="shared" si="33"/>
        <v>31.624988811761298</v>
      </c>
      <c r="Q25" s="20">
        <f t="shared" si="2"/>
        <v>263.70677551381755</v>
      </c>
      <c r="R25" s="59">
        <f t="shared" si="0"/>
        <v>471.41476682043503</v>
      </c>
      <c r="S25" s="59">
        <f ca="1">AVERAGE(OFFSET($R$3,0,0,'Données projet'!$E$9+1,1))-AVERAGE(OFFSET($H$3,0,0,'Données projet'!$E$9+1,1))</f>
        <v>140.03175887621094</v>
      </c>
      <c r="T25" s="59">
        <f t="shared" si="34"/>
        <v>377.29475975964954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17.692307692307697</v>
      </c>
      <c r="AI25" s="13">
        <f>IF('Données projet'!$A$62&gt;35,AI24+AH25-AQ24,IF(A25&lt;'Données projet'!$A$62,$AF$205^A25,IF(A25='Données projet'!$A$62,'Données projet'!$B$62,AI24+AH25-AQ24)))</f>
        <v>234.10256410256403</v>
      </c>
      <c r="AJ25" s="13">
        <f>AI25*VLOOKUP('Données projet'!$B$10,Paramètres!$A$1:$I$89,3,0)*VLOOKUP('Données projet'!$B$10,Paramètres!$A$1:$I$89,5,0)</f>
        <v>117.95959999999998</v>
      </c>
      <c r="AK25" s="13">
        <f t="shared" si="35"/>
        <v>31.198635556654029</v>
      </c>
      <c r="AL25" s="20">
        <f t="shared" si="4"/>
        <v>259.78392692783899</v>
      </c>
      <c r="AM25" s="59">
        <f t="shared" si="5"/>
        <v>467.49191823445653</v>
      </c>
      <c r="AN25" s="59">
        <f ca="1">AVERAGE(OFFSET($AM$3,0,0,'Données projet'!$E$10+1,1))-AVERAGE(OFFSET($H$3,0,0,'Données projet'!$E$10+1,1))</f>
        <v>138.27364731587764</v>
      </c>
      <c r="AO25" s="59">
        <f t="shared" si="36"/>
        <v>372.50391467700013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0</v>
      </c>
      <c r="AW25" s="21">
        <f>EXP(-LN(2)/2)*AW24+(1-EXP(-LN(2)/2))/(LN(2)/2)*AQ25*AT25*VLOOKUP('Données projet'!$B$10,Paramètres!$A$1:$I$89,3,0)*0.475*44/12</f>
        <v>0</v>
      </c>
      <c r="AX25" s="21">
        <f t="shared" si="6"/>
        <v>0</v>
      </c>
      <c r="AY25" s="7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8.1999999999999993</v>
      </c>
      <c r="BD25" s="12">
        <f>IF('Données projet'!$A$88&gt;35,BD24+BC25-BL24,IF(A25&lt;'Données projet'!$A$88,$BA$205^A25,IF(A25='Données projet'!$A$88,'Données projet'!$B$88,BD24+BC25-BL24)))</f>
        <v>83.4</v>
      </c>
      <c r="BE25" s="13">
        <f>BD25*VLOOKUP('Données projet'!$B$11,Paramètres!$A$1:$I$89,3,0)*VLOOKUP('Données projet'!$B$11,Paramètres!$A$1:$I$89,5,0)</f>
        <v>87.169680000000014</v>
      </c>
      <c r="BF25" s="13">
        <f t="shared" si="37"/>
        <v>23.88135574074855</v>
      </c>
      <c r="BG25" s="20">
        <f t="shared" si="7"/>
        <v>193.41388724847039</v>
      </c>
      <c r="BH25" s="59">
        <f t="shared" si="8"/>
        <v>401.1218785550879</v>
      </c>
      <c r="BI25" s="59">
        <f ca="1">AVERAGE(OFFSET($BH$3,0,0,'Données projet'!$E$11+1,1))-AVERAGE(OFFSET($H$3,0,0,'Données projet'!$E$11+1,1))</f>
        <v>638.07304290599211</v>
      </c>
      <c r="BJ25" s="59">
        <f t="shared" si="38"/>
        <v>408.22196233793511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83.4</v>
      </c>
      <c r="BZ25" s="13">
        <f>BY25*VLOOKUP('Données projet'!$B$12,Paramètres!$A$1:$I$89,3,0)*VLOOKUP('Données projet'!$B$12,Paramètres!$A$1:$I$89,5,0)</f>
        <v>94.975920000000016</v>
      </c>
      <c r="CA25" s="13">
        <f t="shared" si="39"/>
        <v>25.761512734592095</v>
      </c>
      <c r="CB25" s="20">
        <f t="shared" si="10"/>
        <v>210.28436201274792</v>
      </c>
      <c r="CC25" s="59">
        <f t="shared" si="11"/>
        <v>417.99235331936541</v>
      </c>
      <c r="CD25" s="59">
        <f ca="1">AVERAGE(OFFSET($CC$3,0,0,'Données projet'!$E$12+1,1))-AVERAGE(OFFSET($H$3,0,0,'Données projet'!$E$12+1,1))</f>
        <v>685.99951993586967</v>
      </c>
      <c r="CE25" s="59">
        <f t="shared" si="40"/>
        <v>437.98014017823095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8.1999999999999993</v>
      </c>
      <c r="CT25" s="12">
        <f>IF('Données projet'!$A$140&gt;35,CT24+CS25-DB24,IF(A25&lt;'Données projet'!$A$140,$CQ$205^A25,IF(A25='Données projet'!$A$140,'Données projet'!$B$140,CT24+CS25-DB24)))</f>
        <v>83.4</v>
      </c>
      <c r="CU25" s="17">
        <f>CT25*VLOOKUP('Données projet'!$B$13,Paramètres!$A$1:$I$89,3,0)*VLOOKUP('Données projet'!$B$13,Paramètres!$A$1:$I$89,5,0)</f>
        <v>84.567600000000013</v>
      </c>
      <c r="CV25" s="13">
        <f t="shared" si="41"/>
        <v>23.250351568898139</v>
      </c>
      <c r="CW25" s="20">
        <f t="shared" si="13"/>
        <v>187.78293231583095</v>
      </c>
      <c r="CX25" s="59">
        <f t="shared" si="14"/>
        <v>395.49092362244846</v>
      </c>
      <c r="CY25" s="59">
        <f ca="1">AVERAGE(OFFSET($CX$3,0,0,'Données projet'!$E$13+1,1))-AVERAGE(OFFSET($H$3,0,0,'Données projet'!$E$13+1,1))</f>
        <v>622.07867348539082</v>
      </c>
      <c r="CZ25" s="59">
        <f t="shared" si="42"/>
        <v>398.29010684041634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0</v>
      </c>
      <c r="DH25" s="21">
        <f>EXP(-LN(2)/2)*DH24+(1-EXP(-LN(2)/2))/(LN(2)/2)*DB25*DE25*VLOOKUP('Données projet'!$B$13,Paramètres!$A$1:$I$89,3,0)*0.475*44/12</f>
        <v>0</v>
      </c>
      <c r="DI25" s="22">
        <f t="shared" si="15"/>
        <v>0</v>
      </c>
      <c r="DJ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8.1999999999999993</v>
      </c>
      <c r="DO25" s="12">
        <f>IF('Données projet'!$A$166&gt;35,DO24+DN25-DW24,IF(A25&lt;'Données projet'!$A$166,$DL$205^A25,IF(A25='Données projet'!$A$166,'Données projet'!$B$166,DO24+DN25-DW24)))</f>
        <v>83.4</v>
      </c>
      <c r="DP25" s="17">
        <f>DO25*VLOOKUP('Données projet'!$B$14,Paramètres!$A$1:$I$89,3,0)*VLOOKUP('Données projet'!$B$14,Paramètres!$A$1:$I$89,5,0)</f>
        <v>79.363440000000011</v>
      </c>
      <c r="DQ25" s="13">
        <f t="shared" si="43"/>
        <v>21.981469607535278</v>
      </c>
      <c r="DR25" s="20">
        <f t="shared" si="16"/>
        <v>176.50905089979062</v>
      </c>
      <c r="DS25" s="59">
        <f t="shared" si="17"/>
        <v>384.21704220640811</v>
      </c>
      <c r="DT25" s="59">
        <f ca="1">AVERAGE(OFFSET($DS$3,0,0,'Données projet'!$E$14+1,1))-AVERAGE(OFFSET($H$3,0,0,'Données projet'!$E$14+1,1))</f>
        <v>590.05965493677377</v>
      </c>
      <c r="DU25" s="59">
        <f t="shared" si="44"/>
        <v>378.40640480134505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49.314300659380535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2">
        <f>'Scénario référence'!$B$16*5+'Scénario référence'!$B$17*0+'Scénario référence'!$B$18*5</f>
        <v>4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14.666666666666666</v>
      </c>
      <c r="H26" s="66">
        <f t="shared" si="1"/>
        <v>159.86666666666667</v>
      </c>
      <c r="I26" s="6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17.692307692307697</v>
      </c>
      <c r="N26" s="13">
        <f>IF('Données projet'!$A$36&gt;35,N25+M26-V25,IF(A26&lt;'Données projet'!$A$36,$K$205^A26,IF(A26='Données projet'!$A$36,'Données projet'!$B$36,N25+M26-V25)))</f>
        <v>251.79487179487174</v>
      </c>
      <c r="O26" s="13">
        <f>N26*VLOOKUP('Données projet'!$B$9,Paramètres!$A$1:$I$89,3,0)*VLOOKUP('Données projet'!$B$9,Paramètres!$A$1:$I$89,5,0)</f>
        <v>128.83839999999998</v>
      </c>
      <c r="P26" s="13">
        <f t="shared" si="33"/>
        <v>33.727807626786337</v>
      </c>
      <c r="Q26" s="20">
        <f t="shared" si="2"/>
        <v>283.13614494998609</v>
      </c>
      <c r="R26" s="59">
        <f t="shared" si="0"/>
        <v>493.38214414879462</v>
      </c>
      <c r="S26" s="59">
        <f ca="1">AVERAGE(OFFSET($R$3,0,0,'Données projet'!$E$9+1,1))-AVERAGE(OFFSET($H$3,0,0,'Données projet'!$E$9+1,1))</f>
        <v>140.03175887621094</v>
      </c>
      <c r="T26" s="59">
        <f t="shared" si="34"/>
        <v>377.29475975964954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0</v>
      </c>
      <c r="AB26" s="21">
        <f>EXP(-LN(2)/2)*AB25+(1-EXP(-LN(2)/2))/(LN(2)/2)*V26*Y26*VLOOKUP('Données projet'!$B$9,Paramètres!$A$1:$I$89,3,0)*0.475*44/12</f>
        <v>0</v>
      </c>
      <c r="AC26" s="22">
        <f t="shared" si="3"/>
        <v>0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17.692307692307697</v>
      </c>
      <c r="AI26" s="13">
        <f>IF('Données projet'!$A$62&gt;35,AI25+AH26-AQ25,IF(A26&lt;'Données projet'!$A$62,$AF$205^A26,IF(A26='Données projet'!$A$62,'Données projet'!$B$62,AI25+AH26-AQ25)))</f>
        <v>251.79487179487174</v>
      </c>
      <c r="AJ26" s="13">
        <f>AI26*VLOOKUP('Données projet'!$B$10,Paramètres!$A$1:$I$89,3,0)*VLOOKUP('Données projet'!$B$10,Paramètres!$A$1:$I$89,5,0)</f>
        <v>126.87439999999998</v>
      </c>
      <c r="AK26" s="13">
        <f t="shared" si="35"/>
        <v>33.273105155430393</v>
      </c>
      <c r="AL26" s="20">
        <f t="shared" si="4"/>
        <v>278.92357147904124</v>
      </c>
      <c r="AM26" s="59">
        <f t="shared" si="5"/>
        <v>489.16957067784983</v>
      </c>
      <c r="AN26" s="59">
        <f ca="1">AVERAGE(OFFSET($AM$3,0,0,'Données projet'!$E$10+1,1))-AVERAGE(OFFSET($H$3,0,0,'Données projet'!$E$10+1,1))</f>
        <v>138.27364731587764</v>
      </c>
      <c r="AO26" s="59">
        <f t="shared" si="36"/>
        <v>372.50391467700013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0</v>
      </c>
      <c r="AW26" s="21">
        <f>EXP(-LN(2)/2)*AW25+(1-EXP(-LN(2)/2))/(LN(2)/2)*AQ26*AT26*VLOOKUP('Données projet'!$B$10,Paramètres!$A$1:$I$89,3,0)*0.475*44/12</f>
        <v>0</v>
      </c>
      <c r="AX26" s="21">
        <f t="shared" si="6"/>
        <v>0</v>
      </c>
      <c r="AY26" s="7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8.1999999999999993</v>
      </c>
      <c r="BD26" s="12">
        <f>IF('Données projet'!$A$88&gt;35,BD25+BC26-BL25,IF(A26&lt;'Données projet'!$A$88,$BA$205^A26,IF(A26='Données projet'!$A$88,'Données projet'!$B$88,BD25+BC26-BL25)))</f>
        <v>91.600000000000009</v>
      </c>
      <c r="BE26" s="13">
        <f>BD26*VLOOKUP('Données projet'!$B$11,Paramètres!$A$1:$I$89,3,0)*VLOOKUP('Données projet'!$B$11,Paramètres!$A$1:$I$89,5,0)</f>
        <v>95.740320000000011</v>
      </c>
      <c r="BF26" s="13">
        <f t="shared" si="37"/>
        <v>25.944630874243177</v>
      </c>
      <c r="BG26" s="20">
        <f t="shared" si="7"/>
        <v>211.93462277264021</v>
      </c>
      <c r="BH26" s="59">
        <f t="shared" si="8"/>
        <v>422.18062197144877</v>
      </c>
      <c r="BI26" s="59">
        <f ca="1">AVERAGE(OFFSET($BH$3,0,0,'Données projet'!$E$11+1,1))-AVERAGE(OFFSET($H$3,0,0,'Données projet'!$E$11+1,1))</f>
        <v>638.07304290599211</v>
      </c>
      <c r="BJ26" s="59">
        <f t="shared" si="38"/>
        <v>408.22196233793511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91.600000000000009</v>
      </c>
      <c r="BZ26" s="13">
        <f>BY26*VLOOKUP('Données projet'!$B$12,Paramètres!$A$1:$I$89,3,0)*VLOOKUP('Données projet'!$B$12,Paramètres!$A$1:$I$89,5,0)</f>
        <v>104.31408000000002</v>
      </c>
      <c r="CA26" s="13">
        <f t="shared" si="39"/>
        <v>27.987227606206147</v>
      </c>
      <c r="CB26" s="20">
        <f t="shared" si="10"/>
        <v>230.42477741414237</v>
      </c>
      <c r="CC26" s="59">
        <f t="shared" si="11"/>
        <v>440.67077661295093</v>
      </c>
      <c r="CD26" s="59">
        <f ca="1">AVERAGE(OFFSET($CC$3,0,0,'Données projet'!$E$12+1,1))-AVERAGE(OFFSET($H$3,0,0,'Données projet'!$E$12+1,1))</f>
        <v>685.99951993586967</v>
      </c>
      <c r="CE26" s="59">
        <f t="shared" si="40"/>
        <v>437.98014017823095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8.1999999999999993</v>
      </c>
      <c r="CT26" s="12">
        <f>IF('Données projet'!$A$140&gt;35,CT25+CS26-DB25,IF(A26&lt;'Données projet'!$A$140,$CQ$205^A26,IF(A26='Données projet'!$A$140,'Données projet'!$B$140,CT25+CS26-DB25)))</f>
        <v>91.600000000000009</v>
      </c>
      <c r="CU26" s="17">
        <f>CT26*VLOOKUP('Données projet'!$B$13,Paramètres!$A$1:$I$89,3,0)*VLOOKUP('Données projet'!$B$13,Paramètres!$A$1:$I$89,5,0)</f>
        <v>92.882400000000018</v>
      </c>
      <c r="CV26" s="13">
        <f t="shared" si="41"/>
        <v>25.259109897273174</v>
      </c>
      <c r="CW26" s="20">
        <f t="shared" si="13"/>
        <v>205.7631297377508</v>
      </c>
      <c r="CX26" s="59">
        <f t="shared" si="14"/>
        <v>416.00912893655936</v>
      </c>
      <c r="CY26" s="59">
        <f ca="1">AVERAGE(OFFSET($CX$3,0,0,'Données projet'!$E$13+1,1))-AVERAGE(OFFSET($H$3,0,0,'Données projet'!$E$13+1,1))</f>
        <v>622.07867348539082</v>
      </c>
      <c r="CZ26" s="59">
        <f t="shared" si="42"/>
        <v>398.29010684041634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0</v>
      </c>
      <c r="DH26" s="21">
        <f>EXP(-LN(2)/2)*DH25+(1-EXP(-LN(2)/2))/(LN(2)/2)*DB26*DE26*VLOOKUP('Données projet'!$B$13,Paramètres!$A$1:$I$89,3,0)*0.475*44/12</f>
        <v>0</v>
      </c>
      <c r="DI26" s="22">
        <f t="shared" si="15"/>
        <v>0</v>
      </c>
      <c r="DJ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8.1999999999999993</v>
      </c>
      <c r="DO26" s="12">
        <f>IF('Données projet'!$A$166&gt;35,DO25+DN26-DW25,IF(A26&lt;'Données projet'!$A$166,$DL$205^A26,IF(A26='Données projet'!$A$166,'Données projet'!$B$166,DO25+DN26-DW25)))</f>
        <v>91.600000000000009</v>
      </c>
      <c r="DP26" s="17">
        <f>DO26*VLOOKUP('Données projet'!$B$14,Paramètres!$A$1:$I$89,3,0)*VLOOKUP('Données projet'!$B$14,Paramètres!$A$1:$I$89,5,0)</f>
        <v>87.166560000000004</v>
      </c>
      <c r="DQ26" s="13">
        <f t="shared" si="43"/>
        <v>23.880600466404793</v>
      </c>
      <c r="DR26" s="20">
        <f t="shared" si="16"/>
        <v>193.40713781232168</v>
      </c>
      <c r="DS26" s="59">
        <f t="shared" si="17"/>
        <v>403.65313701113024</v>
      </c>
      <c r="DT26" s="59">
        <f ca="1">AVERAGE(OFFSET($DS$3,0,0,'Données projet'!$E$14+1,1))-AVERAGE(OFFSET($H$3,0,0,'Données projet'!$E$14+1,1))</f>
        <v>590.05965493677377</v>
      </c>
      <c r="DU26" s="59">
        <f t="shared" si="44"/>
        <v>378.40640480134505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49.673151296644754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2">
        <f>'Scénario référence'!$B$16*5+'Scénario référence'!$B$17*0+'Scénario référence'!$B$18*5</f>
        <v>4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14.666666666666666</v>
      </c>
      <c r="H27" s="66">
        <f t="shared" si="1"/>
        <v>159.86666666666667</v>
      </c>
      <c r="I27" s="6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17.692307692307697</v>
      </c>
      <c r="N27" s="13">
        <f>IF('Données projet'!$A$36&gt;35,N26+M27-V26,IF(A27&lt;'Données projet'!$A$36,$K$205^A27,IF(A27='Données projet'!$A$36,'Données projet'!$B$36,N26+M27-V26)))</f>
        <v>269.48717948717945</v>
      </c>
      <c r="O27" s="13">
        <f>N27*VLOOKUP('Données projet'!$B$9,Paramètres!$A$1:$I$89,3,0)*VLOOKUP('Données projet'!$B$9,Paramètres!$A$1:$I$89,5,0)</f>
        <v>137.89119999999997</v>
      </c>
      <c r="P27" s="13">
        <f t="shared" si="33"/>
        <v>35.813483124188629</v>
      </c>
      <c r="Q27" s="20">
        <f t="shared" si="2"/>
        <v>302.53565644129509</v>
      </c>
      <c r="R27" s="59">
        <f t="shared" si="0"/>
        <v>515.29683759257682</v>
      </c>
      <c r="S27" s="59">
        <f ca="1">AVERAGE(OFFSET($R$3,0,0,'Données projet'!$E$9+1,1))-AVERAGE(OFFSET($H$3,0,0,'Données projet'!$E$9+1,1))</f>
        <v>140.03175887621094</v>
      </c>
      <c r="T27" s="59">
        <f t="shared" si="34"/>
        <v>377.29475975964954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0</v>
      </c>
      <c r="AB27" s="21">
        <f>EXP(-LN(2)/2)*AB26+(1-EXP(-LN(2)/2))/(LN(2)/2)*V27*Y27*VLOOKUP('Données projet'!$B$9,Paramètres!$A$1:$I$89,3,0)*0.475*44/12</f>
        <v>0</v>
      </c>
      <c r="AC27" s="22">
        <f t="shared" si="3"/>
        <v>0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17.692307692307697</v>
      </c>
      <c r="AI27" s="13">
        <f>IF('Données projet'!$A$62&gt;35,AI26+AH27-AQ26,IF(A27&lt;'Données projet'!$A$62,$AF$205^A27,IF(A27='Données projet'!$A$62,'Données projet'!$B$62,AI26+AH27-AQ26)))</f>
        <v>269.48717948717945</v>
      </c>
      <c r="AJ27" s="13">
        <f>AI27*VLOOKUP('Données projet'!$B$10,Paramètres!$A$1:$I$89,3,0)*VLOOKUP('Données projet'!$B$10,Paramètres!$A$1:$I$89,5,0)</f>
        <v>135.78919999999997</v>
      </c>
      <c r="AK27" s="13">
        <f t="shared" si="35"/>
        <v>35.330662554745466</v>
      </c>
      <c r="AL27" s="20">
        <f t="shared" si="4"/>
        <v>298.03376061618161</v>
      </c>
      <c r="AM27" s="59">
        <f t="shared" si="5"/>
        <v>510.79494176746329</v>
      </c>
      <c r="AN27" s="59">
        <f ca="1">AVERAGE(OFFSET($AM$3,0,0,'Données projet'!$E$10+1,1))-AVERAGE(OFFSET($H$3,0,0,'Données projet'!$E$10+1,1))</f>
        <v>138.27364731587764</v>
      </c>
      <c r="AO27" s="59">
        <f t="shared" si="36"/>
        <v>372.50391467700013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0</v>
      </c>
      <c r="AW27" s="21">
        <f>EXP(-LN(2)/2)*AW26+(1-EXP(-LN(2)/2))/(LN(2)/2)*AQ27*AT27*VLOOKUP('Données projet'!$B$10,Paramètres!$A$1:$I$89,3,0)*0.475*44/12</f>
        <v>0</v>
      </c>
      <c r="AX27" s="21">
        <f t="shared" si="6"/>
        <v>0</v>
      </c>
      <c r="AY27" s="7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8.1999999999999993</v>
      </c>
      <c r="BD27" s="12">
        <f>IF('Données projet'!$A$88&gt;35,BD26+BC27-BL26,IF(A27&lt;'Données projet'!$A$88,$BA$205^A27,IF(A27='Données projet'!$A$88,'Données projet'!$B$88,BD26+BC27-BL26)))</f>
        <v>99.800000000000011</v>
      </c>
      <c r="BE27" s="13">
        <f>BD27*VLOOKUP('Données projet'!$B$11,Paramètres!$A$1:$I$89,3,0)*VLOOKUP('Données projet'!$B$11,Paramètres!$A$1:$I$89,5,0)</f>
        <v>104.31096000000002</v>
      </c>
      <c r="BF27" s="13">
        <f t="shared" si="37"/>
        <v>27.986487953237301</v>
      </c>
      <c r="BG27" s="20">
        <f t="shared" si="7"/>
        <v>230.41805518522168</v>
      </c>
      <c r="BH27" s="59">
        <f t="shared" si="8"/>
        <v>443.17923633650332</v>
      </c>
      <c r="BI27" s="59">
        <f ca="1">AVERAGE(OFFSET($BH$3,0,0,'Données projet'!$E$11+1,1))-AVERAGE(OFFSET($H$3,0,0,'Données projet'!$E$11+1,1))</f>
        <v>638.07304290599211</v>
      </c>
      <c r="BJ27" s="59">
        <f t="shared" si="38"/>
        <v>408.22196233793511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99.800000000000011</v>
      </c>
      <c r="BZ27" s="13">
        <f>BY27*VLOOKUP('Données projet'!$B$12,Paramètres!$A$1:$I$89,3,0)*VLOOKUP('Données projet'!$B$12,Paramètres!$A$1:$I$89,5,0)</f>
        <v>113.65224000000002</v>
      </c>
      <c r="CA27" s="13">
        <f t="shared" si="39"/>
        <v>30.189838199748383</v>
      </c>
      <c r="CB27" s="20">
        <f t="shared" si="10"/>
        <v>250.52495286456181</v>
      </c>
      <c r="CC27" s="59">
        <f t="shared" si="11"/>
        <v>463.28613401584346</v>
      </c>
      <c r="CD27" s="59">
        <f ca="1">AVERAGE(OFFSET($CC$3,0,0,'Données projet'!$E$12+1,1))-AVERAGE(OFFSET($H$3,0,0,'Données projet'!$E$12+1,1))</f>
        <v>685.99951993586967</v>
      </c>
      <c r="CE27" s="59">
        <f t="shared" si="40"/>
        <v>437.98014017823095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8.1999999999999993</v>
      </c>
      <c r="CT27" s="12">
        <f>IF('Données projet'!$A$140&gt;35,CT26+CS27-DB26,IF(A27&lt;'Données projet'!$A$140,$CQ$205^A27,IF(A27='Données projet'!$A$140,'Données projet'!$B$140,CT26+CS27-DB26)))</f>
        <v>99.800000000000011</v>
      </c>
      <c r="CU27" s="17">
        <f>CT27*VLOOKUP('Données projet'!$B$13,Paramètres!$A$1:$I$89,3,0)*VLOOKUP('Données projet'!$B$13,Paramètres!$A$1:$I$89,5,0)</f>
        <v>101.19720000000001</v>
      </c>
      <c r="CV27" s="13">
        <f t="shared" si="41"/>
        <v>27.24701608884051</v>
      </c>
      <c r="CW27" s="20">
        <f t="shared" si="13"/>
        <v>223.70700968806386</v>
      </c>
      <c r="CX27" s="59">
        <f t="shared" si="14"/>
        <v>436.46819083934554</v>
      </c>
      <c r="CY27" s="59">
        <f ca="1">AVERAGE(OFFSET($CX$3,0,0,'Données projet'!$E$13+1,1))-AVERAGE(OFFSET($H$3,0,0,'Données projet'!$E$13+1,1))</f>
        <v>622.07867348539082</v>
      </c>
      <c r="CZ27" s="59">
        <f t="shared" si="42"/>
        <v>398.29010684041634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0</v>
      </c>
      <c r="DH27" s="21">
        <f>EXP(-LN(2)/2)*DH26+(1-EXP(-LN(2)/2))/(LN(2)/2)*DB27*DE27*VLOOKUP('Données projet'!$B$13,Paramètres!$A$1:$I$89,3,0)*0.475*44/12</f>
        <v>0</v>
      </c>
      <c r="DI27" s="22">
        <f t="shared" si="15"/>
        <v>0</v>
      </c>
      <c r="DJ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8.1999999999999993</v>
      </c>
      <c r="DO27" s="12">
        <f>IF('Données projet'!$A$166&gt;35,DO26+DN27-DW26,IF(A27&lt;'Données projet'!$A$166,$DL$205^A27,IF(A27='Données projet'!$A$166,'Données projet'!$B$166,DO26+DN27-DW26)))</f>
        <v>99.800000000000011</v>
      </c>
      <c r="DP27" s="17">
        <f>DO27*VLOOKUP('Données projet'!$B$14,Paramètres!$A$1:$I$89,3,0)*VLOOKUP('Données projet'!$B$14,Paramètres!$A$1:$I$89,5,0)</f>
        <v>94.969680000000011</v>
      </c>
      <c r="DQ27" s="13">
        <f t="shared" si="43"/>
        <v>25.760017188473707</v>
      </c>
      <c r="DR27" s="20">
        <f t="shared" si="16"/>
        <v>210.27088926992505</v>
      </c>
      <c r="DS27" s="59">
        <f t="shared" si="17"/>
        <v>423.03207042120675</v>
      </c>
      <c r="DT27" s="59">
        <f ca="1">AVERAGE(OFFSET($DS$3,0,0,'Données projet'!$E$14+1,1))-AVERAGE(OFFSET($H$3,0,0,'Données projet'!$E$14+1,1))</f>
        <v>590.05965493677377</v>
      </c>
      <c r="DU27" s="59">
        <f t="shared" si="44"/>
        <v>378.40640480134505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50.025776677622275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2">
        <f>'Scénario référence'!$B$16*5+'Scénario référence'!$B$17*0+'Scénario référence'!$B$18*5</f>
        <v>4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14.666666666666666</v>
      </c>
      <c r="H28" s="66">
        <f t="shared" si="1"/>
        <v>159.86666666666667</v>
      </c>
      <c r="I28" s="6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>
        <f>VLOOKUP(A28,'Données projet'!$A$35:$I$55,2,0)</f>
        <v>287.17948717948718</v>
      </c>
      <c r="L28" s="12">
        <f>VLOOKUP(A28,'Données projet'!$A$35:$I$55,9,0)</f>
        <v>17.692307692307697</v>
      </c>
      <c r="M28" s="12">
        <f t="array" ref="M28">INDEX(L:L,MIN(IF(ISNUMBER(L28:L224),ROW(L28:L224),"")))</f>
        <v>17.692307692307697</v>
      </c>
      <c r="N28" s="13">
        <f>IF('Données projet'!$A$36&gt;35,N27+M28-V27,IF(A28&lt;'Données projet'!$A$36,$K$205^A28,IF(A28='Données projet'!$A$36,'Données projet'!$B$36,N27+M28-V27)))</f>
        <v>287.17948717948713</v>
      </c>
      <c r="O28" s="13">
        <f>N28*VLOOKUP('Données projet'!$B$9,Paramètres!$A$1:$I$89,3,0)*VLOOKUP('Données projet'!$B$9,Paramètres!$A$1:$I$89,5,0)</f>
        <v>146.94399999999999</v>
      </c>
      <c r="P28" s="13">
        <f t="shared" si="33"/>
        <v>37.883268870769164</v>
      </c>
      <c r="Q28" s="20">
        <f t="shared" si="2"/>
        <v>321.90749328325631</v>
      </c>
      <c r="R28" s="59">
        <f t="shared" si="0"/>
        <v>537.16142642631621</v>
      </c>
      <c r="S28" s="59">
        <f ca="1">AVERAGE(OFFSET($R$3,0,0,'Données projet'!$E$9+1,1))-AVERAGE(OFFSET($H$3,0,0,'Données projet'!$E$9+1,1))</f>
        <v>140.03175887621094</v>
      </c>
      <c r="T28" s="59">
        <f t="shared" si="34"/>
        <v>377.29475975964954</v>
      </c>
      <c r="U28" s="15">
        <f>IF(ISNA(VLOOKUP(A28,'Données projet'!$A$35:$I$55,3,0)),0,VLOOKUP(A28,'Données projet'!$A$35:$I$55,3,0))</f>
        <v>5</v>
      </c>
      <c r="V28" s="15">
        <f>IF(ISNA(VLOOKUP(A28,'Données projet'!$A$35:$I$55,4,0)),0,VLOOKUP(A28,'Données projet'!$A$35:$I$55,4,0))</f>
        <v>287.17948717948718</v>
      </c>
      <c r="W28" s="16">
        <f>IF(ISNA(VLOOKUP(A28,'Données projet'!$A$35:$I$55,5,0)),0%,VLOOKUP(A28,'Données projet'!$A$35:$I$55,5,0)*VLOOKUP('Données projet'!$B$9,Paramètres!$A$1:$I$89,7,0))</f>
        <v>0.48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0.1</v>
      </c>
      <c r="Z28" s="21">
        <f>EXP(-LN(2)/35)*Z27+(1-EXP(-LN(2)/35))/(LN(2)/35)*V28*W28*VLOOKUP('Données projet'!$B$9,Paramètres!$A$1:$I$89,3,0)*0.475*44/12</f>
        <v>77.972274936043121</v>
      </c>
      <c r="AA28" s="21">
        <f>EXP(-LN(2)/25)*AA27+(1-EXP(-LN(2)/25))/(LN(2)/25)*Calculateur!V28*Calculateur!X28*VLOOKUP('Données projet'!$B$9,Paramètres!$A$1:$I$89,3,0)*0.475*44/12</f>
        <v>0</v>
      </c>
      <c r="AB28" s="21">
        <f>EXP(-LN(2)/2)*AB27+(1-EXP(-LN(2)/2))/(LN(2)/2)*V28*Y28*VLOOKUP('Données projet'!$B$9,Paramètres!$A$1:$I$89,3,0)*0.475*44/12</f>
        <v>13.864561893977417</v>
      </c>
      <c r="AC28" s="22">
        <f t="shared" si="3"/>
        <v>91.83683683002053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>
        <f>VLOOKUP(A28,'Données projet'!$A$61:$I$81,2,0)</f>
        <v>287.17948717948718</v>
      </c>
      <c r="AG28" s="12">
        <f>VLOOKUP(A28,'Données projet'!$A$61:$I$81,9,0)</f>
        <v>17.692307692307697</v>
      </c>
      <c r="AH28" s="12">
        <f t="array" ref="AH28">INDEX(AG:AG,MIN(IF(ISNUMBER(AG28:AG224),ROW(AG28:AG224),"")))</f>
        <v>17.692307692307697</v>
      </c>
      <c r="AI28" s="13">
        <f>IF('Données projet'!$A$62&gt;35,AI27+AH28-AQ27,IF(A28&lt;'Données projet'!$A$62,$AF$205^A28,IF(A28='Données projet'!$A$62,'Données projet'!$B$62,AI27+AH28-AQ27)))</f>
        <v>287.17948717948713</v>
      </c>
      <c r="AJ28" s="13">
        <f>AI28*VLOOKUP('Données projet'!$B$10,Paramètres!$A$1:$I$89,3,0)*VLOOKUP('Données projet'!$B$10,Paramètres!$A$1:$I$89,5,0)</f>
        <v>144.70399999999998</v>
      </c>
      <c r="AK28" s="13">
        <f t="shared" si="35"/>
        <v>37.372544421401152</v>
      </c>
      <c r="AL28" s="20">
        <f t="shared" si="4"/>
        <v>317.11664820060696</v>
      </c>
      <c r="AM28" s="59">
        <f t="shared" si="5"/>
        <v>532.3705813436668</v>
      </c>
      <c r="AN28" s="59">
        <f ca="1">AVERAGE(OFFSET($AM$3,0,0,'Données projet'!$E$10+1,1))-AVERAGE(OFFSET($H$3,0,0,'Données projet'!$E$10+1,1))</f>
        <v>138.27364731587764</v>
      </c>
      <c r="AO28" s="59">
        <f t="shared" si="36"/>
        <v>372.50391467700013</v>
      </c>
      <c r="AP28" s="15">
        <f>IF(ISNA(VLOOKUP(A28,'Données projet'!$A$61:$I$81,3,0)),0,VLOOKUP(A28,'Données projet'!$A$61:$I$81,3,0))</f>
        <v>5</v>
      </c>
      <c r="AQ28" s="15">
        <f>IF(ISNA(VLOOKUP(A28,'Données projet'!$A$61:$I$81,4,0)),0,VLOOKUP(A28,'Données projet'!$A$61:$I$81,4,0))</f>
        <v>287.17948717948718</v>
      </c>
      <c r="AR28" s="16">
        <f>IF(ISNA(VLOOKUP(A28,'Données projet'!$A$61:$I$81,5,0)),0%,VLOOKUP(A28,'Données projet'!$A$61:$I$81,5,0)*VLOOKUP('Données projet'!$B$10,Paramètres!$A$1:$I$89,7,0))</f>
        <v>0.48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0.1</v>
      </c>
      <c r="AU28" s="21">
        <f>EXP(-LN(2)/35)*AU27+(1-EXP(-LN(2)/35))/(LN(2)/35)*AQ28*AR28*VLOOKUP('Données projet'!$B$10,Paramètres!$A$1:$I$89,3,0)*0.475*44/12</f>
        <v>76.783673183969285</v>
      </c>
      <c r="AV28" s="21">
        <f>EXP(-LN(2)/25)*AV27+(1-EXP(-LN(2)/25))/(LN(2)/25)*Calculateur!AQ28*Calculateur!AS28*VLOOKUP('Données projet'!$B$10,Paramètres!$A$1:$I$89,3,0)*0.475*44/12</f>
        <v>0</v>
      </c>
      <c r="AW28" s="21">
        <f>EXP(-LN(2)/2)*AW27+(1-EXP(-LN(2)/2))/(LN(2)/2)*AQ28*AT28*VLOOKUP('Données projet'!$B$10,Paramètres!$A$1:$I$89,3,0)*0.475*44/12</f>
        <v>13.65321186510581</v>
      </c>
      <c r="AX28" s="21">
        <f t="shared" si="6"/>
        <v>90.436885049075102</v>
      </c>
      <c r="AY28" s="7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8.1999999999999993</v>
      </c>
      <c r="BD28" s="12">
        <f>IF('Données projet'!$A$88&gt;35,BD27+BC28-BL27,IF(A28&lt;'Données projet'!$A$88,$BA$205^A28,IF(A28='Données projet'!$A$88,'Données projet'!$B$88,BD27+BC28-BL27)))</f>
        <v>108.00000000000001</v>
      </c>
      <c r="BE28" s="13">
        <f>BD28*VLOOKUP('Données projet'!$B$11,Paramètres!$A$1:$I$89,3,0)*VLOOKUP('Données projet'!$B$11,Paramètres!$A$1:$I$89,5,0)</f>
        <v>112.88160000000002</v>
      </c>
      <c r="BF28" s="13">
        <f t="shared" si="37"/>
        <v>30.008886849394283</v>
      </c>
      <c r="BG28" s="20">
        <f t="shared" si="7"/>
        <v>248.86759792936175</v>
      </c>
      <c r="BH28" s="59">
        <f t="shared" si="8"/>
        <v>464.12153107242159</v>
      </c>
      <c r="BI28" s="59">
        <f ca="1">AVERAGE(OFFSET($BH$3,0,0,'Données projet'!$E$11+1,1))-AVERAGE(OFFSET($H$3,0,0,'Données projet'!$E$11+1,1))</f>
        <v>638.07304290599211</v>
      </c>
      <c r="BJ28" s="59">
        <f t="shared" si="38"/>
        <v>408.22196233793511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108.00000000000001</v>
      </c>
      <c r="BZ28" s="13">
        <f>BY28*VLOOKUP('Données projet'!$B$12,Paramètres!$A$1:$I$89,3,0)*VLOOKUP('Données projet'!$B$12,Paramètres!$A$1:$I$89,5,0)</f>
        <v>122.99040000000001</v>
      </c>
      <c r="CA28" s="13">
        <f t="shared" si="39"/>
        <v>32.371458685761077</v>
      </c>
      <c r="CB28" s="20">
        <f t="shared" si="10"/>
        <v>270.5885705443672</v>
      </c>
      <c r="CC28" s="59">
        <f t="shared" si="11"/>
        <v>485.8425036874271</v>
      </c>
      <c r="CD28" s="59">
        <f ca="1">AVERAGE(OFFSET($CC$3,0,0,'Données projet'!$E$12+1,1))-AVERAGE(OFFSET($H$3,0,0,'Données projet'!$E$12+1,1))</f>
        <v>685.99951993586967</v>
      </c>
      <c r="CE28" s="59">
        <f t="shared" si="40"/>
        <v>437.98014017823095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8.1999999999999993</v>
      </c>
      <c r="CT28" s="12">
        <f>IF('Données projet'!$A$140&gt;35,CT27+CS28-DB27,IF(A28&lt;'Données projet'!$A$140,$CQ$205^A28,IF(A28='Données projet'!$A$140,'Données projet'!$B$140,CT27+CS28-DB27)))</f>
        <v>108.00000000000001</v>
      </c>
      <c r="CU28" s="17">
        <f>CT28*VLOOKUP('Données projet'!$B$13,Paramètres!$A$1:$I$89,3,0)*VLOOKUP('Données projet'!$B$13,Paramètres!$A$1:$I$89,5,0)</f>
        <v>109.51200000000003</v>
      </c>
      <c r="CV28" s="13">
        <f t="shared" si="41"/>
        <v>29.215978230632555</v>
      </c>
      <c r="CW28" s="20">
        <f t="shared" si="13"/>
        <v>241.61789541835174</v>
      </c>
      <c r="CX28" s="59">
        <f t="shared" si="14"/>
        <v>456.87182856141158</v>
      </c>
      <c r="CY28" s="59">
        <f ca="1">AVERAGE(OFFSET($CX$3,0,0,'Données projet'!$E$13+1,1))-AVERAGE(OFFSET($H$3,0,0,'Données projet'!$E$13+1,1))</f>
        <v>622.07867348539082</v>
      </c>
      <c r="CZ28" s="59">
        <f t="shared" si="42"/>
        <v>398.29010684041634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0</v>
      </c>
      <c r="DH28" s="21">
        <f>EXP(-LN(2)/2)*DH27+(1-EXP(-LN(2)/2))/(LN(2)/2)*DB28*DE28*VLOOKUP('Données projet'!$B$13,Paramètres!$A$1:$I$89,3,0)*0.475*44/12</f>
        <v>0</v>
      </c>
      <c r="DI28" s="22">
        <f t="shared" si="15"/>
        <v>0</v>
      </c>
      <c r="DJ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8.1999999999999993</v>
      </c>
      <c r="DO28" s="12">
        <f>IF('Données projet'!$A$166&gt;35,DO27+DN28-DW27,IF(A28&lt;'Données projet'!$A$166,$DL$205^A28,IF(A28='Données projet'!$A$166,'Données projet'!$B$166,DO27+DN28-DW27)))</f>
        <v>108.00000000000001</v>
      </c>
      <c r="DP28" s="17">
        <f>DO28*VLOOKUP('Données projet'!$B$14,Paramètres!$A$1:$I$89,3,0)*VLOOKUP('Données projet'!$B$14,Paramètres!$A$1:$I$89,5,0)</f>
        <v>102.77280000000002</v>
      </c>
      <c r="DQ28" s="13">
        <f t="shared" si="43"/>
        <v>27.62152372741507</v>
      </c>
      <c r="DR28" s="20">
        <f t="shared" si="16"/>
        <v>227.10344715858128</v>
      </c>
      <c r="DS28" s="59">
        <f t="shared" si="17"/>
        <v>442.35738030164111</v>
      </c>
      <c r="DT28" s="59">
        <f ca="1">AVERAGE(OFFSET($DS$3,0,0,'Données projet'!$E$14+1,1))-AVERAGE(OFFSET($H$3,0,0,'Données projet'!$E$14+1,1))</f>
        <v>590.05965493677377</v>
      </c>
      <c r="DU28" s="59">
        <f t="shared" si="44"/>
        <v>378.40640480134505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50.372284796592083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2">
        <f>'Scénario référence'!$B$16*5+'Scénario référence'!$B$17*0+'Scénario référence'!$B$18*5</f>
        <v>4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14.666666666666666</v>
      </c>
      <c r="H29" s="66">
        <f t="shared" si="1"/>
        <v>159.86666666666667</v>
      </c>
      <c r="I29" s="6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-5.6843418860808015E-14</v>
      </c>
      <c r="O29" s="13">
        <f>N29*VLOOKUP('Données projet'!$B$9,Paramètres!$A$1:$I$89,3,0)*VLOOKUP('Données projet'!$B$9,Paramètres!$A$1:$I$89,5,0)</f>
        <v>-2.9085640562698246E-14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140.03175887621094</v>
      </c>
      <c r="T29" s="59">
        <f t="shared" si="34"/>
        <v>377.29475975964954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76.443286182939019</v>
      </c>
      <c r="AA29" s="21">
        <f>EXP(-LN(2)/25)*AA28+(1-EXP(-LN(2)/25))/(LN(2)/25)*Calculateur!V29*Calculateur!X29*VLOOKUP('Données projet'!$B$9,Paramètres!$A$1:$I$89,3,0)*0.475*44/12</f>
        <v>0</v>
      </c>
      <c r="AB29" s="21">
        <f>EXP(-LN(2)/2)*AB28+(1-EXP(-LN(2)/2))/(LN(2)/2)*V29*Y29*VLOOKUP('Données projet'!$B$9,Paramètres!$A$1:$I$89,3,0)*0.475*44/12</f>
        <v>9.8037257334120351</v>
      </c>
      <c r="AC29" s="22">
        <f t="shared" si="3"/>
        <v>86.247011916351056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-5.6843418860808015E-14</v>
      </c>
      <c r="AJ29" s="13">
        <f>AI29*VLOOKUP('Données projet'!$B$10,Paramètres!$A$1:$I$89,3,0)*VLOOKUP('Données projet'!$B$10,Paramètres!$A$1:$I$89,5,0)</f>
        <v>-2.8642261895583942E-14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138.27364731587764</v>
      </c>
      <c r="AO29" s="59">
        <f t="shared" si="36"/>
        <v>372.50391467700013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75.277992186247872</v>
      </c>
      <c r="AV29" s="21">
        <f>EXP(-LN(2)/25)*AV28+(1-EXP(-LN(2)/25))/(LN(2)/25)*Calculateur!AQ29*Calculateur!AS29*VLOOKUP('Données projet'!$B$10,Paramètres!$A$1:$I$89,3,0)*0.475*44/12</f>
        <v>0</v>
      </c>
      <c r="AW29" s="21">
        <f>EXP(-LN(2)/2)*AW28+(1-EXP(-LN(2)/2))/(LN(2)/2)*AQ29*AT29*VLOOKUP('Données projet'!$B$10,Paramètres!$A$1:$I$89,3,0)*0.475*44/12</f>
        <v>9.6542786947929482</v>
      </c>
      <c r="AX29" s="21">
        <f t="shared" si="6"/>
        <v>84.932270881040822</v>
      </c>
      <c r="AY29" s="7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8.1999999999999993</v>
      </c>
      <c r="BD29" s="12">
        <f>IF('Données projet'!$A$88&gt;35,BD28+BC29-BL28,IF(A29&lt;'Données projet'!$A$88,$BA$205^A29,IF(A29='Données projet'!$A$88,'Données projet'!$B$88,BD28+BC29-BL28)))</f>
        <v>116.20000000000002</v>
      </c>
      <c r="BE29" s="13">
        <f>BD29*VLOOKUP('Données projet'!$B$11,Paramètres!$A$1:$I$89,3,0)*VLOOKUP('Données projet'!$B$11,Paramètres!$A$1:$I$89,5,0)</f>
        <v>121.45224000000003</v>
      </c>
      <c r="BF29" s="13">
        <f t="shared" si="37"/>
        <v>32.0134729266261</v>
      </c>
      <c r="BG29" s="20">
        <f t="shared" si="7"/>
        <v>267.28611668054049</v>
      </c>
      <c r="BH29" s="59">
        <f t="shared" si="8"/>
        <v>485.01076096435577</v>
      </c>
      <c r="BI29" s="59">
        <f ca="1">AVERAGE(OFFSET($BH$3,0,0,'Données projet'!$E$11+1,1))-AVERAGE(OFFSET($H$3,0,0,'Données projet'!$E$11+1,1))</f>
        <v>638.07304290599211</v>
      </c>
      <c r="BJ29" s="59">
        <f t="shared" si="38"/>
        <v>408.22196233793511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8.1999999999999993</v>
      </c>
      <c r="BY29" s="12">
        <f>IF('Données projet'!$A$114&gt;35,BY28+BX29-CG28,IF(A29&lt;'Données projet'!$A$114,$BV$205^A29,IF(A29='Données projet'!$A$114,'Données projet'!$B$114,BY28+BX29-CG28)))</f>
        <v>116.20000000000002</v>
      </c>
      <c r="BZ29" s="13">
        <f>BY29*VLOOKUP('Données projet'!$B$12,Paramètres!$A$1:$I$89,3,0)*VLOOKUP('Données projet'!$B$12,Paramètres!$A$1:$I$89,5,0)</f>
        <v>132.32856000000001</v>
      </c>
      <c r="CA29" s="13">
        <f t="shared" si="39"/>
        <v>34.533863966131257</v>
      </c>
      <c r="CB29" s="20">
        <f t="shared" si="10"/>
        <v>290.61872174101194</v>
      </c>
      <c r="CC29" s="59">
        <f t="shared" si="11"/>
        <v>508.34336602482722</v>
      </c>
      <c r="CD29" s="59">
        <f ca="1">AVERAGE(OFFSET($CC$3,0,0,'Données projet'!$E$12+1,1))-AVERAGE(OFFSET($H$3,0,0,'Données projet'!$E$12+1,1))</f>
        <v>685.99951993586967</v>
      </c>
      <c r="CE29" s="59">
        <f t="shared" si="40"/>
        <v>437.98014017823095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8.1999999999999993</v>
      </c>
      <c r="CT29" s="12">
        <f>IF('Données projet'!$A$140&gt;35,CT28+CS29-DB28,IF(A29&lt;'Données projet'!$A$140,$CQ$205^A29,IF(A29='Données projet'!$A$140,'Données projet'!$B$140,CT28+CS29-DB28)))</f>
        <v>116.20000000000002</v>
      </c>
      <c r="CU29" s="17">
        <f>CT29*VLOOKUP('Données projet'!$B$13,Paramètres!$A$1:$I$89,3,0)*VLOOKUP('Données projet'!$B$13,Paramètres!$A$1:$I$89,5,0)</f>
        <v>117.82680000000003</v>
      </c>
      <c r="CV29" s="13">
        <f t="shared" si="41"/>
        <v>31.167598211998705</v>
      </c>
      <c r="CW29" s="20">
        <f t="shared" si="13"/>
        <v>259.49857688589776</v>
      </c>
      <c r="CX29" s="59">
        <f t="shared" si="14"/>
        <v>477.22322116971304</v>
      </c>
      <c r="CY29" s="59">
        <f ca="1">AVERAGE(OFFSET($CX$3,0,0,'Données projet'!$E$13+1,1))-AVERAGE(OFFSET($H$3,0,0,'Données projet'!$E$13+1,1))</f>
        <v>622.07867348539082</v>
      </c>
      <c r="CZ29" s="59">
        <f t="shared" si="42"/>
        <v>398.29010684041634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0</v>
      </c>
      <c r="DH29" s="21">
        <f>EXP(-LN(2)/2)*DH28+(1-EXP(-LN(2)/2))/(LN(2)/2)*DB29*DE29*VLOOKUP('Données projet'!$B$13,Paramètres!$A$1:$I$89,3,0)*0.475*44/12</f>
        <v>0</v>
      </c>
      <c r="DI29" s="22">
        <f t="shared" si="15"/>
        <v>0</v>
      </c>
      <c r="DJ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8.1999999999999993</v>
      </c>
      <c r="DO29" s="12">
        <f>IF('Données projet'!$A$166&gt;35,DO28+DN29-DW28,IF(A29&lt;'Données projet'!$A$166,$DL$205^A29,IF(A29='Données projet'!$A$166,'Données projet'!$B$166,DO28+DN29-DW28)))</f>
        <v>116.20000000000002</v>
      </c>
      <c r="DP29" s="17">
        <f>DO29*VLOOKUP('Données projet'!$B$14,Paramètres!$A$1:$I$89,3,0)*VLOOKUP('Données projet'!$B$14,Paramètres!$A$1:$I$89,5,0)</f>
        <v>110.57592000000001</v>
      </c>
      <c r="DQ29" s="13">
        <f t="shared" si="43"/>
        <v>29.466634549878744</v>
      </c>
      <c r="DR29" s="20">
        <f t="shared" si="16"/>
        <v>243.90744917437215</v>
      </c>
      <c r="DS29" s="59">
        <f t="shared" si="17"/>
        <v>461.6320934581874</v>
      </c>
      <c r="DT29" s="59">
        <f ca="1">AVERAGE(OFFSET($DS$3,0,0,'Données projet'!$E$14+1,1))-AVERAGE(OFFSET($H$3,0,0,'Données projet'!$E$14+1,1))</f>
        <v>590.05965493677377</v>
      </c>
      <c r="DU29" s="59">
        <f t="shared" si="44"/>
        <v>378.40640480134505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50.712781774373866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2">
        <f>'Scénario référence'!$B$16*5+'Scénario référence'!$B$17*0+'Scénario référence'!$B$18*5</f>
        <v>4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14.666666666666666</v>
      </c>
      <c r="H30" s="66">
        <f t="shared" si="1"/>
        <v>159.86666666666667</v>
      </c>
      <c r="I30" s="6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-5.6843418860808015E-14</v>
      </c>
      <c r="O30" s="13">
        <f>N30*VLOOKUP('Données projet'!$B$9,Paramètres!$A$1:$I$89,3,0)*VLOOKUP('Données projet'!$B$9,Paramètres!$A$1:$I$89,5,0)</f>
        <v>-2.9085640562698246E-14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140.03175887621094</v>
      </c>
      <c r="T30" s="59">
        <f t="shared" si="34"/>
        <v>377.29475975964954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74.944279966692235</v>
      </c>
      <c r="AA30" s="21">
        <f>EXP(-LN(2)/25)*AA29+(1-EXP(-LN(2)/25))/(LN(2)/25)*Calculateur!V30*Calculateur!X30*VLOOKUP('Données projet'!$B$9,Paramètres!$A$1:$I$89,3,0)*0.475*44/12</f>
        <v>0</v>
      </c>
      <c r="AB30" s="21">
        <f>EXP(-LN(2)/2)*AB29+(1-EXP(-LN(2)/2))/(LN(2)/2)*V30*Y30*VLOOKUP('Données projet'!$B$9,Paramètres!$A$1:$I$89,3,0)*0.475*44/12</f>
        <v>6.9322809469887092</v>
      </c>
      <c r="AC30" s="22">
        <f t="shared" si="3"/>
        <v>81.876560913680947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-5.6843418860808015E-14</v>
      </c>
      <c r="AJ30" s="13">
        <f>AI30*VLOOKUP('Données projet'!$B$10,Paramètres!$A$1:$I$89,3,0)*VLOOKUP('Données projet'!$B$10,Paramètres!$A$1:$I$89,5,0)</f>
        <v>-2.8642261895583942E-14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138.27364731587764</v>
      </c>
      <c r="AO30" s="59">
        <f t="shared" si="36"/>
        <v>372.50391467700013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73.801836674517048</v>
      </c>
      <c r="AV30" s="21">
        <f>EXP(-LN(2)/25)*AV29+(1-EXP(-LN(2)/25))/(LN(2)/25)*Calculateur!AQ30*Calculateur!AS30*VLOOKUP('Données projet'!$B$10,Paramètres!$A$1:$I$89,3,0)*0.475*44/12</f>
        <v>0</v>
      </c>
      <c r="AW30" s="21">
        <f>EXP(-LN(2)/2)*AW29+(1-EXP(-LN(2)/2))/(LN(2)/2)*AQ30*AT30*VLOOKUP('Données projet'!$B$10,Paramètres!$A$1:$I$89,3,0)*0.475*44/12</f>
        <v>6.8266059325529049</v>
      </c>
      <c r="AX30" s="21">
        <f t="shared" si="6"/>
        <v>80.628442607069957</v>
      </c>
      <c r="AY30" s="7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8.1999999999999993</v>
      </c>
      <c r="BD30" s="12">
        <f>IF('Données projet'!$A$88&gt;35,BD29+BC30-BL29,IF(A30&lt;'Données projet'!$A$88,$BA$205^A30,IF(A30='Données projet'!$A$88,'Données projet'!$B$88,BD29+BC30-BL29)))</f>
        <v>124.40000000000002</v>
      </c>
      <c r="BE30" s="13">
        <f>BD30*VLOOKUP('Données projet'!$B$11,Paramètres!$A$1:$I$89,3,0)*VLOOKUP('Données projet'!$B$11,Paramètres!$A$1:$I$89,5,0)</f>
        <v>130.02288000000001</v>
      </c>
      <c r="BF30" s="13">
        <f t="shared" si="37"/>
        <v>34.00164617442524</v>
      </c>
      <c r="BG30" s="20">
        <f t="shared" si="7"/>
        <v>285.67604975379066</v>
      </c>
      <c r="BH30" s="59">
        <f t="shared" si="8"/>
        <v>505.84974668682787</v>
      </c>
      <c r="BI30" s="59">
        <f ca="1">AVERAGE(OFFSET($BH$3,0,0,'Données projet'!$E$11+1,1))-AVERAGE(OFFSET($H$3,0,0,'Données projet'!$E$11+1,1))</f>
        <v>638.07304290599211</v>
      </c>
      <c r="BJ30" s="59">
        <f t="shared" si="38"/>
        <v>408.22196233793511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8.1999999999999993</v>
      </c>
      <c r="BY30" s="12">
        <f>IF('Données projet'!$A$114&gt;35,BY29+BX30-CG29,IF(A30&lt;'Données projet'!$A$114,$BV$205^A30,IF(A30='Données projet'!$A$114,'Données projet'!$B$114,BY29+BX30-CG29)))</f>
        <v>124.40000000000002</v>
      </c>
      <c r="BZ30" s="13">
        <f>BY30*VLOOKUP('Données projet'!$B$12,Paramètres!$A$1:$I$89,3,0)*VLOOKUP('Données projet'!$B$12,Paramètres!$A$1:$I$89,5,0)</f>
        <v>141.66672000000003</v>
      </c>
      <c r="CA30" s="13">
        <f t="shared" si="39"/>
        <v>36.678564250226081</v>
      </c>
      <c r="CB30" s="20">
        <f t="shared" si="10"/>
        <v>310.61803673581045</v>
      </c>
      <c r="CC30" s="59">
        <f t="shared" si="11"/>
        <v>530.79173366884766</v>
      </c>
      <c r="CD30" s="59">
        <f ca="1">AVERAGE(OFFSET($CC$3,0,0,'Données projet'!$E$12+1,1))-AVERAGE(OFFSET($H$3,0,0,'Données projet'!$E$12+1,1))</f>
        <v>685.99951993586967</v>
      </c>
      <c r="CE30" s="59">
        <f t="shared" si="40"/>
        <v>437.98014017823095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8.1999999999999993</v>
      </c>
      <c r="CT30" s="12">
        <f>IF('Données projet'!$A$140&gt;35,CT29+CS30-DB29,IF(A30&lt;'Données projet'!$A$140,$CQ$205^A30,IF(A30='Données projet'!$A$140,'Données projet'!$B$140,CT29+CS30-DB29)))</f>
        <v>124.40000000000002</v>
      </c>
      <c r="CU30" s="17">
        <f>CT30*VLOOKUP('Données projet'!$B$13,Paramètres!$A$1:$I$89,3,0)*VLOOKUP('Données projet'!$B$13,Paramètres!$A$1:$I$89,5,0)</f>
        <v>126.14160000000003</v>
      </c>
      <c r="CV30" s="13">
        <f t="shared" si="41"/>
        <v>33.10323903126482</v>
      </c>
      <c r="CW30" s="20">
        <f t="shared" si="13"/>
        <v>277.35142797945298</v>
      </c>
      <c r="CX30" s="59">
        <f t="shared" si="14"/>
        <v>497.52512491249024</v>
      </c>
      <c r="CY30" s="59">
        <f ca="1">AVERAGE(OFFSET($CX$3,0,0,'Données projet'!$E$13+1,1))-AVERAGE(OFFSET($H$3,0,0,'Données projet'!$E$13+1,1))</f>
        <v>622.07867348539082</v>
      </c>
      <c r="CZ30" s="59">
        <f t="shared" si="42"/>
        <v>398.29010684041634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0</v>
      </c>
      <c r="DH30" s="21">
        <f>EXP(-LN(2)/2)*DH29+(1-EXP(-LN(2)/2))/(LN(2)/2)*DB30*DE30*VLOOKUP('Données projet'!$B$13,Paramètres!$A$1:$I$89,3,0)*0.475*44/12</f>
        <v>0</v>
      </c>
      <c r="DI30" s="22">
        <f t="shared" si="15"/>
        <v>0</v>
      </c>
      <c r="DJ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8.1999999999999993</v>
      </c>
      <c r="DO30" s="12">
        <f>IF('Données projet'!$A$166&gt;35,DO29+DN30-DW29,IF(A30&lt;'Données projet'!$A$166,$DL$205^A30,IF(A30='Données projet'!$A$166,'Données projet'!$B$166,DO29+DN30-DW29)))</f>
        <v>124.40000000000002</v>
      </c>
      <c r="DP30" s="17">
        <f>DO30*VLOOKUP('Données projet'!$B$14,Paramètres!$A$1:$I$89,3,0)*VLOOKUP('Données projet'!$B$14,Paramètres!$A$1:$I$89,5,0)</f>
        <v>118.37904000000003</v>
      </c>
      <c r="DQ30" s="13">
        <f t="shared" si="43"/>
        <v>31.296638268907181</v>
      </c>
      <c r="DR30" s="20">
        <f t="shared" si="16"/>
        <v>260.68513965168</v>
      </c>
      <c r="DS30" s="59">
        <f t="shared" si="17"/>
        <v>480.85883658471721</v>
      </c>
      <c r="DT30" s="59">
        <f ca="1">AVERAGE(OFFSET($DS$3,0,0,'Données projet'!$E$14+1,1))-AVERAGE(OFFSET($H$3,0,0,'Données projet'!$E$14+1,1))</f>
        <v>590.05965493677377</v>
      </c>
      <c r="DU30" s="59">
        <f t="shared" si="44"/>
        <v>378.40640480134505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51.047371890828337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2">
        <f>'Scénario référence'!$B$16*5+'Scénario référence'!$B$17*0+'Scénario référence'!$B$18*5</f>
        <v>4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14.666666666666666</v>
      </c>
      <c r="H31" s="66">
        <f t="shared" si="1"/>
        <v>159.86666666666667</v>
      </c>
      <c r="I31" s="6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-5.6843418860808015E-14</v>
      </c>
      <c r="O31" s="13">
        <f>N31*VLOOKUP('Données projet'!$B$9,Paramètres!$A$1:$I$89,3,0)*VLOOKUP('Données projet'!$B$9,Paramètres!$A$1:$I$89,5,0)</f>
        <v>-2.9085640562698246E-14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140.03175887621094</v>
      </c>
      <c r="T31" s="59">
        <f t="shared" si="34"/>
        <v>377.29475975964954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73.474668348042542</v>
      </c>
      <c r="AA31" s="21">
        <f>EXP(-LN(2)/25)*AA30+(1-EXP(-LN(2)/25))/(LN(2)/25)*Calculateur!V31*Calculateur!X31*VLOOKUP('Données projet'!$B$9,Paramètres!$A$1:$I$89,3,0)*0.475*44/12</f>
        <v>0</v>
      </c>
      <c r="AB31" s="21">
        <f>EXP(-LN(2)/2)*AB30+(1-EXP(-LN(2)/2))/(LN(2)/2)*V31*Y31*VLOOKUP('Données projet'!$B$9,Paramètres!$A$1:$I$89,3,0)*0.475*44/12</f>
        <v>4.9018628667060185</v>
      </c>
      <c r="AC31" s="22">
        <f t="shared" si="3"/>
        <v>78.376531214748553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-5.6843418860808015E-14</v>
      </c>
      <c r="AJ31" s="13">
        <f>AI31*VLOOKUP('Données projet'!$B$10,Paramètres!$A$1:$I$89,3,0)*VLOOKUP('Données projet'!$B$10,Paramètres!$A$1:$I$89,5,0)</f>
        <v>-2.8642261895583942E-14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138.27364731587764</v>
      </c>
      <c r="AO31" s="59">
        <f t="shared" si="36"/>
        <v>372.50391467700013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72.354627672005307</v>
      </c>
      <c r="AV31" s="21">
        <f>EXP(-LN(2)/25)*AV30+(1-EXP(-LN(2)/25))/(LN(2)/25)*Calculateur!AQ31*Calculateur!AS31*VLOOKUP('Données projet'!$B$10,Paramètres!$A$1:$I$89,3,0)*0.475*44/12</f>
        <v>0</v>
      </c>
      <c r="AW31" s="21">
        <f>EXP(-LN(2)/2)*AW30+(1-EXP(-LN(2)/2))/(LN(2)/2)*AQ31*AT31*VLOOKUP('Données projet'!$B$10,Paramètres!$A$1:$I$89,3,0)*0.475*44/12</f>
        <v>4.8271393473964741</v>
      </c>
      <c r="AX31" s="21">
        <f t="shared" si="6"/>
        <v>77.181767019401775</v>
      </c>
      <c r="AY31" s="7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8.1999999999999993</v>
      </c>
      <c r="BD31" s="12">
        <f>IF('Données projet'!$A$88&gt;35,BD30+BC31-BL30,IF(A31&lt;'Données projet'!$A$88,$BA$205^A31,IF(A31='Données projet'!$A$88,'Données projet'!$B$88,BD30+BC31-BL30)))</f>
        <v>132.60000000000002</v>
      </c>
      <c r="BE31" s="13">
        <f>BD31*VLOOKUP('Données projet'!$B$11,Paramètres!$A$1:$I$89,3,0)*VLOOKUP('Données projet'!$B$11,Paramètres!$A$1:$I$89,5,0)</f>
        <v>138.59352000000004</v>
      </c>
      <c r="BF31" s="13">
        <f t="shared" si="37"/>
        <v>35.974611578202286</v>
      </c>
      <c r="BG31" s="20">
        <f t="shared" si="7"/>
        <v>304.0394958320357</v>
      </c>
      <c r="BH31" s="59">
        <f t="shared" si="8"/>
        <v>526.64096264916839</v>
      </c>
      <c r="BI31" s="59">
        <f ca="1">AVERAGE(OFFSET($BH$3,0,0,'Données projet'!$E$11+1,1))-AVERAGE(OFFSET($H$3,0,0,'Données projet'!$E$11+1,1))</f>
        <v>638.07304290599211</v>
      </c>
      <c r="BJ31" s="59">
        <f t="shared" si="38"/>
        <v>408.22196233793511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8.1999999999999993</v>
      </c>
      <c r="BY31" s="12">
        <f>IF('Données projet'!$A$114&gt;35,BY30+BX31-CG30,IF(A31&lt;'Données projet'!$A$114,$BV$205^A31,IF(A31='Données projet'!$A$114,'Données projet'!$B$114,BY30+BX31-CG30)))</f>
        <v>132.60000000000002</v>
      </c>
      <c r="BZ31" s="13">
        <f>BY31*VLOOKUP('Données projet'!$B$12,Paramètres!$A$1:$I$89,3,0)*VLOOKUP('Données projet'!$B$12,Paramètres!$A$1:$I$89,5,0)</f>
        <v>151.00488000000004</v>
      </c>
      <c r="CA31" s="13">
        <f t="shared" si="39"/>
        <v>38.806859390840195</v>
      </c>
      <c r="CB31" s="20">
        <f t="shared" si="10"/>
        <v>330.58877943904673</v>
      </c>
      <c r="CC31" s="59">
        <f t="shared" si="11"/>
        <v>553.19024625617942</v>
      </c>
      <c r="CD31" s="59">
        <f ca="1">AVERAGE(OFFSET($CC$3,0,0,'Données projet'!$E$12+1,1))-AVERAGE(OFFSET($H$3,0,0,'Données projet'!$E$12+1,1))</f>
        <v>685.99951993586967</v>
      </c>
      <c r="CE31" s="59">
        <f t="shared" si="40"/>
        <v>437.98014017823095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8.1999999999999993</v>
      </c>
      <c r="CT31" s="12">
        <f>IF('Données projet'!$A$140&gt;35,CT30+CS31-DB30,IF(A31&lt;'Données projet'!$A$140,$CQ$205^A31,IF(A31='Données projet'!$A$140,'Données projet'!$B$140,CT30+CS31-DB30)))</f>
        <v>132.60000000000002</v>
      </c>
      <c r="CU31" s="17">
        <f>CT31*VLOOKUP('Données projet'!$B$13,Paramètres!$A$1:$I$89,3,0)*VLOOKUP('Données projet'!$B$13,Paramètres!$A$1:$I$89,5,0)</f>
        <v>134.45640000000003</v>
      </c>
      <c r="CV31" s="13">
        <f t="shared" si="41"/>
        <v>35.024073835162412</v>
      </c>
      <c r="CW31" s="20">
        <f t="shared" si="13"/>
        <v>295.17849192957459</v>
      </c>
      <c r="CX31" s="59">
        <f t="shared" si="14"/>
        <v>517.77995874670728</v>
      </c>
      <c r="CY31" s="59">
        <f ca="1">AVERAGE(OFFSET($CX$3,0,0,'Données projet'!$E$13+1,1))-AVERAGE(OFFSET($H$3,0,0,'Données projet'!$E$13+1,1))</f>
        <v>622.07867348539082</v>
      </c>
      <c r="CZ31" s="59">
        <f t="shared" si="42"/>
        <v>398.29010684041634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0</v>
      </c>
      <c r="DH31" s="21">
        <f>EXP(-LN(2)/2)*DH30+(1-EXP(-LN(2)/2))/(LN(2)/2)*DB31*DE31*VLOOKUP('Données projet'!$B$13,Paramètres!$A$1:$I$89,3,0)*0.475*44/12</f>
        <v>0</v>
      </c>
      <c r="DI31" s="22">
        <f t="shared" si="15"/>
        <v>0</v>
      </c>
      <c r="DJ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8.1999999999999993</v>
      </c>
      <c r="DO31" s="12">
        <f>IF('Données projet'!$A$166&gt;35,DO30+DN31-DW30,IF(A31&lt;'Données projet'!$A$166,$DL$205^A31,IF(A31='Données projet'!$A$166,'Données projet'!$B$166,DO30+DN31-DW30)))</f>
        <v>132.60000000000002</v>
      </c>
      <c r="DP31" s="17">
        <f>DO31*VLOOKUP('Données projet'!$B$14,Paramètres!$A$1:$I$89,3,0)*VLOOKUP('Données projet'!$B$14,Paramètres!$A$1:$I$89,5,0)</f>
        <v>126.18216000000002</v>
      </c>
      <c r="DQ31" s="13">
        <f t="shared" si="43"/>
        <v>33.112644007050569</v>
      </c>
      <c r="DR31" s="20">
        <f t="shared" si="16"/>
        <v>277.43845031227977</v>
      </c>
      <c r="DS31" s="59">
        <f t="shared" si="17"/>
        <v>500.0399171294124</v>
      </c>
      <c r="DT31" s="59">
        <f ca="1">AVERAGE(OFFSET($DS$3,0,0,'Données projet'!$E$14+1,1))-AVERAGE(OFFSET($H$3,0,0,'Données projet'!$E$14+1,1))</f>
        <v>590.05965493677377</v>
      </c>
      <c r="DU31" s="59">
        <f t="shared" si="44"/>
        <v>378.40640480134505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51.376157616793755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2">
        <f>'Scénario référence'!$B$16*5+'Scénario référence'!$B$17*0+'Scénario référence'!$B$18*5</f>
        <v>4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14.666666666666666</v>
      </c>
      <c r="H32" s="66">
        <f t="shared" si="1"/>
        <v>159.86666666666667</v>
      </c>
      <c r="I32" s="6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-5.6843418860808015E-14</v>
      </c>
      <c r="O32" s="13">
        <f>N32*VLOOKUP('Données projet'!$B$9,Paramètres!$A$1:$I$89,3,0)*VLOOKUP('Données projet'!$B$9,Paramètres!$A$1:$I$89,5,0)</f>
        <v>-2.9085640562698246E-14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140.03175887621094</v>
      </c>
      <c r="T32" s="59">
        <f t="shared" si="34"/>
        <v>377.29475975964954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72.03387491686</v>
      </c>
      <c r="AA32" s="21">
        <f>EXP(-LN(2)/25)*AA31+(1-EXP(-LN(2)/25))/(LN(2)/25)*Calculateur!V32*Calculateur!X32*VLOOKUP('Données projet'!$B$9,Paramètres!$A$1:$I$89,3,0)*0.475*44/12</f>
        <v>0</v>
      </c>
      <c r="AB32" s="21">
        <f>EXP(-LN(2)/2)*AB31+(1-EXP(-LN(2)/2))/(LN(2)/2)*V32*Y32*VLOOKUP('Données projet'!$B$9,Paramètres!$A$1:$I$89,3,0)*0.475*44/12</f>
        <v>3.4661404734943555</v>
      </c>
      <c r="AC32" s="22">
        <f t="shared" si="3"/>
        <v>75.500015390354349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-5.6843418860808015E-14</v>
      </c>
      <c r="AJ32" s="13">
        <f>AI32*VLOOKUP('Données projet'!$B$10,Paramètres!$A$1:$I$89,3,0)*VLOOKUP('Données projet'!$B$10,Paramètres!$A$1:$I$89,5,0)</f>
        <v>-2.8642261895583942E-14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138.27364731587764</v>
      </c>
      <c r="AO32" s="59">
        <f t="shared" si="36"/>
        <v>372.50391467700013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70.935797555322495</v>
      </c>
      <c r="AV32" s="21">
        <f>EXP(-LN(2)/25)*AV31+(1-EXP(-LN(2)/25))/(LN(2)/25)*Calculateur!AQ32*Calculateur!AS32*VLOOKUP('Données projet'!$B$10,Paramètres!$A$1:$I$89,3,0)*0.475*44/12</f>
        <v>0</v>
      </c>
      <c r="AW32" s="21">
        <f>EXP(-LN(2)/2)*AW31+(1-EXP(-LN(2)/2))/(LN(2)/2)*AQ32*AT32*VLOOKUP('Données projet'!$B$10,Paramètres!$A$1:$I$89,3,0)*0.475*44/12</f>
        <v>3.4133029662764525</v>
      </c>
      <c r="AX32" s="21">
        <f t="shared" si="6"/>
        <v>74.349100521598942</v>
      </c>
      <c r="AY32" s="7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8.1999999999999993</v>
      </c>
      <c r="BD32" s="12">
        <f>IF('Données projet'!$A$88&gt;35,BD31+BC32-BL31,IF(A32&lt;'Données projet'!$A$88,$BA$205^A32,IF(A32='Données projet'!$A$88,'Données projet'!$B$88,BD31+BC32-BL31)))</f>
        <v>140.80000000000001</v>
      </c>
      <c r="BE32" s="13">
        <f>BD32*VLOOKUP('Données projet'!$B$11,Paramètres!$A$1:$I$89,3,0)*VLOOKUP('Données projet'!$B$11,Paramètres!$A$1:$I$89,5,0)</f>
        <v>147.16416000000004</v>
      </c>
      <c r="BF32" s="13">
        <f t="shared" si="37"/>
        <v>37.93341666809318</v>
      </c>
      <c r="BG32" s="20">
        <f t="shared" si="7"/>
        <v>322.37827936359571</v>
      </c>
      <c r="BH32" s="59">
        <f t="shared" si="8"/>
        <v>547.38660250809107</v>
      </c>
      <c r="BI32" s="59">
        <f ca="1">AVERAGE(OFFSET($BH$3,0,0,'Données projet'!$E$11+1,1))-AVERAGE(OFFSET($H$3,0,0,'Données projet'!$E$11+1,1))</f>
        <v>638.07304290599211</v>
      </c>
      <c r="BJ32" s="59">
        <f t="shared" si="38"/>
        <v>408.22196233793511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8.1999999999999993</v>
      </c>
      <c r="BY32" s="12">
        <f>IF('Données projet'!$A$114&gt;35,BY31+BX32-CG31,IF(A32&lt;'Données projet'!$A$114,$BV$205^A32,IF(A32='Données projet'!$A$114,'Données projet'!$B$114,BY31+BX32-CG31)))</f>
        <v>140.80000000000001</v>
      </c>
      <c r="BZ32" s="13">
        <f>BY32*VLOOKUP('Données projet'!$B$12,Paramètres!$A$1:$I$89,3,0)*VLOOKUP('Données projet'!$B$12,Paramètres!$A$1:$I$89,5,0)</f>
        <v>160.34304</v>
      </c>
      <c r="CA32" s="13">
        <f t="shared" si="39"/>
        <v>40.91987938918583</v>
      </c>
      <c r="CB32" s="20">
        <f t="shared" si="10"/>
        <v>350.53291793616535</v>
      </c>
      <c r="CC32" s="59">
        <f t="shared" si="11"/>
        <v>575.54124108066071</v>
      </c>
      <c r="CD32" s="59">
        <f ca="1">AVERAGE(OFFSET($CC$3,0,0,'Données projet'!$E$12+1,1))-AVERAGE(OFFSET($H$3,0,0,'Données projet'!$E$12+1,1))</f>
        <v>685.99951993586967</v>
      </c>
      <c r="CE32" s="59">
        <f t="shared" si="40"/>
        <v>437.98014017823095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8.1999999999999993</v>
      </c>
      <c r="CT32" s="12">
        <f>IF('Données projet'!$A$140&gt;35,CT31+CS32-DB31,IF(A32&lt;'Données projet'!$A$140,$CQ$205^A32,IF(A32='Données projet'!$A$140,'Données projet'!$B$140,CT31+CS32-DB31)))</f>
        <v>140.80000000000001</v>
      </c>
      <c r="CU32" s="17">
        <f>CT32*VLOOKUP('Données projet'!$B$13,Paramètres!$A$1:$I$89,3,0)*VLOOKUP('Données projet'!$B$13,Paramètres!$A$1:$I$89,5,0)</f>
        <v>142.77120000000002</v>
      </c>
      <c r="CV32" s="13">
        <f t="shared" si="41"/>
        <v>36.93112247550409</v>
      </c>
      <c r="CW32" s="20">
        <f t="shared" si="13"/>
        <v>312.98154497816967</v>
      </c>
      <c r="CX32" s="59">
        <f t="shared" si="14"/>
        <v>537.98986812266503</v>
      </c>
      <c r="CY32" s="59">
        <f ca="1">AVERAGE(OFFSET($CX$3,0,0,'Données projet'!$E$13+1,1))-AVERAGE(OFFSET($H$3,0,0,'Données projet'!$E$13+1,1))</f>
        <v>622.07867348539082</v>
      </c>
      <c r="CZ32" s="59">
        <f t="shared" si="42"/>
        <v>398.29010684041634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0</v>
      </c>
      <c r="DH32" s="21">
        <f>EXP(-LN(2)/2)*DH31+(1-EXP(-LN(2)/2))/(LN(2)/2)*DB32*DE32*VLOOKUP('Données projet'!$B$13,Paramètres!$A$1:$I$89,3,0)*0.475*44/12</f>
        <v>0</v>
      </c>
      <c r="DI32" s="22">
        <f t="shared" si="15"/>
        <v>0</v>
      </c>
      <c r="DJ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8.1999999999999993</v>
      </c>
      <c r="DO32" s="12">
        <f>IF('Données projet'!$A$166&gt;35,DO31+DN32-DW31,IF(A32&lt;'Données projet'!$A$166,$DL$205^A32,IF(A32='Données projet'!$A$166,'Données projet'!$B$166,DO31+DN32-DW31)))</f>
        <v>140.80000000000001</v>
      </c>
      <c r="DP32" s="17">
        <f>DO32*VLOOKUP('Données projet'!$B$14,Paramètres!$A$1:$I$89,3,0)*VLOOKUP('Données projet'!$B$14,Paramètres!$A$1:$I$89,5,0)</f>
        <v>133.98528000000002</v>
      </c>
      <c r="DQ32" s="13">
        <f t="shared" si="43"/>
        <v>34.915615957970999</v>
      </c>
      <c r="DR32" s="20">
        <f t="shared" si="16"/>
        <v>294.16906046013281</v>
      </c>
      <c r="DS32" s="59">
        <f t="shared" si="17"/>
        <v>519.17738360462818</v>
      </c>
      <c r="DT32" s="59">
        <f ca="1">AVERAGE(OFFSET($DS$3,0,0,'Données projet'!$E$14+1,1))-AVERAGE(OFFSET($H$3,0,0,'Données projet'!$E$14+1,1))</f>
        <v>590.05965493677377</v>
      </c>
      <c r="DU32" s="59">
        <f t="shared" si="44"/>
        <v>378.40640480134505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51.699239645468438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2">
        <f>'Scénario référence'!$B$16*5+'Scénario référence'!$B$17*0+'Scénario référence'!$B$18*5</f>
        <v>4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14.666666666666666</v>
      </c>
      <c r="H33" s="66">
        <f t="shared" si="1"/>
        <v>159.86666666666667</v>
      </c>
      <c r="I33" s="6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-5.6843418860808015E-14</v>
      </c>
      <c r="O33" s="13">
        <f>N33*VLOOKUP('Données projet'!$B$9,Paramètres!$A$1:$I$89,3,0)*VLOOKUP('Données projet'!$B$9,Paramètres!$A$1:$I$89,5,0)</f>
        <v>-2.9085640562698246E-14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140.03175887621094</v>
      </c>
      <c r="T33" s="59">
        <f t="shared" si="34"/>
        <v>377.29475975964954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70.621334566065727</v>
      </c>
      <c r="AA33" s="21">
        <f>EXP(-LN(2)/25)*AA32+(1-EXP(-LN(2)/25))/(LN(2)/25)*Calculateur!V33*Calculateur!X33*VLOOKUP('Données projet'!$B$9,Paramètres!$A$1:$I$89,3,0)*0.475*44/12</f>
        <v>0</v>
      </c>
      <c r="AB33" s="21">
        <f>EXP(-LN(2)/2)*AB32+(1-EXP(-LN(2)/2))/(LN(2)/2)*V33*Y33*VLOOKUP('Données projet'!$B$9,Paramètres!$A$1:$I$89,3,0)*0.475*44/12</f>
        <v>2.4509314333530097</v>
      </c>
      <c r="AC33" s="22">
        <f t="shared" si="3"/>
        <v>73.072265999418732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-5.6843418860808015E-14</v>
      </c>
      <c r="AJ33" s="13">
        <f>AI33*VLOOKUP('Données projet'!$B$10,Paramètres!$A$1:$I$89,3,0)*VLOOKUP('Données projet'!$B$10,Paramètres!$A$1:$I$89,5,0)</f>
        <v>-2.8642261895583942E-14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138.27364731587764</v>
      </c>
      <c r="AO33" s="59">
        <f t="shared" si="36"/>
        <v>372.50391467700013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69.544789831826904</v>
      </c>
      <c r="AV33" s="21">
        <f>EXP(-LN(2)/25)*AV32+(1-EXP(-LN(2)/25))/(LN(2)/25)*Calculateur!AQ33*Calculateur!AS33*VLOOKUP('Données projet'!$B$10,Paramètres!$A$1:$I$89,3,0)*0.475*44/12</f>
        <v>0</v>
      </c>
      <c r="AW33" s="21">
        <f>EXP(-LN(2)/2)*AW32+(1-EXP(-LN(2)/2))/(LN(2)/2)*AQ33*AT33*VLOOKUP('Données projet'!$B$10,Paramètres!$A$1:$I$89,3,0)*0.475*44/12</f>
        <v>2.4135696736982371</v>
      </c>
      <c r="AX33" s="21">
        <f t="shared" si="6"/>
        <v>71.958359505525138</v>
      </c>
      <c r="AY33" s="7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149</v>
      </c>
      <c r="BB33" s="12">
        <f>VLOOKUP(A33,'Données projet'!$A$87:$I$107,9,0)</f>
        <v>8.1999999999999993</v>
      </c>
      <c r="BC33" s="12">
        <f t="array" ref="BC33">INDEX(BB:BB,MIN(IF(ISNUMBER(BB33:BB229),ROW(BB33:BB229),"")))</f>
        <v>8.1999999999999993</v>
      </c>
      <c r="BD33" s="12">
        <f>IF('Données projet'!$A$88&gt;35,BD32+BC33-BL32,IF(A33&lt;'Données projet'!$A$88,$BA$205^A33,IF(A33='Données projet'!$A$88,'Données projet'!$B$88,BD32+BC33-BL32)))</f>
        <v>149</v>
      </c>
      <c r="BE33" s="13">
        <f>BD33*VLOOKUP('Données projet'!$B$11,Paramètres!$A$1:$I$89,3,0)*VLOOKUP('Données projet'!$B$11,Paramètres!$A$1:$I$89,5,0)</f>
        <v>155.73480000000004</v>
      </c>
      <c r="BF33" s="13">
        <f t="shared" si="37"/>
        <v>39.878980068529806</v>
      </c>
      <c r="BG33" s="20">
        <f t="shared" si="7"/>
        <v>340.6940002860228</v>
      </c>
      <c r="BH33" s="59">
        <f t="shared" si="8"/>
        <v>568.08862900460178</v>
      </c>
      <c r="BI33" s="59">
        <f ca="1">AVERAGE(OFFSET($BH$3,0,0,'Données projet'!$E$11+1,1))-AVERAGE(OFFSET($H$3,0,0,'Données projet'!$E$11+1,1))</f>
        <v>638.07304290599211</v>
      </c>
      <c r="BJ33" s="59">
        <f t="shared" si="38"/>
        <v>408.22196233793511</v>
      </c>
      <c r="BK33" s="15">
        <f>IF(ISNA(VLOOKUP(A33,'Données projet'!$A$87:$I$107,3,0)),0,VLOOKUP(A33,'Données projet'!$A$87:$I$107,3,0))</f>
        <v>2</v>
      </c>
      <c r="BL33" s="15">
        <f>IF(ISNA(VLOOKUP(A33,'Données projet'!$A$87:$I$107,4,0)),0,VLOOKUP(A33,'Données projet'!$A$87:$I$107,4,0))</f>
        <v>56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8.1999999999999993</v>
      </c>
      <c r="BX33" s="12">
        <f t="array" ref="BX33">INDEX(BW:BW,MIN(IF(ISNUMBER(BW33:BW229),ROW(BW33:BW229),"")))</f>
        <v>8.1999999999999993</v>
      </c>
      <c r="BY33" s="12">
        <f>IF('Données projet'!$A$114&gt;35,BY32+BX33-CG32,IF(A33&lt;'Données projet'!$A$114,$BV$205^A33,IF(A33='Données projet'!$A$114,'Données projet'!$B$114,BY32+BX33-CG32)))</f>
        <v>149</v>
      </c>
      <c r="BZ33" s="13">
        <f>BY33*VLOOKUP('Données projet'!$B$12,Paramètres!$A$1:$I$89,3,0)*VLOOKUP('Données projet'!$B$12,Paramètres!$A$1:$I$89,5,0)</f>
        <v>169.68119999999999</v>
      </c>
      <c r="CA33" s="13">
        <f t="shared" si="39"/>
        <v>43.018615192144622</v>
      </c>
      <c r="CB33" s="20">
        <f t="shared" si="10"/>
        <v>370.45217812631859</v>
      </c>
      <c r="CC33" s="59">
        <f t="shared" si="11"/>
        <v>597.84680684489763</v>
      </c>
      <c r="CD33" s="59">
        <f ca="1">AVERAGE(OFFSET($CC$3,0,0,'Données projet'!$E$12+1,1))-AVERAGE(OFFSET($H$3,0,0,'Données projet'!$E$12+1,1))</f>
        <v>685.99951993586967</v>
      </c>
      <c r="CE33" s="59">
        <f t="shared" si="40"/>
        <v>437.98014017823095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149</v>
      </c>
      <c r="CR33" s="12">
        <f>VLOOKUP(A33,'Données projet'!$A$139:$I$159,9,0)</f>
        <v>8.1999999999999993</v>
      </c>
      <c r="CS33" s="12">
        <f t="array" ref="CS33">INDEX(CR:CR,MIN(IF(ISNUMBER(CR33:CR229),ROW(CR33:CR229),"")))</f>
        <v>8.1999999999999993</v>
      </c>
      <c r="CT33" s="12">
        <f>IF('Données projet'!$A$140&gt;35,CT32+CS33-DB32,IF(A33&lt;'Données projet'!$A$140,$CQ$205^A33,IF(A33='Données projet'!$A$140,'Données projet'!$B$140,CT32+CS33-DB32)))</f>
        <v>149</v>
      </c>
      <c r="CU33" s="17">
        <f>CT33*VLOOKUP('Données projet'!$B$13,Paramètres!$A$1:$I$89,3,0)*VLOOKUP('Données projet'!$B$13,Paramètres!$A$1:$I$89,5,0)</f>
        <v>151.08600000000001</v>
      </c>
      <c r="CV33" s="13">
        <f t="shared" si="41"/>
        <v>38.825279304404233</v>
      </c>
      <c r="CW33" s="20">
        <f t="shared" si="13"/>
        <v>330.76214478850403</v>
      </c>
      <c r="CX33" s="59">
        <f t="shared" si="14"/>
        <v>558.15677350708302</v>
      </c>
      <c r="CY33" s="59">
        <f ca="1">AVERAGE(OFFSET($CX$3,0,0,'Données projet'!$E$13+1,1))-AVERAGE(OFFSET($H$3,0,0,'Données projet'!$E$13+1,1))</f>
        <v>622.07867348539082</v>
      </c>
      <c r="CZ33" s="59">
        <f t="shared" si="42"/>
        <v>398.29010684041634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56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0</v>
      </c>
      <c r="DH33" s="21">
        <f>EXP(-LN(2)/2)*DH32+(1-EXP(-LN(2)/2))/(LN(2)/2)*DB33*DE33*VLOOKUP('Données projet'!$B$13,Paramètres!$A$1:$I$89,3,0)*0.475*44/12</f>
        <v>0</v>
      </c>
      <c r="DI33" s="22">
        <f t="shared" si="15"/>
        <v>0</v>
      </c>
      <c r="DJ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149</v>
      </c>
      <c r="DM33" s="12">
        <f>VLOOKUP(A33,'Données projet'!$A$165:$I$185,9,0)</f>
        <v>8.1999999999999993</v>
      </c>
      <c r="DN33" s="12">
        <f t="array" ref="DN33">INDEX(DM:DM,MIN(IF(ISNUMBER(DM33:DM229),ROW(DM33:DM229),"")))</f>
        <v>8.1999999999999993</v>
      </c>
      <c r="DO33" s="12">
        <f>IF('Données projet'!$A$166&gt;35,DO32+DN33-DW32,IF(A33&lt;'Données projet'!$A$166,$DL$205^A33,IF(A33='Données projet'!$A$166,'Données projet'!$B$166,DO32+DN33-DW32)))</f>
        <v>149</v>
      </c>
      <c r="DP33" s="17">
        <f>DO33*VLOOKUP('Données projet'!$B$14,Paramètres!$A$1:$I$89,3,0)*VLOOKUP('Données projet'!$B$14,Paramètres!$A$1:$I$89,5,0)</f>
        <v>141.7884</v>
      </c>
      <c r="DQ33" s="13">
        <f t="shared" si="43"/>
        <v>36.706399664746051</v>
      </c>
      <c r="DR33" s="20">
        <f t="shared" si="16"/>
        <v>310.87844274943268</v>
      </c>
      <c r="DS33" s="59">
        <f t="shared" si="17"/>
        <v>538.27307146801172</v>
      </c>
      <c r="DT33" s="59">
        <f ca="1">AVERAGE(OFFSET($DS$3,0,0,'Données projet'!$E$14+1,1))-AVERAGE(OFFSET($H$3,0,0,'Données projet'!$E$14+1,1))</f>
        <v>590.05965493677377</v>
      </c>
      <c r="DU33" s="59">
        <f t="shared" si="44"/>
        <v>378.40640480134505</v>
      </c>
      <c r="DV33" s="15">
        <f>IF(ISNA(VLOOKUP(A33,'Données projet'!$A$165:$I$185,3,0)),0,VLOOKUP(A33,'Données projet'!$A$165:$I$185,3,0))</f>
        <v>2</v>
      </c>
      <c r="DW33" s="15">
        <f>IF(ISNA(VLOOKUP(A33,'Données projet'!$A$165:$I$185,4,0)),0,VLOOKUP(A33,'Données projet'!$A$165:$I$185,4,0))</f>
        <v>56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0</v>
      </c>
      <c r="EC33" s="21">
        <f>EXP(-LN(2)/2)*EC32+(1-EXP(-LN(2)/2))/(LN(2)/2)*DW33*DZ33*VLOOKUP('Données projet'!$B$14,Paramètres!$A$1:$I$89,3,0)*0.475*44/12</f>
        <v>0</v>
      </c>
      <c r="ED33" s="22">
        <f t="shared" si="18"/>
        <v>0</v>
      </c>
      <c r="EE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52.016716923248822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2">
        <f>'Scénario référence'!$B$16*5+'Scénario référence'!$B$17*0+'Scénario référence'!$B$18*5</f>
        <v>4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14.666666666666666</v>
      </c>
      <c r="H34" s="66">
        <f t="shared" si="1"/>
        <v>159.86666666666667</v>
      </c>
      <c r="I34" s="6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-5.6843418860808015E-14</v>
      </c>
      <c r="O34" s="13">
        <f>N34*VLOOKUP('Données projet'!$B$9,Paramètres!$A$1:$I$89,3,0)*VLOOKUP('Données projet'!$B$9,Paramètres!$A$1:$I$89,5,0)</f>
        <v>-2.9085640562698246E-14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140.03175887621094</v>
      </c>
      <c r="T34" s="59">
        <f t="shared" si="34"/>
        <v>377.29475975964954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69.236493269985985</v>
      </c>
      <c r="AA34" s="21">
        <f>EXP(-LN(2)/25)*AA33+(1-EXP(-LN(2)/25))/(LN(2)/25)*Calculateur!V34*Calculateur!X34*VLOOKUP('Données projet'!$B$9,Paramètres!$A$1:$I$89,3,0)*0.475*44/12</f>
        <v>0</v>
      </c>
      <c r="AB34" s="21">
        <f>EXP(-LN(2)/2)*AB33+(1-EXP(-LN(2)/2))/(LN(2)/2)*V34*Y34*VLOOKUP('Données projet'!$B$9,Paramètres!$A$1:$I$89,3,0)*0.475*44/12</f>
        <v>1.733070236747178</v>
      </c>
      <c r="AC34" s="22">
        <f t="shared" si="3"/>
        <v>70.969563506733166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-5.6843418860808015E-14</v>
      </c>
      <c r="AJ34" s="13">
        <f>AI34*VLOOKUP('Données projet'!$B$10,Paramètres!$A$1:$I$89,3,0)*VLOOKUP('Données projet'!$B$10,Paramètres!$A$1:$I$89,5,0)</f>
        <v>-2.8642261895583942E-14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138.27364731587764</v>
      </c>
      <c r="AO34" s="59">
        <f t="shared" si="36"/>
        <v>372.50391467700013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68.18105892135813</v>
      </c>
      <c r="AV34" s="21">
        <f>EXP(-LN(2)/25)*AV33+(1-EXP(-LN(2)/25))/(LN(2)/25)*Calculateur!AQ34*Calculateur!AS34*VLOOKUP('Données projet'!$B$10,Paramètres!$A$1:$I$89,3,0)*0.475*44/12</f>
        <v>0</v>
      </c>
      <c r="AW34" s="21">
        <f>EXP(-LN(2)/2)*AW33+(1-EXP(-LN(2)/2))/(LN(2)/2)*AQ34*AT34*VLOOKUP('Données projet'!$B$10,Paramètres!$A$1:$I$89,3,0)*0.475*44/12</f>
        <v>1.7066514831382262</v>
      </c>
      <c r="AX34" s="21">
        <f t="shared" si="6"/>
        <v>69.88771040449636</v>
      </c>
      <c r="AY34" s="7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10.999999999999996</v>
      </c>
      <c r="BD34" s="12">
        <f>IF('Données projet'!$A$88&gt;35,BD33+BC34-BL33,IF(A34&lt;'Données projet'!$A$88,$BA$205^A34,IF(A34='Données projet'!$A$88,'Données projet'!$B$88,BD33+BC34-BL33)))</f>
        <v>104</v>
      </c>
      <c r="BE34" s="13">
        <f>BD34*VLOOKUP('Données projet'!$B$11,Paramètres!$A$1:$I$89,3,0)*VLOOKUP('Données projet'!$B$11,Paramètres!$A$1:$I$89,5,0)</f>
        <v>108.70080000000002</v>
      </c>
      <c r="BF34" s="13">
        <f t="shared" si="37"/>
        <v>29.02467157581999</v>
      </c>
      <c r="BG34" s="20">
        <f t="shared" si="7"/>
        <v>239.87186299455311</v>
      </c>
      <c r="BH34" s="59">
        <f t="shared" si="8"/>
        <v>468.41038082133923</v>
      </c>
      <c r="BI34" s="59">
        <f ca="1">AVERAGE(OFFSET($BH$3,0,0,'Données projet'!$E$11+1,1))-AVERAGE(OFFSET($H$3,0,0,'Données projet'!$E$11+1,1))</f>
        <v>638.07304290599211</v>
      </c>
      <c r="BJ34" s="59">
        <f t="shared" si="38"/>
        <v>408.22196233793511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10.999999999999996</v>
      </c>
      <c r="BY34" s="12">
        <f>IF('Données projet'!$A$114&gt;35,BY33+BX34-CG33,IF(A34&lt;'Données projet'!$A$114,$BV$205^A34,IF(A34='Données projet'!$A$114,'Données projet'!$B$114,BY33+BX34-CG33)))</f>
        <v>104</v>
      </c>
      <c r="BZ34" s="13">
        <f>BY34*VLOOKUP('Données projet'!$B$12,Paramètres!$A$1:$I$89,3,0)*VLOOKUP('Données projet'!$B$12,Paramètres!$A$1:$I$89,5,0)</f>
        <v>118.43520000000001</v>
      </c>
      <c r="CA34" s="13">
        <f t="shared" si="39"/>
        <v>31.309757056296963</v>
      </c>
      <c r="CB34" s="20">
        <f t="shared" si="10"/>
        <v>260.80580020638394</v>
      </c>
      <c r="CC34" s="59">
        <f t="shared" si="11"/>
        <v>489.34431803317005</v>
      </c>
      <c r="CD34" s="59">
        <f ca="1">AVERAGE(OFFSET($CC$3,0,0,'Données projet'!$E$12+1,1))-AVERAGE(OFFSET($H$3,0,0,'Données projet'!$E$12+1,1))</f>
        <v>685.99951993586967</v>
      </c>
      <c r="CE34" s="59">
        <f t="shared" si="40"/>
        <v>437.98014017823095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10.999999999999996</v>
      </c>
      <c r="CT34" s="12">
        <f>IF('Données projet'!$A$140&gt;35,CT33+CS34-DB33,IF(A34&lt;'Données projet'!$A$140,$CQ$205^A34,IF(A34='Données projet'!$A$140,'Données projet'!$B$140,CT33+CS34-DB33)))</f>
        <v>104</v>
      </c>
      <c r="CU34" s="17">
        <f>CT34*VLOOKUP('Données projet'!$B$13,Paramètres!$A$1:$I$89,3,0)*VLOOKUP('Données projet'!$B$13,Paramètres!$A$1:$I$89,5,0)</f>
        <v>105.45600000000002</v>
      </c>
      <c r="CV34" s="13">
        <f t="shared" si="41"/>
        <v>28.257768345963573</v>
      </c>
      <c r="CW34" s="20">
        <f t="shared" si="13"/>
        <v>232.88481320255323</v>
      </c>
      <c r="CX34" s="59">
        <f t="shared" si="14"/>
        <v>461.42333102933935</v>
      </c>
      <c r="CY34" s="59">
        <f ca="1">AVERAGE(OFFSET($CX$3,0,0,'Données projet'!$E$13+1,1))-AVERAGE(OFFSET($H$3,0,0,'Données projet'!$E$13+1,1))</f>
        <v>622.07867348539082</v>
      </c>
      <c r="CZ34" s="59">
        <f t="shared" si="42"/>
        <v>398.29010684041634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0</v>
      </c>
      <c r="DH34" s="21">
        <f>EXP(-LN(2)/2)*DH33+(1-EXP(-LN(2)/2))/(LN(2)/2)*DB34*DE34*VLOOKUP('Données projet'!$B$13,Paramètres!$A$1:$I$89,3,0)*0.475*44/12</f>
        <v>0</v>
      </c>
      <c r="DI34" s="22">
        <f t="shared" si="15"/>
        <v>0</v>
      </c>
      <c r="DJ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10.999999999999996</v>
      </c>
      <c r="DO34" s="12">
        <f>IF('Données projet'!$A$166&gt;35,DO33+DN34-DW33,IF(A34&lt;'Données projet'!$A$166,$DL$205^A34,IF(A34='Données projet'!$A$166,'Données projet'!$B$166,DO33+DN34-DW33)))</f>
        <v>104</v>
      </c>
      <c r="DP34" s="17">
        <f>DO34*VLOOKUP('Données projet'!$B$14,Paramètres!$A$1:$I$89,3,0)*VLOOKUP('Données projet'!$B$14,Paramètres!$A$1:$I$89,5,0)</f>
        <v>98.966399999999993</v>
      </c>
      <c r="DQ34" s="13">
        <f t="shared" si="43"/>
        <v>26.715607900934952</v>
      </c>
      <c r="DR34" s="20">
        <f t="shared" si="16"/>
        <v>218.89616376079505</v>
      </c>
      <c r="DS34" s="59">
        <f t="shared" si="17"/>
        <v>447.43468158758117</v>
      </c>
      <c r="DT34" s="59">
        <f ca="1">AVERAGE(OFFSET($DS$3,0,0,'Données projet'!$E$14+1,1))-AVERAGE(OFFSET($H$3,0,0,'Données projet'!$E$14+1,1))</f>
        <v>590.05965493677377</v>
      </c>
      <c r="DU34" s="59">
        <f t="shared" si="44"/>
        <v>378.40640480134505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0</v>
      </c>
      <c r="EC34" s="21">
        <f>EXP(-LN(2)/2)*EC33+(1-EXP(-LN(2)/2))/(LN(2)/2)*DW34*DZ34*VLOOKUP('Données projet'!$B$14,Paramètres!$A$1:$I$89,3,0)*0.475*44/12</f>
        <v>0</v>
      </c>
      <c r="ED34" s="22">
        <f t="shared" si="18"/>
        <v>0</v>
      </c>
      <c r="EE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52.328686680032583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2">
        <f>'Scénario référence'!$B$16*5+'Scénario référence'!$B$17*0+'Scénario référence'!$B$18*5</f>
        <v>4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14.666666666666666</v>
      </c>
      <c r="H35" s="66">
        <f t="shared" si="1"/>
        <v>159.86666666666667</v>
      </c>
      <c r="I35" s="6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-5.6843418860808015E-14</v>
      </c>
      <c r="O35" s="13">
        <f>N35*VLOOKUP('Données projet'!$B$9,Paramètres!$A$1:$I$89,3,0)*VLOOKUP('Données projet'!$B$9,Paramètres!$A$1:$I$89,5,0)</f>
        <v>-2.9085640562698246E-14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140.03175887621094</v>
      </c>
      <c r="T35" s="59">
        <f t="shared" si="34"/>
        <v>377.29475975964954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67.878807867052586</v>
      </c>
      <c r="AA35" s="21">
        <f>EXP(-LN(2)/25)*AA34+(1-EXP(-LN(2)/25))/(LN(2)/25)*Calculateur!V35*Calculateur!X35*VLOOKUP('Données projet'!$B$9,Paramètres!$A$1:$I$89,3,0)*0.475*44/12</f>
        <v>0</v>
      </c>
      <c r="AB35" s="21">
        <f>EXP(-LN(2)/2)*AB34+(1-EXP(-LN(2)/2))/(LN(2)/2)*V35*Y35*VLOOKUP('Données projet'!$B$9,Paramètres!$A$1:$I$89,3,0)*0.475*44/12</f>
        <v>1.2254657166765051</v>
      </c>
      <c r="AC35" s="22">
        <f t="shared" si="3"/>
        <v>69.104273583729096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-5.6843418860808015E-14</v>
      </c>
      <c r="AJ35" s="13">
        <f>AI35*VLOOKUP('Données projet'!$B$10,Paramètres!$A$1:$I$89,3,0)*VLOOKUP('Données projet'!$B$10,Paramètres!$A$1:$I$89,5,0)</f>
        <v>-2.8642261895583942E-14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138.27364731587764</v>
      </c>
      <c r="AO35" s="59">
        <f t="shared" si="36"/>
        <v>372.50391467700013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66.844069942249931</v>
      </c>
      <c r="AV35" s="21">
        <f>EXP(-LN(2)/25)*AV34+(1-EXP(-LN(2)/25))/(LN(2)/25)*Calculateur!AQ35*Calculateur!AS35*VLOOKUP('Données projet'!$B$10,Paramètres!$A$1:$I$89,3,0)*0.475*44/12</f>
        <v>0</v>
      </c>
      <c r="AW35" s="21">
        <f>EXP(-LN(2)/2)*AW34+(1-EXP(-LN(2)/2))/(LN(2)/2)*AQ35*AT35*VLOOKUP('Données projet'!$B$10,Paramètres!$A$1:$I$89,3,0)*0.475*44/12</f>
        <v>1.2067848368491185</v>
      </c>
      <c r="AX35" s="21">
        <f t="shared" si="6"/>
        <v>68.050854779099055</v>
      </c>
      <c r="AY35" s="7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10.999999999999996</v>
      </c>
      <c r="BD35" s="12">
        <f>IF('Données projet'!$A$88&gt;35,BD34+BC35-BL34,IF(A35&lt;'Données projet'!$A$88,$BA$205^A35,IF(A35='Données projet'!$A$88,'Données projet'!$B$88,BD34+BC35-BL34)))</f>
        <v>115</v>
      </c>
      <c r="BE35" s="13">
        <f>BD35*VLOOKUP('Données projet'!$B$11,Paramètres!$A$1:$I$89,3,0)*VLOOKUP('Données projet'!$B$11,Paramètres!$A$1:$I$89,5,0)</f>
        <v>120.19800000000002</v>
      </c>
      <c r="BF35" s="13">
        <f t="shared" si="37"/>
        <v>31.721175110625282</v>
      </c>
      <c r="BG35" s="20">
        <f t="shared" si="7"/>
        <v>264.59256331767239</v>
      </c>
      <c r="BH35" s="59">
        <f t="shared" si="8"/>
        <v>494.25512633399114</v>
      </c>
      <c r="BI35" s="59">
        <f ca="1">AVERAGE(OFFSET($BH$3,0,0,'Données projet'!$E$11+1,1))-AVERAGE(OFFSET($H$3,0,0,'Données projet'!$E$11+1,1))</f>
        <v>638.07304290599211</v>
      </c>
      <c r="BJ35" s="59">
        <f t="shared" si="38"/>
        <v>408.22196233793511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10.999999999999996</v>
      </c>
      <c r="BY35" s="12">
        <f>IF('Données projet'!$A$114&gt;35,BY34+BX35-CG34,IF(A35&lt;'Données projet'!$A$114,$BV$205^A35,IF(A35='Données projet'!$A$114,'Données projet'!$B$114,BY34+BX35-CG34)))</f>
        <v>115</v>
      </c>
      <c r="BZ35" s="13">
        <f>BY35*VLOOKUP('Données projet'!$B$12,Paramètres!$A$1:$I$89,3,0)*VLOOKUP('Données projet'!$B$12,Paramètres!$A$1:$I$89,5,0)</f>
        <v>130.96200000000002</v>
      </c>
      <c r="CA35" s="13">
        <f t="shared" si="39"/>
        <v>34.218553814105427</v>
      </c>
      <c r="CB35" s="20">
        <f t="shared" si="10"/>
        <v>287.689464559567</v>
      </c>
      <c r="CC35" s="59">
        <f t="shared" si="11"/>
        <v>517.35202757588581</v>
      </c>
      <c r="CD35" s="59">
        <f ca="1">AVERAGE(OFFSET($CC$3,0,0,'Données projet'!$E$12+1,1))-AVERAGE(OFFSET($H$3,0,0,'Données projet'!$E$12+1,1))</f>
        <v>685.99951993586967</v>
      </c>
      <c r="CE35" s="59">
        <f t="shared" si="40"/>
        <v>437.98014017823095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10.999999999999996</v>
      </c>
      <c r="CT35" s="12">
        <f>IF('Données projet'!$A$140&gt;35,CT34+CS35-DB34,IF(A35&lt;'Données projet'!$A$140,$CQ$205^A35,IF(A35='Données projet'!$A$140,'Données projet'!$B$140,CT34+CS35-DB34)))</f>
        <v>115</v>
      </c>
      <c r="CU35" s="17">
        <f>CT35*VLOOKUP('Données projet'!$B$13,Paramètres!$A$1:$I$89,3,0)*VLOOKUP('Données projet'!$B$13,Paramètres!$A$1:$I$89,5,0)</f>
        <v>116.61</v>
      </c>
      <c r="CV35" s="13">
        <f t="shared" si="41"/>
        <v>30.883023623410974</v>
      </c>
      <c r="CW35" s="20">
        <f t="shared" si="13"/>
        <v>256.88368281077413</v>
      </c>
      <c r="CX35" s="59">
        <f t="shared" si="14"/>
        <v>486.54624582709289</v>
      </c>
      <c r="CY35" s="59">
        <f ca="1">AVERAGE(OFFSET($CX$3,0,0,'Données projet'!$E$13+1,1))-AVERAGE(OFFSET($H$3,0,0,'Données projet'!$E$13+1,1))</f>
        <v>622.07867348539082</v>
      </c>
      <c r="CZ35" s="59">
        <f t="shared" si="42"/>
        <v>398.29010684041634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0</v>
      </c>
      <c r="DH35" s="21">
        <f>EXP(-LN(2)/2)*DH34+(1-EXP(-LN(2)/2))/(LN(2)/2)*DB35*DE35*VLOOKUP('Données projet'!$B$13,Paramètres!$A$1:$I$89,3,0)*0.475*44/12</f>
        <v>0</v>
      </c>
      <c r="DI35" s="22">
        <f t="shared" si="15"/>
        <v>0</v>
      </c>
      <c r="DJ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10.999999999999996</v>
      </c>
      <c r="DO35" s="12">
        <f>IF('Données projet'!$A$166&gt;35,DO34+DN35-DW34,IF(A35&lt;'Données projet'!$A$166,$DL$205^A35,IF(A35='Données projet'!$A$166,'Données projet'!$B$166,DO34+DN35-DW34)))</f>
        <v>115</v>
      </c>
      <c r="DP35" s="17">
        <f>DO35*VLOOKUP('Données projet'!$B$14,Paramètres!$A$1:$I$89,3,0)*VLOOKUP('Données projet'!$B$14,Paramètres!$A$1:$I$89,5,0)</f>
        <v>109.434</v>
      </c>
      <c r="DQ35" s="13">
        <f t="shared" si="43"/>
        <v>29.197590546325447</v>
      </c>
      <c r="DR35" s="20">
        <f t="shared" si="16"/>
        <v>241.45002020151682</v>
      </c>
      <c r="DS35" s="59">
        <f t="shared" si="17"/>
        <v>471.11258321783561</v>
      </c>
      <c r="DT35" s="59">
        <f ca="1">AVERAGE(OFFSET($DS$3,0,0,'Données projet'!$E$14+1,1))-AVERAGE(OFFSET($H$3,0,0,'Données projet'!$E$14+1,1))</f>
        <v>590.05965493677377</v>
      </c>
      <c r="DU35" s="59">
        <f t="shared" si="44"/>
        <v>378.40640480134505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0</v>
      </c>
      <c r="EC35" s="21">
        <f>EXP(-LN(2)/2)*EC34+(1-EXP(-LN(2)/2))/(LN(2)/2)*DW35*DZ35*VLOOKUP('Données projet'!$B$14,Paramètres!$A$1:$I$89,3,0)*0.475*44/12</f>
        <v>0</v>
      </c>
      <c r="ED35" s="22">
        <f t="shared" si="18"/>
        <v>0</v>
      </c>
      <c r="EE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52.635244458996027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2">
        <f>'Scénario référence'!$B$16*5+'Scénario référence'!$B$17*0+'Scénario référence'!$B$18*5</f>
        <v>4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14.666666666666666</v>
      </c>
      <c r="H36" s="66">
        <f t="shared" si="1"/>
        <v>159.86666666666667</v>
      </c>
      <c r="I36" s="6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-5.6843418860808015E-14</v>
      </c>
      <c r="O36" s="13">
        <f>N36*VLOOKUP('Données projet'!$B$9,Paramètres!$A$1:$I$89,3,0)*VLOOKUP('Données projet'!$B$9,Paramètres!$A$1:$I$89,5,0)</f>
        <v>-2.9085640562698246E-14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140.03175887621094</v>
      </c>
      <c r="T36" s="59">
        <f t="shared" si="34"/>
        <v>377.29475975964954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66.547745846764371</v>
      </c>
      <c r="AA36" s="21">
        <f>EXP(-LN(2)/25)*AA35+(1-EXP(-LN(2)/25))/(LN(2)/25)*Calculateur!V36*Calculateur!X36*VLOOKUP('Données projet'!$B$9,Paramètres!$A$1:$I$89,3,0)*0.475*44/12</f>
        <v>0</v>
      </c>
      <c r="AB36" s="21">
        <f>EXP(-LN(2)/2)*AB35+(1-EXP(-LN(2)/2))/(LN(2)/2)*V36*Y36*VLOOKUP('Données projet'!$B$9,Paramètres!$A$1:$I$89,3,0)*0.475*44/12</f>
        <v>0.86653511837358921</v>
      </c>
      <c r="AC36" s="22">
        <f t="shared" si="3"/>
        <v>67.414280965137962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-5.6843418860808015E-14</v>
      </c>
      <c r="AJ36" s="13">
        <f>AI36*VLOOKUP('Données projet'!$B$10,Paramètres!$A$1:$I$89,3,0)*VLOOKUP('Données projet'!$B$10,Paramètres!$A$1:$I$89,5,0)</f>
        <v>-2.8642261895583942E-14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138.27364731587764</v>
      </c>
      <c r="AO36" s="59">
        <f t="shared" si="36"/>
        <v>372.50391467700013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65.533298501539292</v>
      </c>
      <c r="AV36" s="21">
        <f>EXP(-LN(2)/25)*AV35+(1-EXP(-LN(2)/25))/(LN(2)/25)*Calculateur!AQ36*Calculateur!AS36*VLOOKUP('Données projet'!$B$10,Paramètres!$A$1:$I$89,3,0)*0.475*44/12</f>
        <v>0</v>
      </c>
      <c r="AW36" s="21">
        <f>EXP(-LN(2)/2)*AW35+(1-EXP(-LN(2)/2))/(LN(2)/2)*AQ36*AT36*VLOOKUP('Données projet'!$B$10,Paramètres!$A$1:$I$89,3,0)*0.475*44/12</f>
        <v>0.85332574156911312</v>
      </c>
      <c r="AX36" s="21">
        <f t="shared" si="6"/>
        <v>66.3866242431084</v>
      </c>
      <c r="AY36" s="7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10.999999999999996</v>
      </c>
      <c r="BD36" s="12">
        <f>IF('Données projet'!$A$88&gt;35,BD35+BC36-BL35,IF(A36&lt;'Données projet'!$A$88,$BA$205^A36,IF(A36='Données projet'!$A$88,'Données projet'!$B$88,BD35+BC36-BL35)))</f>
        <v>126</v>
      </c>
      <c r="BE36" s="13">
        <f>BD36*VLOOKUP('Données projet'!$B$11,Paramètres!$A$1:$I$89,3,0)*VLOOKUP('Données projet'!$B$11,Paramètres!$A$1:$I$89,5,0)</f>
        <v>131.6952</v>
      </c>
      <c r="BF36" s="13">
        <f t="shared" si="37"/>
        <v>34.387774432362242</v>
      </c>
      <c r="BG36" s="20">
        <f t="shared" si="7"/>
        <v>289.26118046969754</v>
      </c>
      <c r="BH36" s="59">
        <f t="shared" si="8"/>
        <v>520.02828900449913</v>
      </c>
      <c r="BI36" s="59">
        <f ca="1">AVERAGE(OFFSET($BH$3,0,0,'Données projet'!$E$11+1,1))-AVERAGE(OFFSET($H$3,0,0,'Données projet'!$E$11+1,1))</f>
        <v>638.07304290599211</v>
      </c>
      <c r="BJ36" s="59">
        <f t="shared" si="38"/>
        <v>408.22196233793511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10.999999999999996</v>
      </c>
      <c r="BY36" s="12">
        <f>IF('Données projet'!$A$114&gt;35,BY35+BX36-CG35,IF(A36&lt;'Données projet'!$A$114,$BV$205^A36,IF(A36='Données projet'!$A$114,'Données projet'!$B$114,BY35+BX36-CG35)))</f>
        <v>126</v>
      </c>
      <c r="BZ36" s="13">
        <f>BY36*VLOOKUP('Données projet'!$B$12,Paramètres!$A$1:$I$89,3,0)*VLOOKUP('Données projet'!$B$12,Paramètres!$A$1:$I$89,5,0)</f>
        <v>143.4888</v>
      </c>
      <c r="CA36" s="13">
        <f t="shared" si="39"/>
        <v>37.095092027878884</v>
      </c>
      <c r="CB36" s="20">
        <f t="shared" si="10"/>
        <v>314.51694528188904</v>
      </c>
      <c r="CC36" s="59">
        <f t="shared" si="11"/>
        <v>545.28405381669063</v>
      </c>
      <c r="CD36" s="59">
        <f ca="1">AVERAGE(OFFSET($CC$3,0,0,'Données projet'!$E$12+1,1))-AVERAGE(OFFSET($H$3,0,0,'Données projet'!$E$12+1,1))</f>
        <v>685.99951993586967</v>
      </c>
      <c r="CE36" s="59">
        <f t="shared" si="40"/>
        <v>437.98014017823095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10.999999999999996</v>
      </c>
      <c r="CT36" s="12">
        <f>IF('Données projet'!$A$140&gt;35,CT35+CS36-DB35,IF(A36&lt;'Données projet'!$A$140,$CQ$205^A36,IF(A36='Données projet'!$A$140,'Données projet'!$B$140,CT35+CS36-DB35)))</f>
        <v>126</v>
      </c>
      <c r="CU36" s="17">
        <f>CT36*VLOOKUP('Données projet'!$B$13,Paramètres!$A$1:$I$89,3,0)*VLOOKUP('Données projet'!$B$13,Paramètres!$A$1:$I$89,5,0)</f>
        <v>127.76400000000001</v>
      </c>
      <c r="CV36" s="13">
        <f t="shared" si="41"/>
        <v>33.479164830670051</v>
      </c>
      <c r="CW36" s="20">
        <f t="shared" si="13"/>
        <v>280.83184541341694</v>
      </c>
      <c r="CX36" s="59">
        <f t="shared" si="14"/>
        <v>511.59895394821854</v>
      </c>
      <c r="CY36" s="59">
        <f ca="1">AVERAGE(OFFSET($CX$3,0,0,'Données projet'!$E$13+1,1))-AVERAGE(OFFSET($H$3,0,0,'Données projet'!$E$13+1,1))</f>
        <v>622.07867348539082</v>
      </c>
      <c r="CZ36" s="59">
        <f t="shared" si="42"/>
        <v>398.29010684041634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0</v>
      </c>
      <c r="DH36" s="21">
        <f>EXP(-LN(2)/2)*DH35+(1-EXP(-LN(2)/2))/(LN(2)/2)*DB36*DE36*VLOOKUP('Données projet'!$B$13,Paramètres!$A$1:$I$89,3,0)*0.475*44/12</f>
        <v>0</v>
      </c>
      <c r="DI36" s="22">
        <f t="shared" si="15"/>
        <v>0</v>
      </c>
      <c r="DJ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10.999999999999996</v>
      </c>
      <c r="DO36" s="12">
        <f>IF('Données projet'!$A$166&gt;35,DO35+DN36-DW35,IF(A36&lt;'Données projet'!$A$166,$DL$205^A36,IF(A36='Données projet'!$A$166,'Données projet'!$B$166,DO35+DN36-DW35)))</f>
        <v>126</v>
      </c>
      <c r="DP36" s="17">
        <f>DO36*VLOOKUP('Données projet'!$B$14,Paramètres!$A$1:$I$89,3,0)*VLOOKUP('Données projet'!$B$14,Paramètres!$A$1:$I$89,5,0)</f>
        <v>119.9016</v>
      </c>
      <c r="DQ36" s="13">
        <f t="shared" si="43"/>
        <v>31.652048014425535</v>
      </c>
      <c r="DR36" s="20">
        <f t="shared" si="16"/>
        <v>263.95593695845781</v>
      </c>
      <c r="DS36" s="59">
        <f t="shared" si="17"/>
        <v>494.72304549325941</v>
      </c>
      <c r="DT36" s="59">
        <f ca="1">AVERAGE(OFFSET($DS$3,0,0,'Données projet'!$E$14+1,1))-AVERAGE(OFFSET($H$3,0,0,'Données projet'!$E$14+1,1))</f>
        <v>590.05965493677377</v>
      </c>
      <c r="DU36" s="59">
        <f t="shared" si="44"/>
        <v>378.40640480134505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0</v>
      </c>
      <c r="EC36" s="21">
        <f>EXP(-LN(2)/2)*EC35+(1-EXP(-LN(2)/2))/(LN(2)/2)*DW36*DZ36*VLOOKUP('Données projet'!$B$14,Paramètres!$A$1:$I$89,3,0)*0.475*44/12</f>
        <v>0</v>
      </c>
      <c r="ED36" s="22">
        <f t="shared" si="18"/>
        <v>0</v>
      </c>
      <c r="EE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52.936484145854983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2">
        <f>'Scénario référence'!$B$16*5+'Scénario référence'!$B$17*0+'Scénario référence'!$B$18*5</f>
        <v>4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14.666666666666666</v>
      </c>
      <c r="H37" s="66">
        <f t="shared" si="1"/>
        <v>159.86666666666667</v>
      </c>
      <c r="I37" s="6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-5.6843418860808015E-14</v>
      </c>
      <c r="O37" s="13">
        <f>N37*VLOOKUP('Données projet'!$B$9,Paramètres!$A$1:$I$89,3,0)*VLOOKUP('Données projet'!$B$9,Paramètres!$A$1:$I$89,5,0)</f>
        <v>-2.9085640562698246E-14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140.03175887621094</v>
      </c>
      <c r="T37" s="59">
        <f t="shared" si="34"/>
        <v>377.29475975964954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65.242785140826342</v>
      </c>
      <c r="AA37" s="21">
        <f>EXP(-LN(2)/25)*AA36+(1-EXP(-LN(2)/25))/(LN(2)/25)*Calculateur!V37*Calculateur!X37*VLOOKUP('Données projet'!$B$9,Paramètres!$A$1:$I$89,3,0)*0.475*44/12</f>
        <v>0</v>
      </c>
      <c r="AB37" s="21">
        <f>EXP(-LN(2)/2)*AB36+(1-EXP(-LN(2)/2))/(LN(2)/2)*V37*Y37*VLOOKUP('Données projet'!$B$9,Paramètres!$A$1:$I$89,3,0)*0.475*44/12</f>
        <v>0.61273285833825264</v>
      </c>
      <c r="AC37" s="22">
        <f t="shared" si="3"/>
        <v>65.85551799916459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-5.6843418860808015E-14</v>
      </c>
      <c r="AJ37" s="13">
        <f>AI37*VLOOKUP('Données projet'!$B$10,Paramètres!$A$1:$I$89,3,0)*VLOOKUP('Données projet'!$B$10,Paramètres!$A$1:$I$89,5,0)</f>
        <v>-2.8642261895583942E-14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138.27364731587764</v>
      </c>
      <c r="AO37" s="59">
        <f t="shared" si="36"/>
        <v>372.50391467700013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64.248230489289341</v>
      </c>
      <c r="AV37" s="21">
        <f>EXP(-LN(2)/25)*AV36+(1-EXP(-LN(2)/25))/(LN(2)/25)*Calculateur!AQ37*Calculateur!AS37*VLOOKUP('Données projet'!$B$10,Paramètres!$A$1:$I$89,3,0)*0.475*44/12</f>
        <v>0</v>
      </c>
      <c r="AW37" s="21">
        <f>EXP(-LN(2)/2)*AW36+(1-EXP(-LN(2)/2))/(LN(2)/2)*AQ37*AT37*VLOOKUP('Données projet'!$B$10,Paramètres!$A$1:$I$89,3,0)*0.475*44/12</f>
        <v>0.60339241842455926</v>
      </c>
      <c r="AX37" s="21">
        <f t="shared" si="6"/>
        <v>64.851622907713903</v>
      </c>
      <c r="AY37" s="7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10.999999999999996</v>
      </c>
      <c r="BD37" s="12">
        <f>IF('Données projet'!$A$88&gt;35,BD36+BC37-BL36,IF(A37&lt;'Données projet'!$A$88,$BA$205^A37,IF(A37='Données projet'!$A$88,'Données projet'!$B$88,BD36+BC37-BL36)))</f>
        <v>137</v>
      </c>
      <c r="BE37" s="13">
        <f>BD37*VLOOKUP('Données projet'!$B$11,Paramètres!$A$1:$I$89,3,0)*VLOOKUP('Données projet'!$B$11,Paramètres!$A$1:$I$89,5,0)</f>
        <v>143.19240000000002</v>
      </c>
      <c r="BF37" s="13">
        <f t="shared" si="37"/>
        <v>37.027377071278792</v>
      </c>
      <c r="BG37" s="20">
        <f t="shared" si="7"/>
        <v>313.88277839914394</v>
      </c>
      <c r="BH37" s="59">
        <f t="shared" si="8"/>
        <v>545.73527105707649</v>
      </c>
      <c r="BI37" s="59">
        <f ca="1">AVERAGE(OFFSET($BH$3,0,0,'Données projet'!$E$11+1,1))-AVERAGE(OFFSET($H$3,0,0,'Données projet'!$E$11+1,1))</f>
        <v>638.07304290599211</v>
      </c>
      <c r="BJ37" s="59">
        <f t="shared" si="38"/>
        <v>408.22196233793511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10.999999999999996</v>
      </c>
      <c r="BY37" s="12">
        <f>IF('Données projet'!$A$114&gt;35,BY36+BX37-CG36,IF(A37&lt;'Données projet'!$A$114,$BV$205^A37,IF(A37='Données projet'!$A$114,'Données projet'!$B$114,BY36+BX37-CG36)))</f>
        <v>137</v>
      </c>
      <c r="BZ37" s="13">
        <f>BY37*VLOOKUP('Données projet'!$B$12,Paramètres!$A$1:$I$89,3,0)*VLOOKUP('Données projet'!$B$12,Paramètres!$A$1:$I$89,5,0)</f>
        <v>156.01559999999998</v>
      </c>
      <c r="CA37" s="13">
        <f t="shared" si="39"/>
        <v>39.942508135025747</v>
      </c>
      <c r="CB37" s="20">
        <f t="shared" si="10"/>
        <v>341.29370500183649</v>
      </c>
      <c r="CC37" s="59">
        <f t="shared" si="11"/>
        <v>573.14619765976909</v>
      </c>
      <c r="CD37" s="59">
        <f ca="1">AVERAGE(OFFSET($CC$3,0,0,'Données projet'!$E$12+1,1))-AVERAGE(OFFSET($H$3,0,0,'Données projet'!$E$12+1,1))</f>
        <v>685.99951993586967</v>
      </c>
      <c r="CE37" s="59">
        <f t="shared" si="40"/>
        <v>437.98014017823095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10.999999999999996</v>
      </c>
      <c r="CT37" s="12">
        <f>IF('Données projet'!$A$140&gt;35,CT36+CS37-DB36,IF(A37&lt;'Données projet'!$A$140,$CQ$205^A37,IF(A37='Données projet'!$A$140,'Données projet'!$B$140,CT36+CS37-DB36)))</f>
        <v>137</v>
      </c>
      <c r="CU37" s="17">
        <f>CT37*VLOOKUP('Données projet'!$B$13,Paramètres!$A$1:$I$89,3,0)*VLOOKUP('Données projet'!$B$13,Paramètres!$A$1:$I$89,5,0)</f>
        <v>138.91800000000001</v>
      </c>
      <c r="CV37" s="13">
        <f t="shared" si="41"/>
        <v>36.049022673886341</v>
      </c>
      <c r="CW37" s="20">
        <f t="shared" si="13"/>
        <v>304.73423115701871</v>
      </c>
      <c r="CX37" s="59">
        <f t="shared" si="14"/>
        <v>536.58672381495126</v>
      </c>
      <c r="CY37" s="59">
        <f ca="1">AVERAGE(OFFSET($CX$3,0,0,'Données projet'!$E$13+1,1))-AVERAGE(OFFSET($H$3,0,0,'Données projet'!$E$13+1,1))</f>
        <v>622.07867348539082</v>
      </c>
      <c r="CZ37" s="59">
        <f t="shared" si="42"/>
        <v>398.29010684041634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0</v>
      </c>
      <c r="DH37" s="21">
        <f>EXP(-LN(2)/2)*DH36+(1-EXP(-LN(2)/2))/(LN(2)/2)*DB37*DE37*VLOOKUP('Données projet'!$B$13,Paramètres!$A$1:$I$89,3,0)*0.475*44/12</f>
        <v>0</v>
      </c>
      <c r="DI37" s="22">
        <f t="shared" si="15"/>
        <v>0</v>
      </c>
      <c r="DJ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10.999999999999996</v>
      </c>
      <c r="DO37" s="12">
        <f>IF('Données projet'!$A$166&gt;35,DO36+DN37-DW36,IF(A37&lt;'Données projet'!$A$166,$DL$205^A37,IF(A37='Données projet'!$A$166,'Données projet'!$B$166,DO36+DN37-DW36)))</f>
        <v>137</v>
      </c>
      <c r="DP37" s="17">
        <f>DO37*VLOOKUP('Données projet'!$B$14,Paramètres!$A$1:$I$89,3,0)*VLOOKUP('Données projet'!$B$14,Paramètres!$A$1:$I$89,5,0)</f>
        <v>130.36920000000001</v>
      </c>
      <c r="DQ37" s="13">
        <f t="shared" si="43"/>
        <v>34.081656526320486</v>
      </c>
      <c r="DR37" s="20">
        <f t="shared" si="16"/>
        <v>286.41857511667479</v>
      </c>
      <c r="DS37" s="59">
        <f t="shared" si="17"/>
        <v>518.27106777460733</v>
      </c>
      <c r="DT37" s="59">
        <f ca="1">AVERAGE(OFFSET($DS$3,0,0,'Données projet'!$E$14+1,1))-AVERAGE(OFFSET($H$3,0,0,'Données projet'!$E$14+1,1))</f>
        <v>590.05965493677377</v>
      </c>
      <c r="DU37" s="59">
        <f t="shared" si="44"/>
        <v>378.40640480134505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0</v>
      </c>
      <c r="EC37" s="21">
        <f>EXP(-LN(2)/2)*EC36+(1-EXP(-LN(2)/2))/(LN(2)/2)*DW37*DZ37*VLOOKUP('Données projet'!$B$14,Paramètres!$A$1:$I$89,3,0)*0.475*44/12</f>
        <v>0</v>
      </c>
      <c r="ED37" s="22">
        <f t="shared" si="18"/>
        <v>0</v>
      </c>
      <c r="EE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53.232497997617976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2">
        <f>'Scénario référence'!$B$16*5+'Scénario référence'!$B$17*0+'Scénario référence'!$B$18*5</f>
        <v>4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14.666666666666666</v>
      </c>
      <c r="H38" s="66">
        <f t="shared" si="1"/>
        <v>159.86666666666667</v>
      </c>
      <c r="I38" s="6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-5.6843418860808015E-14</v>
      </c>
      <c r="O38" s="13">
        <f>N38*VLOOKUP('Données projet'!$B$9,Paramètres!$A$1:$I$89,3,0)*VLOOKUP('Données projet'!$B$9,Paramètres!$A$1:$I$89,5,0)</f>
        <v>-2.9085640562698246E-14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140.03175887621094</v>
      </c>
      <c r="T38" s="59">
        <f t="shared" si="34"/>
        <v>377.29475975964954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63.963413918384326</v>
      </c>
      <c r="AA38" s="21">
        <f>EXP(-LN(2)/25)*AA37+(1-EXP(-LN(2)/25))/(LN(2)/25)*Calculateur!V38*Calculateur!X38*VLOOKUP('Données projet'!$B$9,Paramètres!$A$1:$I$89,3,0)*0.475*44/12</f>
        <v>0</v>
      </c>
      <c r="AB38" s="21">
        <f>EXP(-LN(2)/2)*AB37+(1-EXP(-LN(2)/2))/(LN(2)/2)*V38*Y38*VLOOKUP('Données projet'!$B$9,Paramètres!$A$1:$I$89,3,0)*0.475*44/12</f>
        <v>0.43326755918679466</v>
      </c>
      <c r="AC38" s="22">
        <f t="shared" si="3"/>
        <v>64.396681477571121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-5.6843418860808015E-14</v>
      </c>
      <c r="AJ38" s="13">
        <f>AI38*VLOOKUP('Données projet'!$B$10,Paramètres!$A$1:$I$89,3,0)*VLOOKUP('Données projet'!$B$10,Paramètres!$A$1:$I$89,5,0)</f>
        <v>-2.8642261895583942E-14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138.27364731587764</v>
      </c>
      <c r="AO38" s="59">
        <f t="shared" si="36"/>
        <v>372.50391467700013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62.988361876945525</v>
      </c>
      <c r="AV38" s="21">
        <f>EXP(-LN(2)/25)*AV37+(1-EXP(-LN(2)/25))/(LN(2)/25)*Calculateur!AQ38*Calculateur!AS38*VLOOKUP('Données projet'!$B$10,Paramètres!$A$1:$I$89,3,0)*0.475*44/12</f>
        <v>0</v>
      </c>
      <c r="AW38" s="21">
        <f>EXP(-LN(2)/2)*AW37+(1-EXP(-LN(2)/2))/(LN(2)/2)*AQ38*AT38*VLOOKUP('Données projet'!$B$10,Paramètres!$A$1:$I$89,3,0)*0.475*44/12</f>
        <v>0.42666287078455656</v>
      </c>
      <c r="AX38" s="21">
        <f t="shared" si="6"/>
        <v>63.415024747730079</v>
      </c>
      <c r="AY38" s="7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10.999999999999996</v>
      </c>
      <c r="BD38" s="12">
        <f>IF('Données projet'!$A$88&gt;35,BD37+BC38-BL37,IF(A38&lt;'Données projet'!$A$88,$BA$205^A38,IF(A38='Données projet'!$A$88,'Données projet'!$B$88,BD37+BC38-BL37)))</f>
        <v>148</v>
      </c>
      <c r="BE38" s="13">
        <f>BD38*VLOOKUP('Données projet'!$B$11,Paramètres!$A$1:$I$89,3,0)*VLOOKUP('Données projet'!$B$11,Paramètres!$A$1:$I$89,5,0)</f>
        <v>154.68960000000001</v>
      </c>
      <c r="BF38" s="13">
        <f t="shared" si="37"/>
        <v>39.64239708177282</v>
      </c>
      <c r="BG38" s="20">
        <f t="shared" si="7"/>
        <v>338.46156158408763</v>
      </c>
      <c r="BH38" s="59">
        <f t="shared" si="8"/>
        <v>571.38060937717023</v>
      </c>
      <c r="BI38" s="59">
        <f ca="1">AVERAGE(OFFSET($BH$3,0,0,'Données projet'!$E$11+1,1))-AVERAGE(OFFSET($H$3,0,0,'Données projet'!$E$11+1,1))</f>
        <v>638.07304290599211</v>
      </c>
      <c r="BJ38" s="59">
        <f t="shared" si="38"/>
        <v>408.22196233793511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10.999999999999996</v>
      </c>
      <c r="BY38" s="12">
        <f>IF('Données projet'!$A$114&gt;35,BY37+BX38-CG37,IF(A38&lt;'Données projet'!$A$114,$BV$205^A38,IF(A38='Données projet'!$A$114,'Données projet'!$B$114,BY37+BX38-CG37)))</f>
        <v>148</v>
      </c>
      <c r="BZ38" s="13">
        <f>BY38*VLOOKUP('Données projet'!$B$12,Paramètres!$A$1:$I$89,3,0)*VLOOKUP('Données projet'!$B$12,Paramètres!$A$1:$I$89,5,0)</f>
        <v>168.54239999999999</v>
      </c>
      <c r="CA38" s="13">
        <f t="shared" si="39"/>
        <v>42.763406246208213</v>
      </c>
      <c r="CB38" s="20">
        <f t="shared" si="10"/>
        <v>368.02427921214593</v>
      </c>
      <c r="CC38" s="59">
        <f t="shared" si="11"/>
        <v>600.94332700522853</v>
      </c>
      <c r="CD38" s="59">
        <f ca="1">AVERAGE(OFFSET($CC$3,0,0,'Données projet'!$E$12+1,1))-AVERAGE(OFFSET($H$3,0,0,'Données projet'!$E$12+1,1))</f>
        <v>685.99951993586967</v>
      </c>
      <c r="CE38" s="59">
        <f t="shared" si="40"/>
        <v>437.98014017823095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10.999999999999996</v>
      </c>
      <c r="CT38" s="12">
        <f>IF('Données projet'!$A$140&gt;35,CT37+CS38-DB37,IF(A38&lt;'Données projet'!$A$140,$CQ$205^A38,IF(A38='Données projet'!$A$140,'Données projet'!$B$140,CT37+CS38-DB37)))</f>
        <v>148</v>
      </c>
      <c r="CU38" s="17">
        <f>CT38*VLOOKUP('Données projet'!$B$13,Paramètres!$A$1:$I$89,3,0)*VLOOKUP('Données projet'!$B$13,Paramètres!$A$1:$I$89,5,0)</f>
        <v>150.072</v>
      </c>
      <c r="CV38" s="13">
        <f t="shared" si="41"/>
        <v>38.594947422201457</v>
      </c>
      <c r="CW38" s="20">
        <f t="shared" si="13"/>
        <v>328.59493342700091</v>
      </c>
      <c r="CX38" s="59">
        <f t="shared" si="14"/>
        <v>561.51398122008356</v>
      </c>
      <c r="CY38" s="59">
        <f ca="1">AVERAGE(OFFSET($CX$3,0,0,'Données projet'!$E$13+1,1))-AVERAGE(OFFSET($H$3,0,0,'Données projet'!$E$13+1,1))</f>
        <v>622.07867348539082</v>
      </c>
      <c r="CZ38" s="59">
        <f t="shared" si="42"/>
        <v>398.29010684041634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0</v>
      </c>
      <c r="DH38" s="21">
        <f>EXP(-LN(2)/2)*DH37+(1-EXP(-LN(2)/2))/(LN(2)/2)*DB38*DE38*VLOOKUP('Données projet'!$B$13,Paramètres!$A$1:$I$89,3,0)*0.475*44/12</f>
        <v>0</v>
      </c>
      <c r="DI38" s="22">
        <f t="shared" si="15"/>
        <v>0</v>
      </c>
      <c r="DJ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10.999999999999996</v>
      </c>
      <c r="DO38" s="12">
        <f>IF('Données projet'!$A$166&gt;35,DO37+DN38-DW37,IF(A38&lt;'Données projet'!$A$166,$DL$205^A38,IF(A38='Données projet'!$A$166,'Données projet'!$B$166,DO37+DN38-DW37)))</f>
        <v>148</v>
      </c>
      <c r="DP38" s="17">
        <f>DO38*VLOOKUP('Données projet'!$B$14,Paramètres!$A$1:$I$89,3,0)*VLOOKUP('Données projet'!$B$14,Paramètres!$A$1:$I$89,5,0)</f>
        <v>140.83680000000001</v>
      </c>
      <c r="DQ38" s="13">
        <f t="shared" si="43"/>
        <v>36.48863808581752</v>
      </c>
      <c r="DR38" s="20">
        <f t="shared" si="16"/>
        <v>308.84180466613213</v>
      </c>
      <c r="DS38" s="59">
        <f t="shared" si="17"/>
        <v>541.76085245921479</v>
      </c>
      <c r="DT38" s="59">
        <f ca="1">AVERAGE(OFFSET($DS$3,0,0,'Données projet'!$E$14+1,1))-AVERAGE(OFFSET($H$3,0,0,'Données projet'!$E$14+1,1))</f>
        <v>590.05965493677377</v>
      </c>
      <c r="DU38" s="59">
        <f t="shared" si="44"/>
        <v>378.40640480134505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0</v>
      </c>
      <c r="EC38" s="21">
        <f>EXP(-LN(2)/2)*EC37+(1-EXP(-LN(2)/2))/(LN(2)/2)*DW38*DZ38*VLOOKUP('Données projet'!$B$14,Paramètres!$A$1:$I$89,3,0)*0.475*44/12</f>
        <v>0</v>
      </c>
      <c r="ED38" s="22">
        <f t="shared" si="18"/>
        <v>0</v>
      </c>
      <c r="EE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53.523376670840712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2">
        <f>'Scénario référence'!$B$16*5+'Scénario référence'!$B$17*0+'Scénario référence'!$B$18*5</f>
        <v>4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14.666666666666666</v>
      </c>
      <c r="H39" s="66">
        <f t="shared" si="1"/>
        <v>159.86666666666667</v>
      </c>
      <c r="I39" s="6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-5.6843418860808015E-14</v>
      </c>
      <c r="O39" s="13">
        <f>N39*VLOOKUP('Données projet'!$B$9,Paramètres!$A$1:$I$89,3,0)*VLOOKUP('Données projet'!$B$9,Paramètres!$A$1:$I$89,5,0)</f>
        <v>-2.9085640562698246E-14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140.03175887621094</v>
      </c>
      <c r="T39" s="59">
        <f t="shared" si="34"/>
        <v>377.29475975964954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62.709130385275003</v>
      </c>
      <c r="AA39" s="21">
        <f>EXP(-LN(2)/25)*AA38+(1-EXP(-LN(2)/25))/(LN(2)/25)*Calculateur!V39*Calculateur!X39*VLOOKUP('Données projet'!$B$9,Paramètres!$A$1:$I$89,3,0)*0.475*44/12</f>
        <v>0</v>
      </c>
      <c r="AB39" s="21">
        <f>EXP(-LN(2)/2)*AB38+(1-EXP(-LN(2)/2))/(LN(2)/2)*V39*Y39*VLOOKUP('Données projet'!$B$9,Paramètres!$A$1:$I$89,3,0)*0.475*44/12</f>
        <v>0.30636642916912638</v>
      </c>
      <c r="AC39" s="22">
        <f t="shared" si="3"/>
        <v>63.015496814444127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-5.6843418860808015E-14</v>
      </c>
      <c r="AJ39" s="13">
        <f>AI39*VLOOKUP('Données projet'!$B$10,Paramètres!$A$1:$I$89,3,0)*VLOOKUP('Données projet'!$B$10,Paramètres!$A$1:$I$89,5,0)</f>
        <v>-2.8642261895583942E-14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138.27364731587764</v>
      </c>
      <c r="AO39" s="59">
        <f t="shared" si="36"/>
        <v>372.50391467700013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61.7531985196458</v>
      </c>
      <c r="AV39" s="21">
        <f>EXP(-LN(2)/25)*AV38+(1-EXP(-LN(2)/25))/(LN(2)/25)*Calculateur!AQ39*Calculateur!AS39*VLOOKUP('Données projet'!$B$10,Paramètres!$A$1:$I$89,3,0)*0.475*44/12</f>
        <v>0</v>
      </c>
      <c r="AW39" s="21">
        <f>EXP(-LN(2)/2)*AW38+(1-EXP(-LN(2)/2))/(LN(2)/2)*AQ39*AT39*VLOOKUP('Données projet'!$B$10,Paramètres!$A$1:$I$89,3,0)*0.475*44/12</f>
        <v>0.30169620921227963</v>
      </c>
      <c r="AX39" s="21">
        <f t="shared" si="6"/>
        <v>62.054894728858081</v>
      </c>
      <c r="AY39" s="7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10.999999999999996</v>
      </c>
      <c r="BD39" s="12">
        <f>IF('Données projet'!$A$88&gt;35,BD38+BC39-BL38,IF(A39&lt;'Données projet'!$A$88,$BA$205^A39,IF(A39='Données projet'!$A$88,'Données projet'!$B$88,BD38+BC39-BL38)))</f>
        <v>159</v>
      </c>
      <c r="BE39" s="13">
        <f>BD39*VLOOKUP('Données projet'!$B$11,Paramètres!$A$1:$I$89,3,0)*VLOOKUP('Données projet'!$B$11,Paramètres!$A$1:$I$89,5,0)</f>
        <v>166.18680000000001</v>
      </c>
      <c r="BF39" s="13">
        <f t="shared" si="37"/>
        <v>42.23486931344393</v>
      </c>
      <c r="BG39" s="20">
        <f t="shared" si="7"/>
        <v>363.00107405424819</v>
      </c>
      <c r="BH39" s="59">
        <f t="shared" si="8"/>
        <v>596.96817463534603</v>
      </c>
      <c r="BI39" s="59">
        <f ca="1">AVERAGE(OFFSET($BH$3,0,0,'Données projet'!$E$11+1,1))-AVERAGE(OFFSET($H$3,0,0,'Données projet'!$E$11+1,1))</f>
        <v>638.07304290599211</v>
      </c>
      <c r="BJ39" s="59">
        <f t="shared" si="38"/>
        <v>408.22196233793511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10.999999999999996</v>
      </c>
      <c r="BY39" s="12">
        <f>IF('Données projet'!$A$114&gt;35,BY38+BX39-CG38,IF(A39&lt;'Données projet'!$A$114,$BV$205^A39,IF(A39='Données projet'!$A$114,'Données projet'!$B$114,BY38+BX39-CG38)))</f>
        <v>159</v>
      </c>
      <c r="BZ39" s="13">
        <f>BY39*VLOOKUP('Données projet'!$B$12,Paramètres!$A$1:$I$89,3,0)*VLOOKUP('Données projet'!$B$12,Paramètres!$A$1:$I$89,5,0)</f>
        <v>181.0692</v>
      </c>
      <c r="CA39" s="13">
        <f t="shared" si="39"/>
        <v>45.559981412848202</v>
      </c>
      <c r="CB39" s="20">
        <f t="shared" si="10"/>
        <v>394.71249096071057</v>
      </c>
      <c r="CC39" s="59">
        <f t="shared" si="11"/>
        <v>628.67959154180846</v>
      </c>
      <c r="CD39" s="59">
        <f ca="1">AVERAGE(OFFSET($CC$3,0,0,'Données projet'!$E$12+1,1))-AVERAGE(OFFSET($H$3,0,0,'Données projet'!$E$12+1,1))</f>
        <v>685.99951993586967</v>
      </c>
      <c r="CE39" s="59">
        <f t="shared" si="40"/>
        <v>437.98014017823095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10.999999999999996</v>
      </c>
      <c r="CT39" s="12">
        <f>IF('Données projet'!$A$140&gt;35,CT38+CS39-DB38,IF(A39&lt;'Données projet'!$A$140,$CQ$205^A39,IF(A39='Données projet'!$A$140,'Données projet'!$B$140,CT38+CS39-DB38)))</f>
        <v>159</v>
      </c>
      <c r="CU39" s="17">
        <f>CT39*VLOOKUP('Données projet'!$B$13,Paramètres!$A$1:$I$89,3,0)*VLOOKUP('Données projet'!$B$13,Paramètres!$A$1:$I$89,5,0)</f>
        <v>161.22600000000003</v>
      </c>
      <c r="CV39" s="13">
        <f t="shared" si="41"/>
        <v>41.118920159482528</v>
      </c>
      <c r="CW39" s="20">
        <f t="shared" si="13"/>
        <v>352.41740261109879</v>
      </c>
      <c r="CX39" s="59">
        <f t="shared" si="14"/>
        <v>586.38450319219669</v>
      </c>
      <c r="CY39" s="59">
        <f ca="1">AVERAGE(OFFSET($CX$3,0,0,'Données projet'!$E$13+1,1))-AVERAGE(OFFSET($H$3,0,0,'Données projet'!$E$13+1,1))</f>
        <v>622.07867348539082</v>
      </c>
      <c r="CZ39" s="59">
        <f t="shared" si="42"/>
        <v>398.29010684041634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0</v>
      </c>
      <c r="DH39" s="21">
        <f>EXP(-LN(2)/2)*DH38+(1-EXP(-LN(2)/2))/(LN(2)/2)*DB39*DE39*VLOOKUP('Données projet'!$B$13,Paramètres!$A$1:$I$89,3,0)*0.475*44/12</f>
        <v>0</v>
      </c>
      <c r="DI39" s="22">
        <f t="shared" si="15"/>
        <v>0</v>
      </c>
      <c r="DJ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10.999999999999996</v>
      </c>
      <c r="DO39" s="12">
        <f>IF('Données projet'!$A$166&gt;35,DO38+DN39-DW38,IF(A39&lt;'Données projet'!$A$166,$DL$205^A39,IF(A39='Données projet'!$A$166,'Données projet'!$B$166,DO38+DN39-DW38)))</f>
        <v>159</v>
      </c>
      <c r="DP39" s="17">
        <f>DO39*VLOOKUP('Données projet'!$B$14,Paramètres!$A$1:$I$89,3,0)*VLOOKUP('Données projet'!$B$14,Paramètres!$A$1:$I$89,5,0)</f>
        <v>151.30439999999999</v>
      </c>
      <c r="DQ39" s="13">
        <f t="shared" si="43"/>
        <v>38.874865659640861</v>
      </c>
      <c r="DR39" s="20">
        <f t="shared" si="16"/>
        <v>331.22888769054117</v>
      </c>
      <c r="DS39" s="59">
        <f t="shared" si="17"/>
        <v>565.19598827163907</v>
      </c>
      <c r="DT39" s="59">
        <f ca="1">AVERAGE(OFFSET($DS$3,0,0,'Données projet'!$E$14+1,1))-AVERAGE(OFFSET($H$3,0,0,'Données projet'!$E$14+1,1))</f>
        <v>590.05965493677377</v>
      </c>
      <c r="DU39" s="59">
        <f t="shared" si="44"/>
        <v>378.40640480134505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0</v>
      </c>
      <c r="EC39" s="21">
        <f>EXP(-LN(2)/2)*EC38+(1-EXP(-LN(2)/2))/(LN(2)/2)*DW39*DZ39*VLOOKUP('Données projet'!$B$14,Paramètres!$A$1:$I$89,3,0)*0.475*44/12</f>
        <v>0</v>
      </c>
      <c r="ED39" s="22">
        <f t="shared" si="18"/>
        <v>0</v>
      </c>
      <c r="EE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53.809209249390328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2">
        <f>'Scénario référence'!$B$16*5+'Scénario référence'!$B$17*0+'Scénario référence'!$B$18*5</f>
        <v>4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14.666666666666666</v>
      </c>
      <c r="H40" s="66">
        <f t="shared" si="1"/>
        <v>159.86666666666667</v>
      </c>
      <c r="I40" s="6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-5.6843418860808015E-14</v>
      </c>
      <c r="O40" s="13">
        <f>N40*VLOOKUP('Données projet'!$B$9,Paramètres!$A$1:$I$89,3,0)*VLOOKUP('Données projet'!$B$9,Paramètres!$A$1:$I$89,5,0)</f>
        <v>-2.9085640562698246E-14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140.03175887621094</v>
      </c>
      <c r="T40" s="59">
        <f t="shared" si="34"/>
        <v>377.29475975964954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61.479442587212539</v>
      </c>
      <c r="AA40" s="21">
        <f>EXP(-LN(2)/25)*AA39+(1-EXP(-LN(2)/25))/(LN(2)/25)*Calculateur!V40*Calculateur!X40*VLOOKUP('Données projet'!$B$9,Paramètres!$A$1:$I$89,3,0)*0.475*44/12</f>
        <v>0</v>
      </c>
      <c r="AB40" s="21">
        <f>EXP(-LN(2)/2)*AB39+(1-EXP(-LN(2)/2))/(LN(2)/2)*V40*Y40*VLOOKUP('Données projet'!$B$9,Paramètres!$A$1:$I$89,3,0)*0.475*44/12</f>
        <v>0.21663377959339736</v>
      </c>
      <c r="AC40" s="22">
        <f t="shared" si="3"/>
        <v>61.696076366805933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-5.6843418860808015E-14</v>
      </c>
      <c r="AJ40" s="13">
        <f>AI40*VLOOKUP('Données projet'!$B$10,Paramètres!$A$1:$I$89,3,0)*VLOOKUP('Données projet'!$B$10,Paramètres!$A$1:$I$89,5,0)</f>
        <v>-2.8642261895583942E-14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138.27364731587764</v>
      </c>
      <c r="AO40" s="59">
        <f t="shared" si="36"/>
        <v>372.50391467700013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60.542255962407459</v>
      </c>
      <c r="AV40" s="21">
        <f>EXP(-LN(2)/25)*AV39+(1-EXP(-LN(2)/25))/(LN(2)/25)*Calculateur!AQ40*Calculateur!AS40*VLOOKUP('Données projet'!$B$10,Paramètres!$A$1:$I$89,3,0)*0.475*44/12</f>
        <v>0</v>
      </c>
      <c r="AW40" s="21">
        <f>EXP(-LN(2)/2)*AW39+(1-EXP(-LN(2)/2))/(LN(2)/2)*AQ40*AT40*VLOOKUP('Données projet'!$B$10,Paramètres!$A$1:$I$89,3,0)*0.475*44/12</f>
        <v>0.21333143539227828</v>
      </c>
      <c r="AX40" s="21">
        <f t="shared" si="6"/>
        <v>60.755587397799736</v>
      </c>
      <c r="AY40" s="7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10.999999999999996</v>
      </c>
      <c r="BD40" s="12">
        <f>IF('Données projet'!$A$88&gt;35,BD39+BC40-BL39,IF(A40&lt;'Données projet'!$A$88,$BA$205^A40,IF(A40='Données projet'!$A$88,'Données projet'!$B$88,BD39+BC40-BL39)))</f>
        <v>170</v>
      </c>
      <c r="BE40" s="13">
        <f>BD40*VLOOKUP('Données projet'!$B$11,Paramètres!$A$1:$I$89,3,0)*VLOOKUP('Données projet'!$B$11,Paramètres!$A$1:$I$89,5,0)</f>
        <v>177.68400000000003</v>
      </c>
      <c r="BF40" s="13">
        <f t="shared" si="37"/>
        <v>44.806531123357701</v>
      </c>
      <c r="BG40" s="20">
        <f t="shared" si="7"/>
        <v>387.50434170651471</v>
      </c>
      <c r="BH40" s="59">
        <f t="shared" si="8"/>
        <v>622.50131370285078</v>
      </c>
      <c r="BI40" s="59">
        <f ca="1">AVERAGE(OFFSET($BH$3,0,0,'Données projet'!$E$11+1,1))-AVERAGE(OFFSET($H$3,0,0,'Données projet'!$E$11+1,1))</f>
        <v>638.07304290599211</v>
      </c>
      <c r="BJ40" s="59">
        <f t="shared" si="38"/>
        <v>408.22196233793511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10.999999999999996</v>
      </c>
      <c r="BY40" s="12">
        <f>IF('Données projet'!$A$114&gt;35,BY39+BX40-CG39,IF(A40&lt;'Données projet'!$A$114,$BV$205^A40,IF(A40='Données projet'!$A$114,'Données projet'!$B$114,BY39+BX40-CG39)))</f>
        <v>170</v>
      </c>
      <c r="BZ40" s="13">
        <f>BY40*VLOOKUP('Données projet'!$B$12,Paramètres!$A$1:$I$89,3,0)*VLOOKUP('Données projet'!$B$12,Paramètres!$A$1:$I$89,5,0)</f>
        <v>193.596</v>
      </c>
      <c r="CA40" s="13">
        <f t="shared" si="39"/>
        <v>48.33410777252201</v>
      </c>
      <c r="CB40" s="20">
        <f t="shared" si="10"/>
        <v>421.36160437047585</v>
      </c>
      <c r="CC40" s="59">
        <f t="shared" si="11"/>
        <v>656.35857636681192</v>
      </c>
      <c r="CD40" s="59">
        <f ca="1">AVERAGE(OFFSET($CC$3,0,0,'Données projet'!$E$12+1,1))-AVERAGE(OFFSET($H$3,0,0,'Données projet'!$E$12+1,1))</f>
        <v>685.99951993586967</v>
      </c>
      <c r="CE40" s="59">
        <f t="shared" si="40"/>
        <v>437.98014017823095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10.999999999999996</v>
      </c>
      <c r="CT40" s="12">
        <f>IF('Données projet'!$A$140&gt;35,CT39+CS40-DB39,IF(A40&lt;'Données projet'!$A$140,$CQ$205^A40,IF(A40='Données projet'!$A$140,'Données projet'!$B$140,CT39+CS40-DB39)))</f>
        <v>170</v>
      </c>
      <c r="CU40" s="17">
        <f>CT40*VLOOKUP('Données projet'!$B$13,Paramètres!$A$1:$I$89,3,0)*VLOOKUP('Données projet'!$B$13,Paramètres!$A$1:$I$89,5,0)</f>
        <v>172.38</v>
      </c>
      <c r="CV40" s="13">
        <f t="shared" si="41"/>
        <v>43.622632337547088</v>
      </c>
      <c r="CW40" s="20">
        <f t="shared" si="13"/>
        <v>376.20458465456113</v>
      </c>
      <c r="CX40" s="59">
        <f t="shared" si="14"/>
        <v>611.20155665089726</v>
      </c>
      <c r="CY40" s="59">
        <f ca="1">AVERAGE(OFFSET($CX$3,0,0,'Données projet'!$E$13+1,1))-AVERAGE(OFFSET($H$3,0,0,'Données projet'!$E$13+1,1))</f>
        <v>622.07867348539082</v>
      </c>
      <c r="CZ40" s="59">
        <f t="shared" si="42"/>
        <v>398.29010684041634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0</v>
      </c>
      <c r="DH40" s="21">
        <f>EXP(-LN(2)/2)*DH39+(1-EXP(-LN(2)/2))/(LN(2)/2)*DB40*DE40*VLOOKUP('Données projet'!$B$13,Paramètres!$A$1:$I$89,3,0)*0.475*44/12</f>
        <v>0</v>
      </c>
      <c r="DI40" s="22">
        <f t="shared" si="15"/>
        <v>0</v>
      </c>
      <c r="DJ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10.999999999999996</v>
      </c>
      <c r="DO40" s="12">
        <f>IF('Données projet'!$A$166&gt;35,DO39+DN40-DW39,IF(A40&lt;'Données projet'!$A$166,$DL$205^A40,IF(A40='Données projet'!$A$166,'Données projet'!$B$166,DO39+DN40-DW39)))</f>
        <v>170</v>
      </c>
      <c r="DP40" s="17">
        <f>DO40*VLOOKUP('Données projet'!$B$14,Paramètres!$A$1:$I$89,3,0)*VLOOKUP('Données projet'!$B$14,Paramètres!$A$1:$I$89,5,0)</f>
        <v>161.77200000000002</v>
      </c>
      <c r="DQ40" s="13">
        <f t="shared" si="43"/>
        <v>41.241938389059861</v>
      </c>
      <c r="DR40" s="20">
        <f t="shared" si="16"/>
        <v>353.58260936094598</v>
      </c>
      <c r="DS40" s="59">
        <f t="shared" si="17"/>
        <v>588.57958135728211</v>
      </c>
      <c r="DT40" s="59">
        <f ca="1">AVERAGE(OFFSET($DS$3,0,0,'Données projet'!$E$14+1,1))-AVERAGE(OFFSET($H$3,0,0,'Données projet'!$E$14+1,1))</f>
        <v>590.05965493677377</v>
      </c>
      <c r="DU40" s="59">
        <f t="shared" si="44"/>
        <v>378.40640480134505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0</v>
      </c>
      <c r="EC40" s="21">
        <f>EXP(-LN(2)/2)*EC39+(1-EXP(-LN(2)/2))/(LN(2)/2)*DW40*DZ40*VLOOKUP('Données projet'!$B$14,Paramètres!$A$1:$I$89,3,0)*0.475*44/12</f>
        <v>0</v>
      </c>
      <c r="ED40" s="22">
        <f t="shared" si="18"/>
        <v>0</v>
      </c>
      <c r="EE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54.09008327172802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2">
        <f>'Scénario référence'!$B$16*5+'Scénario référence'!$B$17*0+'Scénario référence'!$B$18*5</f>
        <v>4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14.666666666666666</v>
      </c>
      <c r="H41" s="66">
        <f t="shared" si="1"/>
        <v>159.86666666666667</v>
      </c>
      <c r="I41" s="6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-5.6843418860808015E-14</v>
      </c>
      <c r="O41" s="13">
        <f>N41*VLOOKUP('Données projet'!$B$9,Paramètres!$A$1:$I$89,3,0)*VLOOKUP('Données projet'!$B$9,Paramètres!$A$1:$I$89,5,0)</f>
        <v>-2.9085640562698246E-14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140.03175887621094</v>
      </c>
      <c r="T41" s="59">
        <f t="shared" si="34"/>
        <v>377.29475975964954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60.273868216834586</v>
      </c>
      <c r="AA41" s="21">
        <f>EXP(-LN(2)/25)*AA40+(1-EXP(-LN(2)/25))/(LN(2)/25)*Calculateur!V41*Calculateur!X41*VLOOKUP('Données projet'!$B$9,Paramètres!$A$1:$I$89,3,0)*0.475*44/12</f>
        <v>0</v>
      </c>
      <c r="AB41" s="21">
        <f>EXP(-LN(2)/2)*AB40+(1-EXP(-LN(2)/2))/(LN(2)/2)*V41*Y41*VLOOKUP('Données projet'!$B$9,Paramètres!$A$1:$I$89,3,0)*0.475*44/12</f>
        <v>0.15318321458456319</v>
      </c>
      <c r="AC41" s="22">
        <f t="shared" si="3"/>
        <v>60.427051431419152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-5.6843418860808015E-14</v>
      </c>
      <c r="AJ41" s="13">
        <f>AI41*VLOOKUP('Données projet'!$B$10,Paramètres!$A$1:$I$89,3,0)*VLOOKUP('Données projet'!$B$10,Paramètres!$A$1:$I$89,5,0)</f>
        <v>-2.8642261895583942E-14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138.27364731587764</v>
      </c>
      <c r="AO41" s="59">
        <f t="shared" si="36"/>
        <v>372.50391467700013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59.355059250114536</v>
      </c>
      <c r="AV41" s="21">
        <f>EXP(-LN(2)/25)*AV40+(1-EXP(-LN(2)/25))/(LN(2)/25)*Calculateur!AQ41*Calculateur!AS41*VLOOKUP('Données projet'!$B$10,Paramètres!$A$1:$I$89,3,0)*0.475*44/12</f>
        <v>0</v>
      </c>
      <c r="AW41" s="21">
        <f>EXP(-LN(2)/2)*AW40+(1-EXP(-LN(2)/2))/(LN(2)/2)*AQ41*AT41*VLOOKUP('Données projet'!$B$10,Paramètres!$A$1:$I$89,3,0)*0.475*44/12</f>
        <v>0.15084810460613982</v>
      </c>
      <c r="AX41" s="21">
        <f t="shared" si="6"/>
        <v>59.505907354720676</v>
      </c>
      <c r="AY41" s="7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10.999999999999996</v>
      </c>
      <c r="BD41" s="12">
        <f>IF('Données projet'!$A$88&gt;35,BD40+BC41-BL40,IF(A41&lt;'Données projet'!$A$88,$BA$205^A41,IF(A41='Données projet'!$A$88,'Données projet'!$B$88,BD40+BC41-BL40)))</f>
        <v>181</v>
      </c>
      <c r="BE41" s="13">
        <f>BD41*VLOOKUP('Données projet'!$B$11,Paramètres!$A$1:$I$89,3,0)*VLOOKUP('Données projet'!$B$11,Paramètres!$A$1:$I$89,5,0)</f>
        <v>189.18120000000002</v>
      </c>
      <c r="BF41" s="13">
        <f t="shared" si="37"/>
        <v>47.358882320604579</v>
      </c>
      <c r="BG41" s="20">
        <f t="shared" si="7"/>
        <v>411.97397670838632</v>
      </c>
      <c r="BH41" s="59">
        <f t="shared" si="8"/>
        <v>647.98295415335372</v>
      </c>
      <c r="BI41" s="59">
        <f ca="1">AVERAGE(OFFSET($BH$3,0,0,'Données projet'!$E$11+1,1))-AVERAGE(OFFSET($H$3,0,0,'Données projet'!$E$11+1,1))</f>
        <v>638.07304290599211</v>
      </c>
      <c r="BJ41" s="59">
        <f t="shared" si="38"/>
        <v>408.22196233793511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10.999999999999996</v>
      </c>
      <c r="BY41" s="12">
        <f>IF('Données projet'!$A$114&gt;35,BY40+BX41-CG40,IF(A41&lt;'Données projet'!$A$114,$BV$205^A41,IF(A41='Données projet'!$A$114,'Données projet'!$B$114,BY40+BX41-CG40)))</f>
        <v>181</v>
      </c>
      <c r="BZ41" s="13">
        <f>BY41*VLOOKUP('Données projet'!$B$12,Paramètres!$A$1:$I$89,3,0)*VLOOKUP('Données projet'!$B$12,Paramètres!$A$1:$I$89,5,0)</f>
        <v>206.12280000000001</v>
      </c>
      <c r="CA41" s="13">
        <f t="shared" si="39"/>
        <v>51.087403212899119</v>
      </c>
      <c r="CB41" s="20">
        <f t="shared" si="10"/>
        <v>447.97443726246598</v>
      </c>
      <c r="CC41" s="59">
        <f t="shared" si="11"/>
        <v>683.98341470743344</v>
      </c>
      <c r="CD41" s="59">
        <f ca="1">AVERAGE(OFFSET($CC$3,0,0,'Données projet'!$E$12+1,1))-AVERAGE(OFFSET($H$3,0,0,'Données projet'!$E$12+1,1))</f>
        <v>685.99951993586967</v>
      </c>
      <c r="CE41" s="59">
        <f t="shared" si="40"/>
        <v>437.98014017823095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10.999999999999996</v>
      </c>
      <c r="CT41" s="12">
        <f>IF('Données projet'!$A$140&gt;35,CT40+CS41-DB40,IF(A41&lt;'Données projet'!$A$140,$CQ$205^A41,IF(A41='Données projet'!$A$140,'Données projet'!$B$140,CT40+CS41-DB40)))</f>
        <v>181</v>
      </c>
      <c r="CU41" s="17">
        <f>CT41*VLOOKUP('Données projet'!$B$13,Paramètres!$A$1:$I$89,3,0)*VLOOKUP('Données projet'!$B$13,Paramètres!$A$1:$I$89,5,0)</f>
        <v>183.53400000000002</v>
      </c>
      <c r="CV41" s="13">
        <f t="shared" si="41"/>
        <v>46.107544136839593</v>
      </c>
      <c r="CW41" s="20">
        <f t="shared" si="13"/>
        <v>399.95902270499568</v>
      </c>
      <c r="CX41" s="59">
        <f t="shared" si="14"/>
        <v>635.96800014996313</v>
      </c>
      <c r="CY41" s="59">
        <f ca="1">AVERAGE(OFFSET($CX$3,0,0,'Données projet'!$E$13+1,1))-AVERAGE(OFFSET($H$3,0,0,'Données projet'!$E$13+1,1))</f>
        <v>622.07867348539082</v>
      </c>
      <c r="CZ41" s="59">
        <f t="shared" si="42"/>
        <v>398.29010684041634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0</v>
      </c>
      <c r="DH41" s="21">
        <f>EXP(-LN(2)/2)*DH40+(1-EXP(-LN(2)/2))/(LN(2)/2)*DB41*DE41*VLOOKUP('Données projet'!$B$13,Paramètres!$A$1:$I$89,3,0)*0.475*44/12</f>
        <v>0</v>
      </c>
      <c r="DI41" s="22">
        <f t="shared" si="15"/>
        <v>0</v>
      </c>
      <c r="DJ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10.999999999999996</v>
      </c>
      <c r="DO41" s="12">
        <f>IF('Données projet'!$A$166&gt;35,DO40+DN41-DW40,IF(A41&lt;'Données projet'!$A$166,$DL$205^A41,IF(A41='Données projet'!$A$166,'Données projet'!$B$166,DO40+DN41-DW40)))</f>
        <v>181</v>
      </c>
      <c r="DP41" s="17">
        <f>DO41*VLOOKUP('Données projet'!$B$14,Paramètres!$A$1:$I$89,3,0)*VLOOKUP('Données projet'!$B$14,Paramètres!$A$1:$I$89,5,0)</f>
        <v>172.2396</v>
      </c>
      <c r="DQ41" s="13">
        <f t="shared" si="43"/>
        <v>43.591236765546341</v>
      </c>
      <c r="DR41" s="20">
        <f t="shared" si="16"/>
        <v>375.9053740333265</v>
      </c>
      <c r="DS41" s="59">
        <f t="shared" si="17"/>
        <v>611.91435147829395</v>
      </c>
      <c r="DT41" s="59">
        <f ca="1">AVERAGE(OFFSET($DS$3,0,0,'Données projet'!$E$14+1,1))-AVERAGE(OFFSET($H$3,0,0,'Données projet'!$E$14+1,1))</f>
        <v>590.05965493677377</v>
      </c>
      <c r="DU41" s="59">
        <f t="shared" si="44"/>
        <v>378.40640480134505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0</v>
      </c>
      <c r="EC41" s="21">
        <f>EXP(-LN(2)/2)*EC40+(1-EXP(-LN(2)/2))/(LN(2)/2)*DW41*DZ41*VLOOKUP('Données projet'!$B$14,Paramètres!$A$1:$I$89,3,0)*0.475*44/12</f>
        <v>0</v>
      </c>
      <c r="ED41" s="22">
        <f t="shared" si="18"/>
        <v>0</v>
      </c>
      <c r="EE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54.36608475771839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2">
        <f>'Scénario référence'!$B$16*5+'Scénario référence'!$B$17*0+'Scénario référence'!$B$18*5</f>
        <v>4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14.666666666666666</v>
      </c>
      <c r="H42" s="66">
        <f t="shared" si="1"/>
        <v>159.86666666666667</v>
      </c>
      <c r="I42" s="6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-5.6843418860808015E-14</v>
      </c>
      <c r="O42" s="13">
        <f>N42*VLOOKUP('Données projet'!$B$9,Paramètres!$A$1:$I$89,3,0)*VLOOKUP('Données projet'!$B$9,Paramètres!$A$1:$I$89,5,0)</f>
        <v>-2.9085640562698246E-14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140.03175887621094</v>
      </c>
      <c r="T42" s="59">
        <f t="shared" si="34"/>
        <v>377.29475975964954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59.091934424531985</v>
      </c>
      <c r="AA42" s="21">
        <f>EXP(-LN(2)/25)*AA41+(1-EXP(-LN(2)/25))/(LN(2)/25)*Calculateur!V42*Calculateur!X42*VLOOKUP('Données projet'!$B$9,Paramètres!$A$1:$I$89,3,0)*0.475*44/12</f>
        <v>0</v>
      </c>
      <c r="AB42" s="21">
        <f>EXP(-LN(2)/2)*AB41+(1-EXP(-LN(2)/2))/(LN(2)/2)*V42*Y42*VLOOKUP('Données projet'!$B$9,Paramètres!$A$1:$I$89,3,0)*0.475*44/12</f>
        <v>0.10831688979669868</v>
      </c>
      <c r="AC42" s="22">
        <f t="shared" si="3"/>
        <v>59.200251314328682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-5.6843418860808015E-14</v>
      </c>
      <c r="AJ42" s="13">
        <f>AI42*VLOOKUP('Données projet'!$B$10,Paramètres!$A$1:$I$89,3,0)*VLOOKUP('Données projet'!$B$10,Paramètres!$A$1:$I$89,5,0)</f>
        <v>-2.8642261895583942E-14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138.27364731587764</v>
      </c>
      <c r="AO42" s="59">
        <f t="shared" si="36"/>
        <v>372.50391467700013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58.191142741231182</v>
      </c>
      <c r="AV42" s="21">
        <f>EXP(-LN(2)/25)*AV41+(1-EXP(-LN(2)/25))/(LN(2)/25)*Calculateur!AQ42*Calculateur!AS42*VLOOKUP('Données projet'!$B$10,Paramètres!$A$1:$I$89,3,0)*0.475*44/12</f>
        <v>0</v>
      </c>
      <c r="AW42" s="21">
        <f>EXP(-LN(2)/2)*AW41+(1-EXP(-LN(2)/2))/(LN(2)/2)*AQ42*AT42*VLOOKUP('Données projet'!$B$10,Paramètres!$A$1:$I$89,3,0)*0.475*44/12</f>
        <v>0.10666571769613914</v>
      </c>
      <c r="AX42" s="21">
        <f t="shared" si="6"/>
        <v>58.297808458927321</v>
      </c>
      <c r="AY42" s="7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10.999999999999996</v>
      </c>
      <c r="BD42" s="12">
        <f>IF('Données projet'!$A$88&gt;35,BD41+BC42-BL41,IF(A42&lt;'Données projet'!$A$88,$BA$205^A42,IF(A42='Données projet'!$A$88,'Données projet'!$B$88,BD41+BC42-BL41)))</f>
        <v>192</v>
      </c>
      <c r="BE42" s="13">
        <f>BD42*VLOOKUP('Données projet'!$B$11,Paramètres!$A$1:$I$89,3,0)*VLOOKUP('Données projet'!$B$11,Paramètres!$A$1:$I$89,5,0)</f>
        <v>200.67840000000004</v>
      </c>
      <c r="BF42" s="13">
        <f t="shared" si="37"/>
        <v>49.893230116477916</v>
      </c>
      <c r="BG42" s="20">
        <f t="shared" si="7"/>
        <v>436.41225578619907</v>
      </c>
      <c r="BH42" s="59">
        <f t="shared" si="8"/>
        <v>673.41568264776936</v>
      </c>
      <c r="BI42" s="59">
        <f ca="1">AVERAGE(OFFSET($BH$3,0,0,'Données projet'!$E$11+1,1))-AVERAGE(OFFSET($H$3,0,0,'Données projet'!$E$11+1,1))</f>
        <v>638.07304290599211</v>
      </c>
      <c r="BJ42" s="59">
        <f t="shared" si="38"/>
        <v>408.22196233793511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10.999999999999996</v>
      </c>
      <c r="BY42" s="12">
        <f>IF('Données projet'!$A$114&gt;35,BY41+BX42-CG41,IF(A42&lt;'Données projet'!$A$114,$BV$205^A42,IF(A42='Données projet'!$A$114,'Données projet'!$B$114,BY41+BX42-CG41)))</f>
        <v>192</v>
      </c>
      <c r="BZ42" s="13">
        <f>BY42*VLOOKUP('Données projet'!$B$12,Paramètres!$A$1:$I$89,3,0)*VLOOKUP('Données projet'!$B$12,Paramètres!$A$1:$I$89,5,0)</f>
        <v>218.64959999999999</v>
      </c>
      <c r="CA42" s="13">
        <f t="shared" si="39"/>
        <v>53.821277860805893</v>
      </c>
      <c r="CB42" s="20">
        <f t="shared" si="10"/>
        <v>474.55344560757021</v>
      </c>
      <c r="CC42" s="59">
        <f t="shared" si="11"/>
        <v>711.55687246914044</v>
      </c>
      <c r="CD42" s="59">
        <f ca="1">AVERAGE(OFFSET($CC$3,0,0,'Données projet'!$E$12+1,1))-AVERAGE(OFFSET($H$3,0,0,'Données projet'!$E$12+1,1))</f>
        <v>685.99951993586967</v>
      </c>
      <c r="CE42" s="59">
        <f t="shared" si="40"/>
        <v>437.98014017823095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10.999999999999996</v>
      </c>
      <c r="CT42" s="12">
        <f>IF('Données projet'!$A$140&gt;35,CT41+CS42-DB41,IF(A42&lt;'Données projet'!$A$140,$CQ$205^A42,IF(A42='Données projet'!$A$140,'Données projet'!$B$140,CT41+CS42-DB41)))</f>
        <v>192</v>
      </c>
      <c r="CU42" s="17">
        <f>CT42*VLOOKUP('Données projet'!$B$13,Paramètres!$A$1:$I$89,3,0)*VLOOKUP('Données projet'!$B$13,Paramètres!$A$1:$I$89,5,0)</f>
        <v>194.68800000000002</v>
      </c>
      <c r="CV42" s="13">
        <f t="shared" si="41"/>
        <v>48.574928228914978</v>
      </c>
      <c r="CW42" s="20">
        <f t="shared" si="13"/>
        <v>423.68293333202695</v>
      </c>
      <c r="CX42" s="59">
        <f t="shared" si="14"/>
        <v>660.68636019359724</v>
      </c>
      <c r="CY42" s="59">
        <f ca="1">AVERAGE(OFFSET($CX$3,0,0,'Données projet'!$E$13+1,1))-AVERAGE(OFFSET($H$3,0,0,'Données projet'!$E$13+1,1))</f>
        <v>622.07867348539082</v>
      </c>
      <c r="CZ42" s="59">
        <f t="shared" si="42"/>
        <v>398.29010684041634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0</v>
      </c>
      <c r="DH42" s="21">
        <f>EXP(-LN(2)/2)*DH41+(1-EXP(-LN(2)/2))/(LN(2)/2)*DB42*DE42*VLOOKUP('Données projet'!$B$13,Paramètres!$A$1:$I$89,3,0)*0.475*44/12</f>
        <v>0</v>
      </c>
      <c r="DI42" s="22">
        <f t="shared" si="15"/>
        <v>0</v>
      </c>
      <c r="DJ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10.999999999999996</v>
      </c>
      <c r="DO42" s="12">
        <f>IF('Données projet'!$A$166&gt;35,DO41+DN42-DW41,IF(A42&lt;'Données projet'!$A$166,$DL$205^A42,IF(A42='Données projet'!$A$166,'Données projet'!$B$166,DO41+DN42-DW41)))</f>
        <v>192</v>
      </c>
      <c r="DP42" s="17">
        <f>DO42*VLOOKUP('Données projet'!$B$14,Paramètres!$A$1:$I$89,3,0)*VLOOKUP('Données projet'!$B$14,Paramètres!$A$1:$I$89,5,0)</f>
        <v>182.7072</v>
      </c>
      <c r="DQ42" s="13">
        <f t="shared" si="43"/>
        <v>45.923964004932436</v>
      </c>
      <c r="DR42" s="20">
        <f t="shared" si="16"/>
        <v>398.19927730859064</v>
      </c>
      <c r="DS42" s="59">
        <f t="shared" si="17"/>
        <v>635.20270417016093</v>
      </c>
      <c r="DT42" s="59">
        <f ca="1">AVERAGE(OFFSET($DS$3,0,0,'Données projet'!$E$14+1,1))-AVERAGE(OFFSET($H$3,0,0,'Données projet'!$E$14+1,1))</f>
        <v>590.05965493677377</v>
      </c>
      <c r="DU42" s="59">
        <f t="shared" si="44"/>
        <v>378.40640480134505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0</v>
      </c>
      <c r="EC42" s="21">
        <f>EXP(-LN(2)/2)*EC41+(1-EXP(-LN(2)/2))/(LN(2)/2)*DW42*DZ42*VLOOKUP('Données projet'!$B$14,Paramètres!$A$1:$I$89,3,0)*0.475*44/12</f>
        <v>0</v>
      </c>
      <c r="ED42" s="22">
        <f t="shared" si="18"/>
        <v>0</v>
      </c>
      <c r="EE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54.637298234973713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2">
        <f>'Scénario référence'!$B$16*5+'Scénario référence'!$B$17*0+'Scénario référence'!$B$18*5</f>
        <v>4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14.666666666666666</v>
      </c>
      <c r="H43" s="66">
        <f t="shared" si="1"/>
        <v>159.86666666666667</v>
      </c>
      <c r="I43" s="6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-5.6843418860808015E-14</v>
      </c>
      <c r="O43" s="13">
        <f>N43*VLOOKUP('Données projet'!$B$9,Paramètres!$A$1:$I$89,3,0)*VLOOKUP('Données projet'!$B$9,Paramètres!$A$1:$I$89,5,0)</f>
        <v>-2.9085640562698246E-14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140.03175887621094</v>
      </c>
      <c r="T43" s="59">
        <f t="shared" si="34"/>
        <v>377.29475975964954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57.933177632988006</v>
      </c>
      <c r="AA43" s="21">
        <f>EXP(-LN(2)/25)*AA42+(1-EXP(-LN(2)/25))/(LN(2)/25)*Calculateur!V43*Calculateur!X43*VLOOKUP('Données projet'!$B$9,Paramètres!$A$1:$I$89,3,0)*0.475*44/12</f>
        <v>0</v>
      </c>
      <c r="AB43" s="21">
        <f>EXP(-LN(2)/2)*AB42+(1-EXP(-LN(2)/2))/(LN(2)/2)*V43*Y43*VLOOKUP('Données projet'!$B$9,Paramètres!$A$1:$I$89,3,0)*0.475*44/12</f>
        <v>7.6591607292281594E-2</v>
      </c>
      <c r="AC43" s="22">
        <f t="shared" si="3"/>
        <v>58.009769240280285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-5.6843418860808015E-14</v>
      </c>
      <c r="AJ43" s="13">
        <f>AI43*VLOOKUP('Données projet'!$B$10,Paramètres!$A$1:$I$89,3,0)*VLOOKUP('Données projet'!$B$10,Paramètres!$A$1:$I$89,5,0)</f>
        <v>-2.8642261895583942E-14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138.27364731587764</v>
      </c>
      <c r="AO43" s="59">
        <f t="shared" si="36"/>
        <v>372.50391467700013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57.050049925168061</v>
      </c>
      <c r="AV43" s="21">
        <f>EXP(-LN(2)/25)*AV42+(1-EXP(-LN(2)/25))/(LN(2)/25)*Calculateur!AQ43*Calculateur!AS43*VLOOKUP('Données projet'!$B$10,Paramètres!$A$1:$I$89,3,0)*0.475*44/12</f>
        <v>0</v>
      </c>
      <c r="AW43" s="21">
        <f>EXP(-LN(2)/2)*AW42+(1-EXP(-LN(2)/2))/(LN(2)/2)*AQ43*AT43*VLOOKUP('Données projet'!$B$10,Paramètres!$A$1:$I$89,3,0)*0.475*44/12</f>
        <v>7.5424052303069908E-2</v>
      </c>
      <c r="AX43" s="21">
        <f t="shared" si="6"/>
        <v>57.125473977471131</v>
      </c>
      <c r="AY43" s="7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202.99999999999997</v>
      </c>
      <c r="BB43" s="12">
        <f>VLOOKUP(A43,'Données projet'!$A$87:$I$107,9,0)</f>
        <v>10.999999999999996</v>
      </c>
      <c r="BC43" s="12">
        <f t="array" ref="BC43">INDEX(BB:BB,MIN(IF(ISNUMBER(BB43:BB239),ROW(BB43:BB239),"")))</f>
        <v>10.999999999999996</v>
      </c>
      <c r="BD43" s="12">
        <f>IF('Données projet'!$A$88&gt;35,BD42+BC43-BL42,IF(A43&lt;'Données projet'!$A$88,$BA$205^A43,IF(A43='Données projet'!$A$88,'Données projet'!$B$88,BD42+BC43-BL42)))</f>
        <v>203</v>
      </c>
      <c r="BE43" s="13">
        <f>BD43*VLOOKUP('Données projet'!$B$11,Paramètres!$A$1:$I$89,3,0)*VLOOKUP('Données projet'!$B$11,Paramètres!$A$1:$I$89,5,0)</f>
        <v>212.17560000000003</v>
      </c>
      <c r="BF43" s="13">
        <f t="shared" si="37"/>
        <v>52.410723477279205</v>
      </c>
      <c r="BG43" s="20">
        <f t="shared" si="7"/>
        <v>460.82118005626131</v>
      </c>
      <c r="BH43" s="59">
        <f t="shared" si="8"/>
        <v>698.80180486031213</v>
      </c>
      <c r="BI43" s="59">
        <f ca="1">AVERAGE(OFFSET($BH$3,0,0,'Données projet'!$E$11+1,1))-AVERAGE(OFFSET($H$3,0,0,'Données projet'!$E$11+1,1))</f>
        <v>638.07304290599211</v>
      </c>
      <c r="BJ43" s="59">
        <f t="shared" si="38"/>
        <v>408.22196233793511</v>
      </c>
      <c r="BK43" s="15">
        <f>IF(ISNA(VLOOKUP(A43,'Données projet'!$A$87:$I$107,3,0)),0,VLOOKUP(A43,'Données projet'!$A$87:$I$107,3,0))</f>
        <v>3</v>
      </c>
      <c r="BL43" s="15">
        <f>IF(ISNA(VLOOKUP(A43,'Données projet'!$A$87:$I$107,4,0)),0,VLOOKUP(A43,'Données projet'!$A$87:$I$107,4,0))</f>
        <v>56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202.99999999999997</v>
      </c>
      <c r="BW43" s="12">
        <f>VLOOKUP(A43,'Données projet'!$A$113:$I$133,9,0)</f>
        <v>10.999999999999996</v>
      </c>
      <c r="BX43" s="12">
        <f t="array" ref="BX43">INDEX(BW:BW,MIN(IF(ISNUMBER(BW43:BW239),ROW(BW43:BW239),"")))</f>
        <v>10.999999999999996</v>
      </c>
      <c r="BY43" s="12">
        <f>IF('Données projet'!$A$114&gt;35,BY42+BX43-CG42,IF(A43&lt;'Données projet'!$A$114,$BV$205^A43,IF(A43='Données projet'!$A$114,'Données projet'!$B$114,BY42+BX43-CG42)))</f>
        <v>203</v>
      </c>
      <c r="BZ43" s="13">
        <f>BY43*VLOOKUP('Données projet'!$B$12,Paramètres!$A$1:$I$89,3,0)*VLOOKUP('Données projet'!$B$12,Paramètres!$A$1:$I$89,5,0)</f>
        <v>231.1764</v>
      </c>
      <c r="CA43" s="13">
        <f t="shared" si="39"/>
        <v>56.536971139595458</v>
      </c>
      <c r="CB43" s="20">
        <f t="shared" si="10"/>
        <v>501.10078806812868</v>
      </c>
      <c r="CC43" s="59">
        <f t="shared" si="11"/>
        <v>739.0814128721795</v>
      </c>
      <c r="CD43" s="59">
        <f ca="1">AVERAGE(OFFSET($CC$3,0,0,'Données projet'!$E$12+1,1))-AVERAGE(OFFSET($H$3,0,0,'Données projet'!$E$12+1,1))</f>
        <v>685.99951993586967</v>
      </c>
      <c r="CE43" s="59">
        <f t="shared" si="40"/>
        <v>437.98014017823095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202.99999999999997</v>
      </c>
      <c r="CR43" s="12">
        <f>VLOOKUP(A43,'Données projet'!$A$139:$I$159,9,0)</f>
        <v>10.999999999999996</v>
      </c>
      <c r="CS43" s="12">
        <f t="array" ref="CS43">INDEX(CR:CR,MIN(IF(ISNUMBER(CR43:CR239),ROW(CR43:CR239),"")))</f>
        <v>10.999999999999996</v>
      </c>
      <c r="CT43" s="12">
        <f>IF('Données projet'!$A$140&gt;35,CT42+CS43-DB42,IF(A43&lt;'Données projet'!$A$140,$CQ$205^A43,IF(A43='Données projet'!$A$140,'Données projet'!$B$140,CT42+CS43-DB42)))</f>
        <v>203</v>
      </c>
      <c r="CU43" s="17">
        <f>CT43*VLOOKUP('Données projet'!$B$13,Paramètres!$A$1:$I$89,3,0)*VLOOKUP('Données projet'!$B$13,Paramètres!$A$1:$I$89,5,0)</f>
        <v>205.84200000000004</v>
      </c>
      <c r="CV43" s="13">
        <f t="shared" si="41"/>
        <v>51.02590322155848</v>
      </c>
      <c r="CW43" s="20">
        <f t="shared" si="13"/>
        <v>447.37826477754771</v>
      </c>
      <c r="CX43" s="59">
        <f t="shared" si="14"/>
        <v>685.35888958159853</v>
      </c>
      <c r="CY43" s="59">
        <f ca="1">AVERAGE(OFFSET($CX$3,0,0,'Données projet'!$E$13+1,1))-AVERAGE(OFFSET($H$3,0,0,'Données projet'!$E$13+1,1))</f>
        <v>622.07867348539082</v>
      </c>
      <c r="CZ43" s="59">
        <f t="shared" si="42"/>
        <v>398.29010684041634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56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0</v>
      </c>
      <c r="DH43" s="21">
        <f>EXP(-LN(2)/2)*DH42+(1-EXP(-LN(2)/2))/(LN(2)/2)*DB43*DE43*VLOOKUP('Données projet'!$B$13,Paramètres!$A$1:$I$89,3,0)*0.475*44/12</f>
        <v>0</v>
      </c>
      <c r="DI43" s="22">
        <f t="shared" si="15"/>
        <v>0</v>
      </c>
      <c r="DJ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202.99999999999997</v>
      </c>
      <c r="DM43" s="12">
        <f>VLOOKUP(A43,'Données projet'!$A$165:$I$185,9,0)</f>
        <v>10.999999999999996</v>
      </c>
      <c r="DN43" s="12">
        <f t="array" ref="DN43">INDEX(DM:DM,MIN(IF(ISNUMBER(DM43:DM239),ROW(DM43:DM239),"")))</f>
        <v>10.999999999999996</v>
      </c>
      <c r="DO43" s="12">
        <f>IF('Données projet'!$A$166&gt;35,DO42+DN43-DW42,IF(A43&lt;'Données projet'!$A$166,$DL$205^A43,IF(A43='Données projet'!$A$166,'Données projet'!$B$166,DO42+DN43-DW42)))</f>
        <v>203</v>
      </c>
      <c r="DP43" s="17">
        <f>DO43*VLOOKUP('Données projet'!$B$14,Paramètres!$A$1:$I$89,3,0)*VLOOKUP('Données projet'!$B$14,Paramètres!$A$1:$I$89,5,0)</f>
        <v>193.1748</v>
      </c>
      <c r="DQ43" s="13">
        <f t="shared" si="43"/>
        <v>48.241177667270811</v>
      </c>
      <c r="DR43" s="20">
        <f t="shared" si="16"/>
        <v>420.46616110383002</v>
      </c>
      <c r="DS43" s="59">
        <f t="shared" si="17"/>
        <v>658.44678590788089</v>
      </c>
      <c r="DT43" s="59">
        <f ca="1">AVERAGE(OFFSET($DS$3,0,0,'Données projet'!$E$14+1,1))-AVERAGE(OFFSET($H$3,0,0,'Données projet'!$E$14+1,1))</f>
        <v>590.05965493677377</v>
      </c>
      <c r="DU43" s="59">
        <f t="shared" si="44"/>
        <v>378.40640480134505</v>
      </c>
      <c r="DV43" s="15">
        <f>IF(ISNA(VLOOKUP(A43,'Données projet'!$A$165:$I$185,3,0)),0,VLOOKUP(A43,'Données projet'!$A$165:$I$185,3,0))</f>
        <v>3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0</v>
      </c>
      <c r="EC43" s="21">
        <f>EXP(-LN(2)/2)*EC42+(1-EXP(-LN(2)/2))/(LN(2)/2)*DW43*DZ43*VLOOKUP('Données projet'!$B$14,Paramètres!$A$1:$I$89,3,0)*0.475*44/12</f>
        <v>0</v>
      </c>
      <c r="ED43" s="22">
        <f t="shared" si="18"/>
        <v>0</v>
      </c>
      <c r="EE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54.903806764741155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2">
        <f>'Scénario référence'!$B$16*5+'Scénario référence'!$B$17*0+'Scénario référence'!$B$18*5</f>
        <v>4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14.666666666666666</v>
      </c>
      <c r="H44" s="66">
        <f t="shared" si="1"/>
        <v>159.86666666666667</v>
      </c>
      <c r="I44" s="6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-5.6843418860808015E-14</v>
      </c>
      <c r="O44" s="13">
        <f>N44*VLOOKUP('Données projet'!$B$9,Paramètres!$A$1:$I$89,3,0)*VLOOKUP('Données projet'!$B$9,Paramètres!$A$1:$I$89,5,0)</f>
        <v>-2.9085640562698246E-14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140.03175887621094</v>
      </c>
      <c r="T44" s="59">
        <f t="shared" si="34"/>
        <v>377.29475975964954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56.797143355354351</v>
      </c>
      <c r="AA44" s="21">
        <f>EXP(-LN(2)/25)*AA43+(1-EXP(-LN(2)/25))/(LN(2)/25)*Calculateur!V44*Calculateur!X44*VLOOKUP('Données projet'!$B$9,Paramètres!$A$1:$I$89,3,0)*0.475*44/12</f>
        <v>0</v>
      </c>
      <c r="AB44" s="21">
        <f>EXP(-LN(2)/2)*AB43+(1-EXP(-LN(2)/2))/(LN(2)/2)*V44*Y44*VLOOKUP('Données projet'!$B$9,Paramètres!$A$1:$I$89,3,0)*0.475*44/12</f>
        <v>5.4158444898349339E-2</v>
      </c>
      <c r="AC44" s="22">
        <f t="shared" si="3"/>
        <v>56.851301800252699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-5.6843418860808015E-14</v>
      </c>
      <c r="AJ44" s="13">
        <f>AI44*VLOOKUP('Données projet'!$B$10,Paramètres!$A$1:$I$89,3,0)*VLOOKUP('Données projet'!$B$10,Paramètres!$A$1:$I$89,5,0)</f>
        <v>-2.8642261895583942E-14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138.27364731587764</v>
      </c>
      <c r="AO44" s="59">
        <f t="shared" si="36"/>
        <v>372.50391467700013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55.931333243230043</v>
      </c>
      <c r="AV44" s="21">
        <f>EXP(-LN(2)/25)*AV43+(1-EXP(-LN(2)/25))/(LN(2)/25)*Calculateur!AQ44*Calculateur!AS44*VLOOKUP('Données projet'!$B$10,Paramètres!$A$1:$I$89,3,0)*0.475*44/12</f>
        <v>0</v>
      </c>
      <c r="AW44" s="21">
        <f>EXP(-LN(2)/2)*AW43+(1-EXP(-LN(2)/2))/(LN(2)/2)*AQ44*AT44*VLOOKUP('Données projet'!$B$10,Paramètres!$A$1:$I$89,3,0)*0.475*44/12</f>
        <v>5.333285884806957E-2</v>
      </c>
      <c r="AX44" s="21">
        <f t="shared" si="6"/>
        <v>55.984666102078116</v>
      </c>
      <c r="AY44" s="7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11.200000000000003</v>
      </c>
      <c r="BD44" s="12">
        <f>IF('Données projet'!$A$88&gt;35,BD43+BC44-BL43,IF(A44&lt;'Données projet'!$A$88,$BA$205^A44,IF(A44='Données projet'!$A$88,'Données projet'!$B$88,BD43+BC44-BL43)))</f>
        <v>158.19999999999999</v>
      </c>
      <c r="BE44" s="13">
        <f>BD44*VLOOKUP('Données projet'!$B$11,Paramètres!$A$1:$I$89,3,0)*VLOOKUP('Données projet'!$B$11,Paramètres!$A$1:$I$89,5,0)</f>
        <v>165.35064</v>
      </c>
      <c r="BF44" s="13">
        <f t="shared" si="37"/>
        <v>42.047047028703076</v>
      </c>
      <c r="BG44" s="20">
        <f t="shared" si="7"/>
        <v>361.21763824165782</v>
      </c>
      <c r="BH44" s="59">
        <f t="shared" si="8"/>
        <v>600.15850878857452</v>
      </c>
      <c r="BI44" s="59">
        <f ca="1">AVERAGE(OFFSET($BH$3,0,0,'Données projet'!$E$11+1,1))-AVERAGE(OFFSET($H$3,0,0,'Données projet'!$E$11+1,1))</f>
        <v>638.07304290599211</v>
      </c>
      <c r="BJ44" s="59">
        <f t="shared" si="38"/>
        <v>408.22196233793511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11.200000000000003</v>
      </c>
      <c r="BY44" s="12">
        <f>IF('Données projet'!$A$114&gt;35,BY43+BX44-CG43,IF(A44&lt;'Données projet'!$A$114,$BV$205^A44,IF(A44='Données projet'!$A$114,'Données projet'!$B$114,BY43+BX44-CG43)))</f>
        <v>158.19999999999999</v>
      </c>
      <c r="BZ44" s="13">
        <f>BY44*VLOOKUP('Données projet'!$B$12,Paramètres!$A$1:$I$89,3,0)*VLOOKUP('Données projet'!$B$12,Paramètres!$A$1:$I$89,5,0)</f>
        <v>180.15815999999998</v>
      </c>
      <c r="CA44" s="13">
        <f t="shared" si="39"/>
        <v>45.357372053785078</v>
      </c>
      <c r="CB44" s="20">
        <f t="shared" si="10"/>
        <v>392.77288499367563</v>
      </c>
      <c r="CC44" s="59">
        <f t="shared" si="11"/>
        <v>631.71375554059239</v>
      </c>
      <c r="CD44" s="59">
        <f ca="1">AVERAGE(OFFSET($CC$3,0,0,'Données projet'!$E$12+1,1))-AVERAGE(OFFSET($H$3,0,0,'Données projet'!$E$12+1,1))</f>
        <v>685.99951993586967</v>
      </c>
      <c r="CE44" s="59">
        <f t="shared" si="40"/>
        <v>437.98014017823095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11.200000000000003</v>
      </c>
      <c r="CT44" s="12">
        <f>IF('Données projet'!$A$140&gt;35,CT43+CS44-DB43,IF(A44&lt;'Données projet'!$A$140,$CQ$205^A44,IF(A44='Données projet'!$A$140,'Données projet'!$B$140,CT43+CS44-DB43)))</f>
        <v>158.19999999999999</v>
      </c>
      <c r="CU44" s="17">
        <f>CT44*VLOOKUP('Données projet'!$B$13,Paramètres!$A$1:$I$89,3,0)*VLOOKUP('Données projet'!$B$13,Paramètres!$A$1:$I$89,5,0)</f>
        <v>160.41480000000001</v>
      </c>
      <c r="CV44" s="13">
        <f t="shared" si="41"/>
        <v>40.936060601587023</v>
      </c>
      <c r="CW44" s="20">
        <f t="shared" si="13"/>
        <v>350.68608221443077</v>
      </c>
      <c r="CX44" s="59">
        <f t="shared" si="14"/>
        <v>589.62695276134752</v>
      </c>
      <c r="CY44" s="59">
        <f ca="1">AVERAGE(OFFSET($CX$3,0,0,'Données projet'!$E$13+1,1))-AVERAGE(OFFSET($H$3,0,0,'Données projet'!$E$13+1,1))</f>
        <v>622.07867348539082</v>
      </c>
      <c r="CZ44" s="59">
        <f t="shared" si="42"/>
        <v>398.29010684041634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0</v>
      </c>
      <c r="DH44" s="21">
        <f>EXP(-LN(2)/2)*DH43+(1-EXP(-LN(2)/2))/(LN(2)/2)*DB44*DE44*VLOOKUP('Données projet'!$B$13,Paramètres!$A$1:$I$89,3,0)*0.475*44/12</f>
        <v>0</v>
      </c>
      <c r="DI44" s="22">
        <f t="shared" si="15"/>
        <v>0</v>
      </c>
      <c r="DJ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11.200000000000003</v>
      </c>
      <c r="DO44" s="12">
        <f>IF('Données projet'!$A$166&gt;35,DO43+DN44-DW43,IF(A44&lt;'Données projet'!$A$166,$DL$205^A44,IF(A44='Données projet'!$A$166,'Données projet'!$B$166,DO43+DN44-DW43)))</f>
        <v>158.19999999999999</v>
      </c>
      <c r="DP44" s="17">
        <f>DO44*VLOOKUP('Données projet'!$B$14,Paramètres!$A$1:$I$89,3,0)*VLOOKUP('Données projet'!$B$14,Paramètres!$A$1:$I$89,5,0)</f>
        <v>150.54311999999999</v>
      </c>
      <c r="DQ44" s="13">
        <f t="shared" si="43"/>
        <v>38.701985615121231</v>
      </c>
      <c r="DR44" s="20">
        <f t="shared" si="16"/>
        <v>329.60189227966947</v>
      </c>
      <c r="DS44" s="59">
        <f t="shared" si="17"/>
        <v>568.54276282658623</v>
      </c>
      <c r="DT44" s="59">
        <f ca="1">AVERAGE(OFFSET($DS$3,0,0,'Données projet'!$E$14+1,1))-AVERAGE(OFFSET($H$3,0,0,'Données projet'!$E$14+1,1))</f>
        <v>590.05965493677377</v>
      </c>
      <c r="DU44" s="59">
        <f t="shared" si="44"/>
        <v>378.40640480134505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0</v>
      </c>
      <c r="EC44" s="21">
        <f>EXP(-LN(2)/2)*EC43+(1-EXP(-LN(2)/2))/(LN(2)/2)*DW44*DZ44*VLOOKUP('Données projet'!$B$14,Paramètres!$A$1:$I$89,3,0)*0.475*44/12</f>
        <v>0</v>
      </c>
      <c r="ED44" s="22">
        <f t="shared" si="18"/>
        <v>0</v>
      </c>
      <c r="EE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55.16569196734094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2">
        <f>'Scénario référence'!$B$16*5+'Scénario référence'!$B$17*0+'Scénario référence'!$B$18*5</f>
        <v>4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14.666666666666666</v>
      </c>
      <c r="H45" s="66">
        <f t="shared" si="1"/>
        <v>159.86666666666667</v>
      </c>
      <c r="I45" s="6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-5.6843418860808015E-14</v>
      </c>
      <c r="O45" s="13">
        <f>N45*VLOOKUP('Données projet'!$B$9,Paramètres!$A$1:$I$89,3,0)*VLOOKUP('Données projet'!$B$9,Paramètres!$A$1:$I$89,5,0)</f>
        <v>-2.9085640562698246E-14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140.03175887621094</v>
      </c>
      <c r="T45" s="59">
        <f t="shared" si="34"/>
        <v>377.29475975964954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55.6833860169926</v>
      </c>
      <c r="AA45" s="21">
        <f>EXP(-LN(2)/25)*AA44+(1-EXP(-LN(2)/25))/(LN(2)/25)*Calculateur!V45*Calculateur!X45*VLOOKUP('Données projet'!$B$9,Paramètres!$A$1:$I$89,3,0)*0.475*44/12</f>
        <v>0</v>
      </c>
      <c r="AB45" s="21">
        <f>EXP(-LN(2)/2)*AB44+(1-EXP(-LN(2)/2))/(LN(2)/2)*V45*Y45*VLOOKUP('Données projet'!$B$9,Paramètres!$A$1:$I$89,3,0)*0.475*44/12</f>
        <v>3.8295803646140797E-2</v>
      </c>
      <c r="AC45" s="22">
        <f t="shared" si="3"/>
        <v>55.721681820638743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-5.6843418860808015E-14</v>
      </c>
      <c r="AJ45" s="13">
        <f>AI45*VLOOKUP('Données projet'!$B$10,Paramètres!$A$1:$I$89,3,0)*VLOOKUP('Données projet'!$B$10,Paramètres!$A$1:$I$89,5,0)</f>
        <v>-2.8642261895583942E-14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138.27364731587764</v>
      </c>
      <c r="AO45" s="59">
        <f t="shared" si="36"/>
        <v>372.50391467700013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54.834553913075027</v>
      </c>
      <c r="AV45" s="21">
        <f>EXP(-LN(2)/25)*AV44+(1-EXP(-LN(2)/25))/(LN(2)/25)*Calculateur!AQ45*Calculateur!AS45*VLOOKUP('Données projet'!$B$10,Paramètres!$A$1:$I$89,3,0)*0.475*44/12</f>
        <v>0</v>
      </c>
      <c r="AW45" s="21">
        <f>EXP(-LN(2)/2)*AW44+(1-EXP(-LN(2)/2))/(LN(2)/2)*AQ45*AT45*VLOOKUP('Données projet'!$B$10,Paramètres!$A$1:$I$89,3,0)*0.475*44/12</f>
        <v>3.7712026151534954E-2</v>
      </c>
      <c r="AX45" s="21">
        <f t="shared" si="6"/>
        <v>54.872265939226558</v>
      </c>
      <c r="AY45" s="7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11.200000000000003</v>
      </c>
      <c r="BD45" s="12">
        <f>IF('Données projet'!$A$88&gt;35,BD44+BC45-BL44,IF(A45&lt;'Données projet'!$A$88,$BA$205^A45,IF(A45='Données projet'!$A$88,'Données projet'!$B$88,BD44+BC45-BL44)))</f>
        <v>169.39999999999998</v>
      </c>
      <c r="BE45" s="13">
        <f>BD45*VLOOKUP('Données projet'!$B$11,Paramètres!$A$1:$I$89,3,0)*VLOOKUP('Données projet'!$B$11,Paramètres!$A$1:$I$89,5,0)</f>
        <v>177.05687999999998</v>
      </c>
      <c r="BF45" s="13">
        <f t="shared" si="37"/>
        <v>44.66676926193594</v>
      </c>
      <c r="BG45" s="20">
        <f t="shared" si="7"/>
        <v>386.16868913120499</v>
      </c>
      <c r="BH45" s="59">
        <f t="shared" si="8"/>
        <v>626.0531473041367</v>
      </c>
      <c r="BI45" s="59">
        <f ca="1">AVERAGE(OFFSET($BH$3,0,0,'Données projet'!$E$11+1,1))-AVERAGE(OFFSET($H$3,0,0,'Données projet'!$E$11+1,1))</f>
        <v>638.07304290599211</v>
      </c>
      <c r="BJ45" s="59">
        <f t="shared" si="38"/>
        <v>408.22196233793511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11.200000000000003</v>
      </c>
      <c r="BY45" s="12">
        <f>IF('Données projet'!$A$114&gt;35,BY44+BX45-CG44,IF(A45&lt;'Données projet'!$A$114,$BV$205^A45,IF(A45='Données projet'!$A$114,'Données projet'!$B$114,BY44+BX45-CG44)))</f>
        <v>169.39999999999998</v>
      </c>
      <c r="BZ45" s="13">
        <f>BY45*VLOOKUP('Données projet'!$B$12,Paramètres!$A$1:$I$89,3,0)*VLOOKUP('Données projet'!$B$12,Paramètres!$A$1:$I$89,5,0)</f>
        <v>192.91271999999998</v>
      </c>
      <c r="CA45" s="13">
        <f t="shared" si="39"/>
        <v>48.18334258934258</v>
      </c>
      <c r="CB45" s="20">
        <f t="shared" si="10"/>
        <v>419.90897567643827</v>
      </c>
      <c r="CC45" s="59">
        <f t="shared" si="11"/>
        <v>659.7934338493701</v>
      </c>
      <c r="CD45" s="59">
        <f ca="1">AVERAGE(OFFSET($CC$3,0,0,'Données projet'!$E$12+1,1))-AVERAGE(OFFSET($H$3,0,0,'Données projet'!$E$12+1,1))</f>
        <v>685.99951993586967</v>
      </c>
      <c r="CE45" s="59">
        <f t="shared" si="40"/>
        <v>437.98014017823095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11.200000000000003</v>
      </c>
      <c r="CT45" s="12">
        <f>IF('Données projet'!$A$140&gt;35,CT44+CS45-DB44,IF(A45&lt;'Données projet'!$A$140,$CQ$205^A45,IF(A45='Données projet'!$A$140,'Données projet'!$B$140,CT44+CS45-DB44)))</f>
        <v>169.39999999999998</v>
      </c>
      <c r="CU45" s="17">
        <f>CT45*VLOOKUP('Données projet'!$B$13,Paramètres!$A$1:$I$89,3,0)*VLOOKUP('Données projet'!$B$13,Paramètres!$A$1:$I$89,5,0)</f>
        <v>171.77159999999998</v>
      </c>
      <c r="CV45" s="13">
        <f t="shared" si="41"/>
        <v>43.486563328347792</v>
      </c>
      <c r="CW45" s="20">
        <f t="shared" si="13"/>
        <v>374.90796779687236</v>
      </c>
      <c r="CX45" s="59">
        <f t="shared" si="14"/>
        <v>614.79242596980407</v>
      </c>
      <c r="CY45" s="59">
        <f ca="1">AVERAGE(OFFSET($CX$3,0,0,'Données projet'!$E$13+1,1))-AVERAGE(OFFSET($H$3,0,0,'Données projet'!$E$13+1,1))</f>
        <v>622.07867348539082</v>
      </c>
      <c r="CZ45" s="59">
        <f t="shared" si="42"/>
        <v>398.29010684041634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0</v>
      </c>
      <c r="DH45" s="21">
        <f>EXP(-LN(2)/2)*DH44+(1-EXP(-LN(2)/2))/(LN(2)/2)*DB45*DE45*VLOOKUP('Données projet'!$B$13,Paramètres!$A$1:$I$89,3,0)*0.475*44/12</f>
        <v>0</v>
      </c>
      <c r="DI45" s="22">
        <f t="shared" si="15"/>
        <v>0</v>
      </c>
      <c r="DJ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11.200000000000003</v>
      </c>
      <c r="DO45" s="12">
        <f>IF('Données projet'!$A$166&gt;35,DO44+DN45-DW44,IF(A45&lt;'Données projet'!$A$166,$DL$205^A45,IF(A45='Données projet'!$A$166,'Données projet'!$B$166,DO44+DN45-DW44)))</f>
        <v>169.39999999999998</v>
      </c>
      <c r="DP45" s="17">
        <f>DO45*VLOOKUP('Données projet'!$B$14,Paramètres!$A$1:$I$89,3,0)*VLOOKUP('Données projet'!$B$14,Paramètres!$A$1:$I$89,5,0)</f>
        <v>161.20103999999998</v>
      </c>
      <c r="DQ45" s="13">
        <f t="shared" si="43"/>
        <v>41.11329531106685</v>
      </c>
      <c r="DR45" s="20">
        <f t="shared" si="16"/>
        <v>352.36413400010809</v>
      </c>
      <c r="DS45" s="59">
        <f t="shared" si="17"/>
        <v>592.24859217303992</v>
      </c>
      <c r="DT45" s="59">
        <f ca="1">AVERAGE(OFFSET($DS$3,0,0,'Données projet'!$E$14+1,1))-AVERAGE(OFFSET($H$3,0,0,'Données projet'!$E$14+1,1))</f>
        <v>590.05965493677377</v>
      </c>
      <c r="DU45" s="59">
        <f t="shared" si="44"/>
        <v>378.40640480134505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0</v>
      </c>
      <c r="EC45" s="21">
        <f>EXP(-LN(2)/2)*EC44+(1-EXP(-LN(2)/2))/(LN(2)/2)*DW45*DZ45*VLOOKUP('Données projet'!$B$14,Paramètres!$A$1:$I$89,3,0)*0.475*44/12</f>
        <v>0</v>
      </c>
      <c r="ED45" s="22">
        <f t="shared" si="18"/>
        <v>0</v>
      </c>
      <c r="EE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55.42303404716322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2">
        <f>'Scénario référence'!$B$16*5+'Scénario référence'!$B$17*0+'Scénario référence'!$B$18*5</f>
        <v>4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14.666666666666666</v>
      </c>
      <c r="H46" s="66">
        <f t="shared" si="1"/>
        <v>159.86666666666667</v>
      </c>
      <c r="I46" s="6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-5.6843418860808015E-14</v>
      </c>
      <c r="O46" s="13">
        <f>N46*VLOOKUP('Données projet'!$B$9,Paramètres!$A$1:$I$89,3,0)*VLOOKUP('Données projet'!$B$9,Paramètres!$A$1:$I$89,5,0)</f>
        <v>-2.9085640562698246E-14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140.03175887621094</v>
      </c>
      <c r="T46" s="59">
        <f t="shared" si="34"/>
        <v>377.29475975964954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54.591468780711224</v>
      </c>
      <c r="AA46" s="21">
        <f>EXP(-LN(2)/25)*AA45+(1-EXP(-LN(2)/25))/(LN(2)/25)*Calculateur!V46*Calculateur!X46*VLOOKUP('Données projet'!$B$9,Paramètres!$A$1:$I$89,3,0)*0.475*44/12</f>
        <v>0</v>
      </c>
      <c r="AB46" s="21">
        <f>EXP(-LN(2)/2)*AB45+(1-EXP(-LN(2)/2))/(LN(2)/2)*V46*Y46*VLOOKUP('Données projet'!$B$9,Paramètres!$A$1:$I$89,3,0)*0.475*44/12</f>
        <v>2.707922244917467E-2</v>
      </c>
      <c r="AC46" s="22">
        <f t="shared" si="3"/>
        <v>54.618548003160399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-5.6843418860808015E-14</v>
      </c>
      <c r="AJ46" s="13">
        <f>AI46*VLOOKUP('Données projet'!$B$10,Paramètres!$A$1:$I$89,3,0)*VLOOKUP('Données projet'!$B$10,Paramètres!$A$1:$I$89,5,0)</f>
        <v>-2.8642261895583942E-14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138.27364731587764</v>
      </c>
      <c r="AO46" s="59">
        <f t="shared" si="36"/>
        <v>372.50391467700013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53.759281756615017</v>
      </c>
      <c r="AV46" s="21">
        <f>EXP(-LN(2)/25)*AV45+(1-EXP(-LN(2)/25))/(LN(2)/25)*Calculateur!AQ46*Calculateur!AS46*VLOOKUP('Données projet'!$B$10,Paramètres!$A$1:$I$89,3,0)*0.475*44/12</f>
        <v>0</v>
      </c>
      <c r="AW46" s="21">
        <f>EXP(-LN(2)/2)*AW45+(1-EXP(-LN(2)/2))/(LN(2)/2)*AQ46*AT46*VLOOKUP('Données projet'!$B$10,Paramètres!$A$1:$I$89,3,0)*0.475*44/12</f>
        <v>2.6666429424034785E-2</v>
      </c>
      <c r="AX46" s="21">
        <f t="shared" si="6"/>
        <v>53.78594818603905</v>
      </c>
      <c r="AY46" s="7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11.200000000000003</v>
      </c>
      <c r="BD46" s="12">
        <f>IF('Données projet'!$A$88&gt;35,BD45+BC46-BL45,IF(A46&lt;'Données projet'!$A$88,$BA$205^A46,IF(A46='Données projet'!$A$88,'Données projet'!$B$88,BD45+BC46-BL45)))</f>
        <v>180.59999999999997</v>
      </c>
      <c r="BE46" s="13">
        <f>BD46*VLOOKUP('Données projet'!$B$11,Paramètres!$A$1:$I$89,3,0)*VLOOKUP('Données projet'!$B$11,Paramètres!$A$1:$I$89,5,0)</f>
        <v>188.76311999999999</v>
      </c>
      <c r="BF46" s="13">
        <f t="shared" si="37"/>
        <v>47.266392386745324</v>
      </c>
      <c r="BG46" s="20">
        <f t="shared" si="7"/>
        <v>411.08473407358133</v>
      </c>
      <c r="BH46" s="59">
        <f t="shared" si="8"/>
        <v>651.89641073676273</v>
      </c>
      <c r="BI46" s="59">
        <f ca="1">AVERAGE(OFFSET($BH$3,0,0,'Données projet'!$E$11+1,1))-AVERAGE(OFFSET($H$3,0,0,'Données projet'!$E$11+1,1))</f>
        <v>638.07304290599211</v>
      </c>
      <c r="BJ46" s="59">
        <f t="shared" si="38"/>
        <v>408.22196233793511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11.200000000000003</v>
      </c>
      <c r="BY46" s="12">
        <f>IF('Données projet'!$A$114&gt;35,BY45+BX46-CG45,IF(A46&lt;'Données projet'!$A$114,$BV$205^A46,IF(A46='Données projet'!$A$114,'Données projet'!$B$114,BY45+BX46-CG45)))</f>
        <v>180.59999999999997</v>
      </c>
      <c r="BZ46" s="13">
        <f>BY46*VLOOKUP('Données projet'!$B$12,Paramètres!$A$1:$I$89,3,0)*VLOOKUP('Données projet'!$B$12,Paramètres!$A$1:$I$89,5,0)</f>
        <v>205.66727999999995</v>
      </c>
      <c r="CA46" s="13">
        <f t="shared" si="39"/>
        <v>50.987631632307014</v>
      </c>
      <c r="CB46" s="20">
        <f t="shared" si="10"/>
        <v>447.00730442626786</v>
      </c>
      <c r="CC46" s="59">
        <f t="shared" si="11"/>
        <v>687.81898108944927</v>
      </c>
      <c r="CD46" s="59">
        <f ca="1">AVERAGE(OFFSET($CC$3,0,0,'Données projet'!$E$12+1,1))-AVERAGE(OFFSET($H$3,0,0,'Données projet'!$E$12+1,1))</f>
        <v>685.99951993586967</v>
      </c>
      <c r="CE46" s="59">
        <f t="shared" si="40"/>
        <v>437.98014017823095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11.200000000000003</v>
      </c>
      <c r="CT46" s="12">
        <f>IF('Données projet'!$A$140&gt;35,CT45+CS46-DB45,IF(A46&lt;'Données projet'!$A$140,$CQ$205^A46,IF(A46='Données projet'!$A$140,'Données projet'!$B$140,CT45+CS46-DB45)))</f>
        <v>180.59999999999997</v>
      </c>
      <c r="CU46" s="17">
        <f>CT46*VLOOKUP('Données projet'!$B$13,Paramètres!$A$1:$I$89,3,0)*VLOOKUP('Données projet'!$B$13,Paramètres!$A$1:$I$89,5,0)</f>
        <v>183.1284</v>
      </c>
      <c r="CV46" s="13">
        <f t="shared" si="41"/>
        <v>46.017498014577676</v>
      </c>
      <c r="CW46" s="20">
        <f t="shared" si="13"/>
        <v>399.09577237538946</v>
      </c>
      <c r="CX46" s="59">
        <f t="shared" si="14"/>
        <v>639.9074490385708</v>
      </c>
      <c r="CY46" s="59">
        <f ca="1">AVERAGE(OFFSET($CX$3,0,0,'Données projet'!$E$13+1,1))-AVERAGE(OFFSET($H$3,0,0,'Données projet'!$E$13+1,1))</f>
        <v>622.07867348539082</v>
      </c>
      <c r="CZ46" s="59">
        <f t="shared" si="42"/>
        <v>398.29010684041634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0</v>
      </c>
      <c r="DH46" s="21">
        <f>EXP(-LN(2)/2)*DH45+(1-EXP(-LN(2)/2))/(LN(2)/2)*DB46*DE46*VLOOKUP('Données projet'!$B$13,Paramètres!$A$1:$I$89,3,0)*0.475*44/12</f>
        <v>0</v>
      </c>
      <c r="DI46" s="22">
        <f t="shared" si="15"/>
        <v>0</v>
      </c>
      <c r="DJ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11.200000000000003</v>
      </c>
      <c r="DO46" s="12">
        <f>IF('Données projet'!$A$166&gt;35,DO45+DN46-DW45,IF(A46&lt;'Données projet'!$A$166,$DL$205^A46,IF(A46='Données projet'!$A$166,'Données projet'!$B$166,DO45+DN46-DW45)))</f>
        <v>180.59999999999997</v>
      </c>
      <c r="DP46" s="17">
        <f>DO46*VLOOKUP('Données projet'!$B$14,Paramètres!$A$1:$I$89,3,0)*VLOOKUP('Données projet'!$B$14,Paramètres!$A$1:$I$89,5,0)</f>
        <v>171.85895999999997</v>
      </c>
      <c r="DQ46" s="13">
        <f t="shared" si="43"/>
        <v>43.506104887264392</v>
      </c>
      <c r="DR46" s="20">
        <f t="shared" si="16"/>
        <v>375.0941546786521</v>
      </c>
      <c r="DS46" s="59">
        <f t="shared" si="17"/>
        <v>615.9058313418335</v>
      </c>
      <c r="DT46" s="59">
        <f ca="1">AVERAGE(OFFSET($DS$3,0,0,'Données projet'!$E$14+1,1))-AVERAGE(OFFSET($H$3,0,0,'Données projet'!$E$14+1,1))</f>
        <v>590.05965493677377</v>
      </c>
      <c r="DU46" s="59">
        <f t="shared" si="44"/>
        <v>378.40640480134505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0</v>
      </c>
      <c r="EC46" s="21">
        <f>EXP(-LN(2)/2)*EC45+(1-EXP(-LN(2)/2))/(LN(2)/2)*DW46*DZ46*VLOOKUP('Données projet'!$B$14,Paramètres!$A$1:$I$89,3,0)*0.475*44/12</f>
        <v>0</v>
      </c>
      <c r="ED46" s="22">
        <f t="shared" si="18"/>
        <v>0</v>
      </c>
      <c r="EE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55.675911817231281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2">
        <f>'Scénario référence'!$B$16*5+'Scénario référence'!$B$17*0+'Scénario référence'!$B$18*5</f>
        <v>4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14.666666666666666</v>
      </c>
      <c r="H47" s="66">
        <f t="shared" si="1"/>
        <v>159.86666666666667</v>
      </c>
      <c r="I47" s="6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-5.6843418860808015E-14</v>
      </c>
      <c r="O47" s="13">
        <f>N47*VLOOKUP('Données projet'!$B$9,Paramètres!$A$1:$I$89,3,0)*VLOOKUP('Données projet'!$B$9,Paramètres!$A$1:$I$89,5,0)</f>
        <v>-2.9085640562698246E-14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140.03175887621094</v>
      </c>
      <c r="T47" s="59">
        <f t="shared" si="34"/>
        <v>377.29475975964954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53.520963375429581</v>
      </c>
      <c r="AA47" s="21">
        <f>EXP(-LN(2)/25)*AA46+(1-EXP(-LN(2)/25))/(LN(2)/25)*Calculateur!V47*Calculateur!X47*VLOOKUP('Données projet'!$B$9,Paramètres!$A$1:$I$89,3,0)*0.475*44/12</f>
        <v>0</v>
      </c>
      <c r="AB47" s="21">
        <f>EXP(-LN(2)/2)*AB46+(1-EXP(-LN(2)/2))/(LN(2)/2)*V47*Y47*VLOOKUP('Données projet'!$B$9,Paramètres!$A$1:$I$89,3,0)*0.475*44/12</f>
        <v>1.9147901823070398E-2</v>
      </c>
      <c r="AC47" s="22">
        <f t="shared" si="3"/>
        <v>53.540111277252649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-5.6843418860808015E-14</v>
      </c>
      <c r="AJ47" s="13">
        <f>AI47*VLOOKUP('Données projet'!$B$10,Paramètres!$A$1:$I$89,3,0)*VLOOKUP('Données projet'!$B$10,Paramètres!$A$1:$I$89,5,0)</f>
        <v>-2.8642261895583942E-14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138.27364731587764</v>
      </c>
      <c r="AO47" s="59">
        <f t="shared" si="36"/>
        <v>372.50391467700013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52.705095031291933</v>
      </c>
      <c r="AV47" s="21">
        <f>EXP(-LN(2)/25)*AV46+(1-EXP(-LN(2)/25))/(LN(2)/25)*Calculateur!AQ47*Calculateur!AS47*VLOOKUP('Données projet'!$B$10,Paramètres!$A$1:$I$89,3,0)*0.475*44/12</f>
        <v>0</v>
      </c>
      <c r="AW47" s="21">
        <f>EXP(-LN(2)/2)*AW46+(1-EXP(-LN(2)/2))/(LN(2)/2)*AQ47*AT47*VLOOKUP('Données projet'!$B$10,Paramètres!$A$1:$I$89,3,0)*0.475*44/12</f>
        <v>1.8856013075767477E-2</v>
      </c>
      <c r="AX47" s="21">
        <f t="shared" si="6"/>
        <v>52.723951044367702</v>
      </c>
      <c r="AY47" s="7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11.200000000000003</v>
      </c>
      <c r="BD47" s="12">
        <f>IF('Données projet'!$A$88&gt;35,BD46+BC47-BL46,IF(A47&lt;'Données projet'!$A$88,$BA$205^A47,IF(A47='Données projet'!$A$88,'Données projet'!$B$88,BD46+BC47-BL46)))</f>
        <v>191.79999999999995</v>
      </c>
      <c r="BE47" s="13">
        <f>BD47*VLOOKUP('Données projet'!$B$11,Paramètres!$A$1:$I$89,3,0)*VLOOKUP('Données projet'!$B$11,Paramètres!$A$1:$I$89,5,0)</f>
        <v>200.46935999999997</v>
      </c>
      <c r="BF47" s="13">
        <f t="shared" si="37"/>
        <v>49.847304770789783</v>
      </c>
      <c r="BG47" s="20">
        <f t="shared" si="7"/>
        <v>435.96819114245881</v>
      </c>
      <c r="BH47" s="59">
        <f t="shared" si="8"/>
        <v>677.69100112803392</v>
      </c>
      <c r="BI47" s="59">
        <f ca="1">AVERAGE(OFFSET($BH$3,0,0,'Données projet'!$E$11+1,1))-AVERAGE(OFFSET($H$3,0,0,'Données projet'!$E$11+1,1))</f>
        <v>638.07304290599211</v>
      </c>
      <c r="BJ47" s="59">
        <f t="shared" si="38"/>
        <v>408.22196233793511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11.200000000000003</v>
      </c>
      <c r="BY47" s="12">
        <f>IF('Données projet'!$A$114&gt;35,BY46+BX47-CG46,IF(A47&lt;'Données projet'!$A$114,$BV$205^A47,IF(A47='Données projet'!$A$114,'Données projet'!$B$114,BY46+BX47-CG46)))</f>
        <v>191.79999999999995</v>
      </c>
      <c r="BZ47" s="13">
        <f>BY47*VLOOKUP('Données projet'!$B$12,Paramètres!$A$1:$I$89,3,0)*VLOOKUP('Données projet'!$B$12,Paramètres!$A$1:$I$89,5,0)</f>
        <v>218.42183999999995</v>
      </c>
      <c r="CA47" s="13">
        <f t="shared" si="39"/>
        <v>53.771736855235361</v>
      </c>
      <c r="CB47" s="20">
        <f t="shared" si="10"/>
        <v>474.07047968953481</v>
      </c>
      <c r="CC47" s="59">
        <f t="shared" si="11"/>
        <v>715.79328967510992</v>
      </c>
      <c r="CD47" s="59">
        <f ca="1">AVERAGE(OFFSET($CC$3,0,0,'Données projet'!$E$12+1,1))-AVERAGE(OFFSET($H$3,0,0,'Données projet'!$E$12+1,1))</f>
        <v>685.99951993586967</v>
      </c>
      <c r="CE47" s="59">
        <f t="shared" si="40"/>
        <v>437.98014017823095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11.200000000000003</v>
      </c>
      <c r="CT47" s="12">
        <f>IF('Données projet'!$A$140&gt;35,CT46+CS47-DB46,IF(A47&lt;'Données projet'!$A$140,$CQ$205^A47,IF(A47='Données projet'!$A$140,'Données projet'!$B$140,CT46+CS47-DB46)))</f>
        <v>191.79999999999995</v>
      </c>
      <c r="CU47" s="17">
        <f>CT47*VLOOKUP('Données projet'!$B$13,Paramètres!$A$1:$I$89,3,0)*VLOOKUP('Données projet'!$B$13,Paramètres!$A$1:$I$89,5,0)</f>
        <v>194.48519999999996</v>
      </c>
      <c r="CV47" s="13">
        <f t="shared" si="41"/>
        <v>48.530216343846028</v>
      </c>
      <c r="CW47" s="20">
        <f t="shared" si="13"/>
        <v>423.2518501321984</v>
      </c>
      <c r="CX47" s="59">
        <f t="shared" si="14"/>
        <v>664.97466011777351</v>
      </c>
      <c r="CY47" s="59">
        <f ca="1">AVERAGE(OFFSET($CX$3,0,0,'Données projet'!$E$13+1,1))-AVERAGE(OFFSET($H$3,0,0,'Données projet'!$E$13+1,1))</f>
        <v>622.07867348539082</v>
      </c>
      <c r="CZ47" s="59">
        <f t="shared" si="42"/>
        <v>398.29010684041634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0</v>
      </c>
      <c r="DH47" s="21">
        <f>EXP(-LN(2)/2)*DH46+(1-EXP(-LN(2)/2))/(LN(2)/2)*DB47*DE47*VLOOKUP('Données projet'!$B$13,Paramètres!$A$1:$I$89,3,0)*0.475*44/12</f>
        <v>0</v>
      </c>
      <c r="DI47" s="22">
        <f t="shared" si="15"/>
        <v>0</v>
      </c>
      <c r="DJ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11.200000000000003</v>
      </c>
      <c r="DO47" s="12">
        <f>IF('Données projet'!$A$166&gt;35,DO46+DN47-DW46,IF(A47&lt;'Données projet'!$A$166,$DL$205^A47,IF(A47='Données projet'!$A$166,'Données projet'!$B$166,DO46+DN47-DW46)))</f>
        <v>191.79999999999995</v>
      </c>
      <c r="DP47" s="17">
        <f>DO47*VLOOKUP('Données projet'!$B$14,Paramètres!$A$1:$I$89,3,0)*VLOOKUP('Données projet'!$B$14,Paramètres!$A$1:$I$89,5,0)</f>
        <v>182.51687999999996</v>
      </c>
      <c r="DQ47" s="13">
        <f t="shared" si="43"/>
        <v>45.881692259499843</v>
      </c>
      <c r="DR47" s="20">
        <f t="shared" si="16"/>
        <v>397.79418001862882</v>
      </c>
      <c r="DS47" s="59">
        <f t="shared" si="17"/>
        <v>639.51699000420388</v>
      </c>
      <c r="DT47" s="59">
        <f ca="1">AVERAGE(OFFSET($DS$3,0,0,'Données projet'!$E$14+1,1))-AVERAGE(OFFSET($H$3,0,0,'Données projet'!$E$14+1,1))</f>
        <v>590.05965493677377</v>
      </c>
      <c r="DU47" s="59">
        <f t="shared" si="44"/>
        <v>378.40640480134505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0</v>
      </c>
      <c r="EC47" s="21">
        <f>EXP(-LN(2)/2)*EC46+(1-EXP(-LN(2)/2))/(LN(2)/2)*DW47*DZ47*VLOOKUP('Données projet'!$B$14,Paramètres!$A$1:$I$89,3,0)*0.475*44/12</f>
        <v>0</v>
      </c>
      <c r="ED47" s="22">
        <f t="shared" si="18"/>
        <v>0</v>
      </c>
      <c r="EE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55.924402723338666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2">
        <f>'Scénario référence'!$B$16*5+'Scénario référence'!$B$17*0+'Scénario référence'!$B$18*5</f>
        <v>4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14.666666666666666</v>
      </c>
      <c r="H48" s="66">
        <f t="shared" si="1"/>
        <v>159.86666666666667</v>
      </c>
      <c r="I48" s="6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-5.6843418860808015E-14</v>
      </c>
      <c r="O48" s="13">
        <f>N48*VLOOKUP('Données projet'!$B$9,Paramètres!$A$1:$I$89,3,0)*VLOOKUP('Données projet'!$B$9,Paramètres!$A$1:$I$89,5,0)</f>
        <v>-2.9085640562698246E-14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140.03175887621094</v>
      </c>
      <c r="T48" s="59">
        <f t="shared" si="34"/>
        <v>377.29475975964954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52.471449928201686</v>
      </c>
      <c r="AA48" s="21">
        <f>EXP(-LN(2)/25)*AA47+(1-EXP(-LN(2)/25))/(LN(2)/25)*Calculateur!V48*Calculateur!X48*VLOOKUP('Données projet'!$B$9,Paramètres!$A$1:$I$89,3,0)*0.475*44/12</f>
        <v>0</v>
      </c>
      <c r="AB48" s="21">
        <f>EXP(-LN(2)/2)*AB47+(1-EXP(-LN(2)/2))/(LN(2)/2)*V48*Y48*VLOOKUP('Données projet'!$B$9,Paramètres!$A$1:$I$89,3,0)*0.475*44/12</f>
        <v>1.3539611224587335E-2</v>
      </c>
      <c r="AC48" s="22">
        <f t="shared" si="3"/>
        <v>52.484989539426273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-5.6843418860808015E-14</v>
      </c>
      <c r="AJ48" s="13">
        <f>AI48*VLOOKUP('Données projet'!$B$10,Paramètres!$A$1:$I$89,3,0)*VLOOKUP('Données projet'!$B$10,Paramètres!$A$1:$I$89,5,0)</f>
        <v>-2.8642261895583942E-14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138.27364731587764</v>
      </c>
      <c r="AO48" s="59">
        <f t="shared" si="36"/>
        <v>372.50391467700013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51.671580264662019</v>
      </c>
      <c r="AV48" s="21">
        <f>EXP(-LN(2)/25)*AV47+(1-EXP(-LN(2)/25))/(LN(2)/25)*Calculateur!AQ48*Calculateur!AS48*VLOOKUP('Données projet'!$B$10,Paramètres!$A$1:$I$89,3,0)*0.475*44/12</f>
        <v>0</v>
      </c>
      <c r="AW48" s="21">
        <f>EXP(-LN(2)/2)*AW47+(1-EXP(-LN(2)/2))/(LN(2)/2)*AQ48*AT48*VLOOKUP('Données projet'!$B$10,Paramètres!$A$1:$I$89,3,0)*0.475*44/12</f>
        <v>1.3333214712017392E-2</v>
      </c>
      <c r="AX48" s="21">
        <f t="shared" si="6"/>
        <v>51.684913479374039</v>
      </c>
      <c r="AY48" s="7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11.200000000000003</v>
      </c>
      <c r="BD48" s="12">
        <f>IF('Données projet'!$A$88&gt;35,BD47+BC48-BL47,IF(A48&lt;'Données projet'!$A$88,$BA$205^A48,IF(A48='Données projet'!$A$88,'Données projet'!$B$88,BD47+BC48-BL47)))</f>
        <v>202.99999999999994</v>
      </c>
      <c r="BE48" s="13">
        <f>BD48*VLOOKUP('Données projet'!$B$11,Paramètres!$A$1:$I$89,3,0)*VLOOKUP('Données projet'!$B$11,Paramètres!$A$1:$I$89,5,0)</f>
        <v>212.17559999999995</v>
      </c>
      <c r="BF48" s="13">
        <f t="shared" si="37"/>
        <v>52.410723477279156</v>
      </c>
      <c r="BG48" s="20">
        <f t="shared" si="7"/>
        <v>460.82118005626108</v>
      </c>
      <c r="BH48" s="59">
        <f t="shared" si="8"/>
        <v>703.43931723807532</v>
      </c>
      <c r="BI48" s="59">
        <f ca="1">AVERAGE(OFFSET($BH$3,0,0,'Données projet'!$E$11+1,1))-AVERAGE(OFFSET($H$3,0,0,'Données projet'!$E$11+1,1))</f>
        <v>638.07304290599211</v>
      </c>
      <c r="BJ48" s="59">
        <f t="shared" si="38"/>
        <v>408.22196233793511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11.200000000000003</v>
      </c>
      <c r="BY48" s="12">
        <f>IF('Données projet'!$A$114&gt;35,BY47+BX48-CG47,IF(A48&lt;'Données projet'!$A$114,$BV$205^A48,IF(A48='Données projet'!$A$114,'Données projet'!$B$114,BY47+BX48-CG47)))</f>
        <v>202.99999999999994</v>
      </c>
      <c r="BZ48" s="13">
        <f>BY48*VLOOKUP('Données projet'!$B$12,Paramètres!$A$1:$I$89,3,0)*VLOOKUP('Données projet'!$B$12,Paramètres!$A$1:$I$89,5,0)</f>
        <v>231.17639999999992</v>
      </c>
      <c r="CA48" s="13">
        <f t="shared" si="39"/>
        <v>56.536971139595458</v>
      </c>
      <c r="CB48" s="20">
        <f t="shared" si="10"/>
        <v>501.10078806812857</v>
      </c>
      <c r="CC48" s="59">
        <f t="shared" si="11"/>
        <v>743.7189252499428</v>
      </c>
      <c r="CD48" s="59">
        <f ca="1">AVERAGE(OFFSET($CC$3,0,0,'Données projet'!$E$12+1,1))-AVERAGE(OFFSET($H$3,0,0,'Données projet'!$E$12+1,1))</f>
        <v>685.99951993586967</v>
      </c>
      <c r="CE48" s="59">
        <f t="shared" si="40"/>
        <v>437.98014017823095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11.200000000000003</v>
      </c>
      <c r="CT48" s="12">
        <f>IF('Données projet'!$A$140&gt;35,CT47+CS48-DB47,IF(A48&lt;'Données projet'!$A$140,$CQ$205^A48,IF(A48='Données projet'!$A$140,'Données projet'!$B$140,CT47+CS48-DB47)))</f>
        <v>202.99999999999994</v>
      </c>
      <c r="CU48" s="17">
        <f>CT48*VLOOKUP('Données projet'!$B$13,Paramètres!$A$1:$I$89,3,0)*VLOOKUP('Données projet'!$B$13,Paramètres!$A$1:$I$89,5,0)</f>
        <v>205.84199999999996</v>
      </c>
      <c r="CV48" s="13">
        <f t="shared" si="41"/>
        <v>51.025903221558437</v>
      </c>
      <c r="CW48" s="20">
        <f t="shared" si="13"/>
        <v>447.37826477754749</v>
      </c>
      <c r="CX48" s="59">
        <f t="shared" si="14"/>
        <v>689.99640195936172</v>
      </c>
      <c r="CY48" s="59">
        <f ca="1">AVERAGE(OFFSET($CX$3,0,0,'Données projet'!$E$13+1,1))-AVERAGE(OFFSET($H$3,0,0,'Données projet'!$E$13+1,1))</f>
        <v>622.07867348539082</v>
      </c>
      <c r="CZ48" s="59">
        <f t="shared" si="42"/>
        <v>398.29010684041634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0</v>
      </c>
      <c r="DH48" s="21">
        <f>EXP(-LN(2)/2)*DH47+(1-EXP(-LN(2)/2))/(LN(2)/2)*DB48*DE48*VLOOKUP('Données projet'!$B$13,Paramètres!$A$1:$I$89,3,0)*0.475*44/12</f>
        <v>0</v>
      </c>
      <c r="DI48" s="22">
        <f t="shared" si="15"/>
        <v>0</v>
      </c>
      <c r="DJ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11.200000000000003</v>
      </c>
      <c r="DO48" s="12">
        <f>IF('Données projet'!$A$166&gt;35,DO47+DN48-DW47,IF(A48&lt;'Données projet'!$A$166,$DL$205^A48,IF(A48='Données projet'!$A$166,'Données projet'!$B$166,DO47+DN48-DW47)))</f>
        <v>202.99999999999994</v>
      </c>
      <c r="DP48" s="17">
        <f>DO48*VLOOKUP('Données projet'!$B$14,Paramètres!$A$1:$I$89,3,0)*VLOOKUP('Données projet'!$B$14,Paramètres!$A$1:$I$89,5,0)</f>
        <v>193.17479999999995</v>
      </c>
      <c r="DQ48" s="13">
        <f t="shared" si="43"/>
        <v>48.241177667270811</v>
      </c>
      <c r="DR48" s="20">
        <f t="shared" si="16"/>
        <v>420.46616110382985</v>
      </c>
      <c r="DS48" s="59">
        <f t="shared" si="17"/>
        <v>663.08429828564408</v>
      </c>
      <c r="DT48" s="59">
        <f ca="1">AVERAGE(OFFSET($DS$3,0,0,'Données projet'!$E$14+1,1))-AVERAGE(OFFSET($H$3,0,0,'Données projet'!$E$14+1,1))</f>
        <v>590.05965493677377</v>
      </c>
      <c r="DU48" s="59">
        <f t="shared" si="44"/>
        <v>378.40640480134505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0</v>
      </c>
      <c r="EC48" s="21">
        <f>EXP(-LN(2)/2)*EC47+(1-EXP(-LN(2)/2))/(LN(2)/2)*DW48*DZ48*VLOOKUP('Données projet'!$B$14,Paramètres!$A$1:$I$89,3,0)*0.475*44/12</f>
        <v>0</v>
      </c>
      <c r="ED48" s="22">
        <f t="shared" si="18"/>
        <v>0</v>
      </c>
      <c r="EE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56.168582867767533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2">
        <f>'Scénario référence'!$B$16*5+'Scénario référence'!$B$17*0+'Scénario référence'!$B$18*5</f>
        <v>4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14.666666666666666</v>
      </c>
      <c r="H49" s="66">
        <f t="shared" si="1"/>
        <v>159.86666666666667</v>
      </c>
      <c r="I49" s="6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-2.9085640562698246E-14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140.03175887621094</v>
      </c>
      <c r="T49" s="59">
        <f t="shared" si="34"/>
        <v>377.29475975964954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51.442516799533934</v>
      </c>
      <c r="AA49" s="21">
        <f>EXP(-LN(2)/25)*AA48+(1-EXP(-LN(2)/25))/(LN(2)/25)*Calculateur!V49*Calculateur!X49*VLOOKUP('Données projet'!$B$9,Paramètres!$A$1:$I$89,3,0)*0.475*44/12</f>
        <v>0</v>
      </c>
      <c r="AB49" s="21">
        <f>EXP(-LN(2)/2)*AB48+(1-EXP(-LN(2)/2))/(LN(2)/2)*V49*Y49*VLOOKUP('Données projet'!$B$9,Paramètres!$A$1:$I$89,3,0)*0.475*44/12</f>
        <v>9.5739509115351992E-3</v>
      </c>
      <c r="AC49" s="22">
        <f t="shared" si="3"/>
        <v>51.452090750445471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-5.6843418860808015E-14</v>
      </c>
      <c r="AJ49" s="13">
        <f>AI49*VLOOKUP('Données projet'!$B$10,Paramètres!$A$1:$I$89,3,0)*VLOOKUP('Données projet'!$B$10,Paramètres!$A$1:$I$89,5,0)</f>
        <v>-2.8642261895583942E-14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138.27364731587764</v>
      </c>
      <c r="AO49" s="59">
        <f t="shared" si="36"/>
        <v>372.50391467700013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50.658332092223958</v>
      </c>
      <c r="AV49" s="21">
        <f>EXP(-LN(2)/25)*AV48+(1-EXP(-LN(2)/25))/(LN(2)/25)*Calculateur!AQ49*Calculateur!AS49*VLOOKUP('Données projet'!$B$10,Paramètres!$A$1:$I$89,3,0)*0.475*44/12</f>
        <v>0</v>
      </c>
      <c r="AW49" s="21">
        <f>EXP(-LN(2)/2)*AW48+(1-EXP(-LN(2)/2))/(LN(2)/2)*AQ49*AT49*VLOOKUP('Données projet'!$B$10,Paramètres!$A$1:$I$89,3,0)*0.475*44/12</f>
        <v>9.4280065378837385E-3</v>
      </c>
      <c r="AX49" s="21">
        <f t="shared" si="6"/>
        <v>50.667760098761839</v>
      </c>
      <c r="AY49" s="7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11.200000000000003</v>
      </c>
      <c r="BD49" s="12">
        <f>IF('Données projet'!$A$88&gt;35,BD48+BC49-BL48,IF(A49&lt;'Données projet'!$A$88,$BA$205^A49,IF(A49='Données projet'!$A$88,'Données projet'!$B$88,BD48+BC49-BL48)))</f>
        <v>214.19999999999993</v>
      </c>
      <c r="BE49" s="13">
        <f>BD49*VLOOKUP('Données projet'!$B$11,Paramètres!$A$1:$I$89,3,0)*VLOOKUP('Données projet'!$B$11,Paramètres!$A$1:$I$89,5,0)</f>
        <v>223.88183999999993</v>
      </c>
      <c r="BF49" s="13">
        <f t="shared" si="37"/>
        <v>54.95772368792862</v>
      </c>
      <c r="BG49" s="20">
        <f t="shared" si="7"/>
        <v>485.6455734231422</v>
      </c>
      <c r="BH49" s="59">
        <f t="shared" si="8"/>
        <v>729.14350587599267</v>
      </c>
      <c r="BI49" s="59">
        <f ca="1">AVERAGE(OFFSET($BH$3,0,0,'Données projet'!$E$11+1,1))-AVERAGE(OFFSET($H$3,0,0,'Données projet'!$E$11+1,1))</f>
        <v>638.07304290599211</v>
      </c>
      <c r="BJ49" s="59">
        <f t="shared" si="38"/>
        <v>408.22196233793511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11.200000000000003</v>
      </c>
      <c r="BY49" s="12">
        <f>IF('Données projet'!$A$114&gt;35,BY48+BX49-CG48,IF(A49&lt;'Données projet'!$A$114,$BV$205^A49,IF(A49='Données projet'!$A$114,'Données projet'!$B$114,BY48+BX49-CG48)))</f>
        <v>214.19999999999993</v>
      </c>
      <c r="BZ49" s="13">
        <f>BY49*VLOOKUP('Données projet'!$B$12,Paramètres!$A$1:$I$89,3,0)*VLOOKUP('Données projet'!$B$12,Paramètres!$A$1:$I$89,5,0)</f>
        <v>243.93095999999994</v>
      </c>
      <c r="CA49" s="13">
        <f t="shared" si="39"/>
        <v>59.284494315161972</v>
      </c>
      <c r="CB49" s="20">
        <f t="shared" si="10"/>
        <v>528.100249598907</v>
      </c>
      <c r="CC49" s="59">
        <f t="shared" si="11"/>
        <v>771.59818205175748</v>
      </c>
      <c r="CD49" s="59">
        <f ca="1">AVERAGE(OFFSET($CC$3,0,0,'Données projet'!$E$12+1,1))-AVERAGE(OFFSET($H$3,0,0,'Données projet'!$E$12+1,1))</f>
        <v>685.99951993586967</v>
      </c>
      <c r="CE49" s="59">
        <f t="shared" si="40"/>
        <v>437.98014017823095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11.200000000000003</v>
      </c>
      <c r="CT49" s="12">
        <f>IF('Données projet'!$A$140&gt;35,CT48+CS49-DB48,IF(A49&lt;'Données projet'!$A$140,$CQ$205^A49,IF(A49='Données projet'!$A$140,'Données projet'!$B$140,CT48+CS49-DB48)))</f>
        <v>214.19999999999993</v>
      </c>
      <c r="CU49" s="17">
        <f>CT49*VLOOKUP('Données projet'!$B$13,Paramètres!$A$1:$I$89,3,0)*VLOOKUP('Données projet'!$B$13,Paramètres!$A$1:$I$89,5,0)</f>
        <v>217.19879999999995</v>
      </c>
      <c r="CV49" s="13">
        <f t="shared" si="41"/>
        <v>53.505605420483995</v>
      </c>
      <c r="CW49" s="20">
        <f t="shared" si="13"/>
        <v>471.4768394406762</v>
      </c>
      <c r="CX49" s="59">
        <f t="shared" si="14"/>
        <v>714.97477189352662</v>
      </c>
      <c r="CY49" s="59">
        <f ca="1">AVERAGE(OFFSET($CX$3,0,0,'Données projet'!$E$13+1,1))-AVERAGE(OFFSET($H$3,0,0,'Données projet'!$E$13+1,1))</f>
        <v>622.07867348539082</v>
      </c>
      <c r="CZ49" s="59">
        <f t="shared" si="42"/>
        <v>398.29010684041634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0</v>
      </c>
      <c r="DH49" s="21">
        <f>EXP(-LN(2)/2)*DH48+(1-EXP(-LN(2)/2))/(LN(2)/2)*DB49*DE49*VLOOKUP('Données projet'!$B$13,Paramètres!$A$1:$I$89,3,0)*0.475*44/12</f>
        <v>0</v>
      </c>
      <c r="DI49" s="22">
        <f t="shared" si="15"/>
        <v>0</v>
      </c>
      <c r="DJ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11.200000000000003</v>
      </c>
      <c r="DO49" s="12">
        <f>IF('Données projet'!$A$166&gt;35,DO48+DN49-DW48,IF(A49&lt;'Données projet'!$A$166,$DL$205^A49,IF(A49='Données projet'!$A$166,'Données projet'!$B$166,DO48+DN49-DW48)))</f>
        <v>214.19999999999993</v>
      </c>
      <c r="DP49" s="17">
        <f>DO49*VLOOKUP('Données projet'!$B$14,Paramètres!$A$1:$I$89,3,0)*VLOOKUP('Données projet'!$B$14,Paramètres!$A$1:$I$89,5,0)</f>
        <v>203.83271999999994</v>
      </c>
      <c r="DQ49" s="13">
        <f t="shared" si="43"/>
        <v>50.585550755991541</v>
      </c>
      <c r="DR49" s="20">
        <f t="shared" si="16"/>
        <v>443.11182156668514</v>
      </c>
      <c r="DS49" s="59">
        <f t="shared" si="17"/>
        <v>686.60975401953556</v>
      </c>
      <c r="DT49" s="59">
        <f ca="1">AVERAGE(OFFSET($DS$3,0,0,'Données projet'!$E$14+1,1))-AVERAGE(OFFSET($H$3,0,0,'Données projet'!$E$14+1,1))</f>
        <v>590.05965493677377</v>
      </c>
      <c r="DU49" s="59">
        <f t="shared" si="44"/>
        <v>378.40640480134505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0</v>
      </c>
      <c r="EC49" s="21">
        <f>EXP(-LN(2)/2)*EC48+(1-EXP(-LN(2)/2))/(LN(2)/2)*DW49*DZ49*VLOOKUP('Données projet'!$B$14,Paramètres!$A$1:$I$89,3,0)*0.475*44/12</f>
        <v>0</v>
      </c>
      <c r="ED49" s="22">
        <f t="shared" si="18"/>
        <v>0</v>
      </c>
      <c r="EE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56.408527032595572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2">
        <f>'Scénario référence'!$B$16*5+'Scénario référence'!$B$17*0+'Scénario référence'!$B$18*5</f>
        <v>4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14.666666666666666</v>
      </c>
      <c r="H50" s="66">
        <f t="shared" si="1"/>
        <v>159.86666666666667</v>
      </c>
      <c r="I50" s="6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-2.9085640562698246E-14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140.03175887621094</v>
      </c>
      <c r="T50" s="59">
        <f t="shared" si="34"/>
        <v>377.29475975964954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50.433760421932114</v>
      </c>
      <c r="AA50" s="21">
        <f>EXP(-LN(2)/25)*AA49+(1-EXP(-LN(2)/25))/(LN(2)/25)*Calculateur!V50*Calculateur!X50*VLOOKUP('Données projet'!$B$9,Paramètres!$A$1:$I$89,3,0)*0.475*44/12</f>
        <v>0</v>
      </c>
      <c r="AB50" s="21">
        <f>EXP(-LN(2)/2)*AB49+(1-EXP(-LN(2)/2))/(LN(2)/2)*V50*Y50*VLOOKUP('Données projet'!$B$9,Paramètres!$A$1:$I$89,3,0)*0.475*44/12</f>
        <v>6.7698056122936674E-3</v>
      </c>
      <c r="AC50" s="22">
        <f t="shared" si="3"/>
        <v>50.440530227544407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-5.6843418860808015E-14</v>
      </c>
      <c r="AJ50" s="13">
        <f>AI50*VLOOKUP('Données projet'!$B$10,Paramètres!$A$1:$I$89,3,0)*VLOOKUP('Données projet'!$B$10,Paramètres!$A$1:$I$89,5,0)</f>
        <v>-2.8642261895583942E-14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138.27364731587764</v>
      </c>
      <c r="AO50" s="59">
        <f t="shared" si="36"/>
        <v>372.50391467700013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49.664953098427048</v>
      </c>
      <c r="AV50" s="21">
        <f>EXP(-LN(2)/25)*AV49+(1-EXP(-LN(2)/25))/(LN(2)/25)*Calculateur!AQ50*Calculateur!AS50*VLOOKUP('Données projet'!$B$10,Paramètres!$A$1:$I$89,3,0)*0.475*44/12</f>
        <v>0</v>
      </c>
      <c r="AW50" s="21">
        <f>EXP(-LN(2)/2)*AW49+(1-EXP(-LN(2)/2))/(LN(2)/2)*AQ50*AT50*VLOOKUP('Données projet'!$B$10,Paramètres!$A$1:$I$89,3,0)*0.475*44/12</f>
        <v>6.6666073560086962E-3</v>
      </c>
      <c r="AX50" s="21">
        <f t="shared" si="6"/>
        <v>49.671619705783058</v>
      </c>
      <c r="AY50" s="7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11.200000000000003</v>
      </c>
      <c r="BD50" s="12">
        <f>IF('Données projet'!$A$88&gt;35,BD49+BC50-BL49,IF(A50&lt;'Données projet'!$A$88,$BA$205^A50,IF(A50='Données projet'!$A$88,'Données projet'!$B$88,BD49+BC50-BL49)))</f>
        <v>225.39999999999992</v>
      </c>
      <c r="BE50" s="13">
        <f>BD50*VLOOKUP('Données projet'!$B$11,Paramètres!$A$1:$I$89,3,0)*VLOOKUP('Données projet'!$B$11,Paramètres!$A$1:$I$89,5,0)</f>
        <v>235.58807999999993</v>
      </c>
      <c r="BF50" s="13">
        <f t="shared" si="37"/>
        <v>57.489261796631588</v>
      </c>
      <c r="BG50" s="20">
        <f t="shared" si="7"/>
        <v>510.44303696246652</v>
      </c>
      <c r="BH50" s="59">
        <f t="shared" si="8"/>
        <v>754.80550220532814</v>
      </c>
      <c r="BI50" s="59">
        <f ca="1">AVERAGE(OFFSET($BH$3,0,0,'Données projet'!$E$11+1,1))-AVERAGE(OFFSET($H$3,0,0,'Données projet'!$E$11+1,1))</f>
        <v>638.07304290599211</v>
      </c>
      <c r="BJ50" s="59">
        <f t="shared" si="38"/>
        <v>408.22196233793511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11.200000000000003</v>
      </c>
      <c r="BY50" s="12">
        <f>IF('Données projet'!$A$114&gt;35,BY49+BX50-CG49,IF(A50&lt;'Données projet'!$A$114,$BV$205^A50,IF(A50='Données projet'!$A$114,'Données projet'!$B$114,BY49+BX50-CG49)))</f>
        <v>225.39999999999992</v>
      </c>
      <c r="BZ50" s="13">
        <f>BY50*VLOOKUP('Données projet'!$B$12,Paramètres!$A$1:$I$89,3,0)*VLOOKUP('Données projet'!$B$12,Paramètres!$A$1:$I$89,5,0)</f>
        <v>256.68551999999994</v>
      </c>
      <c r="CA50" s="13">
        <f t="shared" si="39"/>
        <v>62.015338071832737</v>
      </c>
      <c r="CB50" s="20">
        <f t="shared" si="10"/>
        <v>555.0706611417753</v>
      </c>
      <c r="CC50" s="59">
        <f t="shared" si="11"/>
        <v>799.43312638463692</v>
      </c>
      <c r="CD50" s="59">
        <f ca="1">AVERAGE(OFFSET($CC$3,0,0,'Données projet'!$E$12+1,1))-AVERAGE(OFFSET($H$3,0,0,'Données projet'!$E$12+1,1))</f>
        <v>685.99951993586967</v>
      </c>
      <c r="CE50" s="59">
        <f t="shared" si="40"/>
        <v>437.98014017823095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11.200000000000003</v>
      </c>
      <c r="CT50" s="12">
        <f>IF('Données projet'!$A$140&gt;35,CT49+CS50-DB49,IF(A50&lt;'Données projet'!$A$140,$CQ$205^A50,IF(A50='Données projet'!$A$140,'Données projet'!$B$140,CT49+CS50-DB49)))</f>
        <v>225.39999999999992</v>
      </c>
      <c r="CU50" s="17">
        <f>CT50*VLOOKUP('Données projet'!$B$13,Paramètres!$A$1:$I$89,3,0)*VLOOKUP('Données projet'!$B$13,Paramètres!$A$1:$I$89,5,0)</f>
        <v>228.55559999999994</v>
      </c>
      <c r="CV50" s="13">
        <f t="shared" si="41"/>
        <v>55.970254064236521</v>
      </c>
      <c r="CW50" s="20">
        <f t="shared" si="13"/>
        <v>495.54919582854518</v>
      </c>
      <c r="CX50" s="59">
        <f t="shared" si="14"/>
        <v>739.9116610714068</v>
      </c>
      <c r="CY50" s="59">
        <f ca="1">AVERAGE(OFFSET($CX$3,0,0,'Données projet'!$E$13+1,1))-AVERAGE(OFFSET($H$3,0,0,'Données projet'!$E$13+1,1))</f>
        <v>622.07867348539082</v>
      </c>
      <c r="CZ50" s="59">
        <f t="shared" si="42"/>
        <v>398.29010684041634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0</v>
      </c>
      <c r="DH50" s="21">
        <f>EXP(-LN(2)/2)*DH49+(1-EXP(-LN(2)/2))/(LN(2)/2)*DB50*DE50*VLOOKUP('Données projet'!$B$13,Paramètres!$A$1:$I$89,3,0)*0.475*44/12</f>
        <v>0</v>
      </c>
      <c r="DI50" s="22">
        <f t="shared" si="15"/>
        <v>0</v>
      </c>
      <c r="DJ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11.200000000000003</v>
      </c>
      <c r="DO50" s="12">
        <f>IF('Données projet'!$A$166&gt;35,DO49+DN50-DW49,IF(A50&lt;'Données projet'!$A$166,$DL$205^A50,IF(A50='Données projet'!$A$166,'Données projet'!$B$166,DO49+DN50-DW49)))</f>
        <v>225.39999999999992</v>
      </c>
      <c r="DP50" s="17">
        <f>DO50*VLOOKUP('Données projet'!$B$14,Paramètres!$A$1:$I$89,3,0)*VLOOKUP('Données projet'!$B$14,Paramètres!$A$1:$I$89,5,0)</f>
        <v>214.49063999999993</v>
      </c>
      <c r="DQ50" s="13">
        <f t="shared" si="43"/>
        <v>52.91569183344388</v>
      </c>
      <c r="DR50" s="20">
        <f t="shared" si="16"/>
        <v>465.73269460991463</v>
      </c>
      <c r="DS50" s="59">
        <f t="shared" si="17"/>
        <v>710.09515985277631</v>
      </c>
      <c r="DT50" s="59">
        <f ca="1">AVERAGE(OFFSET($DS$3,0,0,'Données projet'!$E$14+1,1))-AVERAGE(OFFSET($H$3,0,0,'Données projet'!$E$14+1,1))</f>
        <v>590.05965493677377</v>
      </c>
      <c r="DU50" s="59">
        <f t="shared" si="44"/>
        <v>378.40640480134505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0</v>
      </c>
      <c r="EC50" s="21">
        <f>EXP(-LN(2)/2)*EC49+(1-EXP(-LN(2)/2))/(LN(2)/2)*DW50*DZ50*VLOOKUP('Données projet'!$B$14,Paramètres!$A$1:$I$89,3,0)*0.475*44/12</f>
        <v>0</v>
      </c>
      <c r="ED50" s="22">
        <f t="shared" si="18"/>
        <v>0</v>
      </c>
      <c r="EE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56.644308702598636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2">
        <f>'Scénario référence'!$B$16*5+'Scénario référence'!$B$17*0+'Scénario référence'!$B$18*5</f>
        <v>4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14.666666666666666</v>
      </c>
      <c r="H51" s="66">
        <f t="shared" si="1"/>
        <v>159.86666666666667</v>
      </c>
      <c r="I51" s="6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-2.9085640562698246E-14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140.03175887621094</v>
      </c>
      <c r="T51" s="59">
        <f t="shared" si="34"/>
        <v>377.29475975964954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49.444785141614432</v>
      </c>
      <c r="AA51" s="21">
        <f>EXP(-LN(2)/25)*AA50+(1-EXP(-LN(2)/25))/(LN(2)/25)*Calculateur!V51*Calculateur!X51*VLOOKUP('Données projet'!$B$9,Paramètres!$A$1:$I$89,3,0)*0.475*44/12</f>
        <v>0</v>
      </c>
      <c r="AB51" s="21">
        <f>EXP(-LN(2)/2)*AB50+(1-EXP(-LN(2)/2))/(LN(2)/2)*V51*Y51*VLOOKUP('Données projet'!$B$9,Paramètres!$A$1:$I$89,3,0)*0.475*44/12</f>
        <v>4.7869754557675996E-3</v>
      </c>
      <c r="AC51" s="22">
        <f t="shared" si="3"/>
        <v>49.449572117070197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-5.6843418860808015E-14</v>
      </c>
      <c r="AJ51" s="13">
        <f>AI51*VLOOKUP('Données projet'!$B$10,Paramètres!$A$1:$I$89,3,0)*VLOOKUP('Données projet'!$B$10,Paramètres!$A$1:$I$89,5,0)</f>
        <v>-2.8642261895583942E-14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138.27364731587764</v>
      </c>
      <c r="AO51" s="59">
        <f t="shared" si="36"/>
        <v>372.50391467700013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48.691053660797138</v>
      </c>
      <c r="AV51" s="21">
        <f>EXP(-LN(2)/25)*AV50+(1-EXP(-LN(2)/25))/(LN(2)/25)*Calculateur!AQ51*Calculateur!AS51*VLOOKUP('Données projet'!$B$10,Paramètres!$A$1:$I$89,3,0)*0.475*44/12</f>
        <v>0</v>
      </c>
      <c r="AW51" s="21">
        <f>EXP(-LN(2)/2)*AW50+(1-EXP(-LN(2)/2))/(LN(2)/2)*AQ51*AT51*VLOOKUP('Données projet'!$B$10,Paramètres!$A$1:$I$89,3,0)*0.475*44/12</f>
        <v>4.7140032689418692E-3</v>
      </c>
      <c r="AX51" s="21">
        <f t="shared" si="6"/>
        <v>48.695767664066082</v>
      </c>
      <c r="AY51" s="7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11.200000000000003</v>
      </c>
      <c r="BD51" s="12">
        <f>IF('Données projet'!$A$88&gt;35,BD50+BC51-BL50,IF(A51&lt;'Données projet'!$A$88,$BA$205^A51,IF(A51='Données projet'!$A$88,'Données projet'!$B$88,BD50+BC51-BL50)))</f>
        <v>236.59999999999991</v>
      </c>
      <c r="BE51" s="13">
        <f>BD51*VLOOKUP('Données projet'!$B$11,Paramètres!$A$1:$I$89,3,0)*VLOOKUP('Données projet'!$B$11,Paramètres!$A$1:$I$89,5,0)</f>
        <v>247.29431999999991</v>
      </c>
      <c r="BF51" s="13">
        <f t="shared" si="37"/>
        <v>60.006193782698659</v>
      </c>
      <c r="BG51" s="20">
        <f t="shared" si="7"/>
        <v>535.21506150486664</v>
      </c>
      <c r="BH51" s="59">
        <f t="shared" si="8"/>
        <v>780.42706182663858</v>
      </c>
      <c r="BI51" s="59">
        <f ca="1">AVERAGE(OFFSET($BH$3,0,0,'Données projet'!$E$11+1,1))-AVERAGE(OFFSET($H$3,0,0,'Données projet'!$E$11+1,1))</f>
        <v>638.07304290599211</v>
      </c>
      <c r="BJ51" s="59">
        <f t="shared" si="38"/>
        <v>408.22196233793511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11.200000000000003</v>
      </c>
      <c r="BY51" s="12">
        <f>IF('Données projet'!$A$114&gt;35,BY50+BX51-CG50,IF(A51&lt;'Données projet'!$A$114,$BV$205^A51,IF(A51='Données projet'!$A$114,'Données projet'!$B$114,BY50+BX51-CG50)))</f>
        <v>236.59999999999991</v>
      </c>
      <c r="BZ51" s="13">
        <f>BY51*VLOOKUP('Données projet'!$B$12,Paramètres!$A$1:$I$89,3,0)*VLOOKUP('Données projet'!$B$12,Paramètres!$A$1:$I$89,5,0)</f>
        <v>269.44007999999991</v>
      </c>
      <c r="CA51" s="13">
        <f t="shared" si="39"/>
        <v>64.730425779375793</v>
      </c>
      <c r="CB51" s="20">
        <f t="shared" si="10"/>
        <v>582.01363089907932</v>
      </c>
      <c r="CC51" s="59">
        <f t="shared" si="11"/>
        <v>827.22563122085126</v>
      </c>
      <c r="CD51" s="59">
        <f ca="1">AVERAGE(OFFSET($CC$3,0,0,'Données projet'!$E$12+1,1))-AVERAGE(OFFSET($H$3,0,0,'Données projet'!$E$12+1,1))</f>
        <v>685.99951993586967</v>
      </c>
      <c r="CE51" s="59">
        <f t="shared" si="40"/>
        <v>437.98014017823095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11.200000000000003</v>
      </c>
      <c r="CT51" s="12">
        <f>IF('Données projet'!$A$140&gt;35,CT50+CS51-DB50,IF(A51&lt;'Données projet'!$A$140,$CQ$205^A51,IF(A51='Données projet'!$A$140,'Données projet'!$B$140,CT50+CS51-DB50)))</f>
        <v>236.59999999999991</v>
      </c>
      <c r="CU51" s="17">
        <f>CT51*VLOOKUP('Données projet'!$B$13,Paramètres!$A$1:$I$89,3,0)*VLOOKUP('Données projet'!$B$13,Paramètres!$A$1:$I$89,5,0)</f>
        <v>239.91239999999991</v>
      </c>
      <c r="CV51" s="13">
        <f t="shared" si="41"/>
        <v>58.420682515047339</v>
      </c>
      <c r="CW51" s="20">
        <f t="shared" si="13"/>
        <v>519.59678538037394</v>
      </c>
      <c r="CX51" s="59">
        <f t="shared" si="14"/>
        <v>764.80878570214588</v>
      </c>
      <c r="CY51" s="59">
        <f ca="1">AVERAGE(OFFSET($CX$3,0,0,'Données projet'!$E$13+1,1))-AVERAGE(OFFSET($H$3,0,0,'Données projet'!$E$13+1,1))</f>
        <v>622.07867348539082</v>
      </c>
      <c r="CZ51" s="59">
        <f t="shared" si="42"/>
        <v>398.29010684041634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0</v>
      </c>
      <c r="DH51" s="21">
        <f>EXP(-LN(2)/2)*DH50+(1-EXP(-LN(2)/2))/(LN(2)/2)*DB51*DE51*VLOOKUP('Données projet'!$B$13,Paramètres!$A$1:$I$89,3,0)*0.475*44/12</f>
        <v>0</v>
      </c>
      <c r="DI51" s="22">
        <f t="shared" si="15"/>
        <v>0</v>
      </c>
      <c r="DJ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11.200000000000003</v>
      </c>
      <c r="DO51" s="12">
        <f>IF('Données projet'!$A$166&gt;35,DO50+DN51-DW50,IF(A51&lt;'Données projet'!$A$166,$DL$205^A51,IF(A51='Données projet'!$A$166,'Données projet'!$B$166,DO50+DN51-DW50)))</f>
        <v>236.59999999999991</v>
      </c>
      <c r="DP51" s="17">
        <f>DO51*VLOOKUP('Données projet'!$B$14,Paramètres!$A$1:$I$89,3,0)*VLOOKUP('Données projet'!$B$14,Paramètres!$A$1:$I$89,5,0)</f>
        <v>225.14855999999992</v>
      </c>
      <c r="DQ51" s="13">
        <f t="shared" si="43"/>
        <v>55.232388781329668</v>
      </c>
      <c r="DR51" s="20">
        <f t="shared" si="16"/>
        <v>488.33015246081573</v>
      </c>
      <c r="DS51" s="59">
        <f t="shared" si="17"/>
        <v>733.54215278258766</v>
      </c>
      <c r="DT51" s="59">
        <f ca="1">AVERAGE(OFFSET($DS$3,0,0,'Données projet'!$E$14+1,1))-AVERAGE(OFFSET($H$3,0,0,'Données projet'!$E$14+1,1))</f>
        <v>590.05965493677377</v>
      </c>
      <c r="DU51" s="59">
        <f t="shared" si="44"/>
        <v>378.40640480134505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0</v>
      </c>
      <c r="EC51" s="21">
        <f>EXP(-LN(2)/2)*EC50+(1-EXP(-LN(2)/2))/(LN(2)/2)*DW51*DZ51*VLOOKUP('Données projet'!$B$14,Paramètres!$A$1:$I$89,3,0)*0.475*44/12</f>
        <v>0</v>
      </c>
      <c r="ED51" s="22">
        <f t="shared" si="18"/>
        <v>0</v>
      </c>
      <c r="EE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56.876000087755983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2">
        <f>'Scénario référence'!$B$16*5+'Scénario référence'!$B$17*0+'Scénario référence'!$B$18*5</f>
        <v>4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14.666666666666666</v>
      </c>
      <c r="H52" s="66">
        <f t="shared" si="1"/>
        <v>159.86666666666667</v>
      </c>
      <c r="I52" s="6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-2.9085640562698246E-14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140.03175887621094</v>
      </c>
      <c r="T52" s="59">
        <f t="shared" si="34"/>
        <v>377.29475975964954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48.475203063328422</v>
      </c>
      <c r="AA52" s="21">
        <f>EXP(-LN(2)/25)*AA51+(1-EXP(-LN(2)/25))/(LN(2)/25)*Calculateur!V52*Calculateur!X52*VLOOKUP('Données projet'!$B$9,Paramètres!$A$1:$I$89,3,0)*0.475*44/12</f>
        <v>0</v>
      </c>
      <c r="AB52" s="21">
        <f>EXP(-LN(2)/2)*AB51+(1-EXP(-LN(2)/2))/(LN(2)/2)*V52*Y52*VLOOKUP('Données projet'!$B$9,Paramètres!$A$1:$I$89,3,0)*0.475*44/12</f>
        <v>3.3849028061468337E-3</v>
      </c>
      <c r="AC52" s="22">
        <f t="shared" si="3"/>
        <v>48.478587966134569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-5.6843418860808015E-14</v>
      </c>
      <c r="AJ52" s="13">
        <f>AI52*VLOOKUP('Données projet'!$B$10,Paramètres!$A$1:$I$89,3,0)*VLOOKUP('Données projet'!$B$10,Paramètres!$A$1:$I$89,5,0)</f>
        <v>-2.8642261895583942E-14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138.27364731587764</v>
      </c>
      <c r="AO52" s="59">
        <f t="shared" si="36"/>
        <v>372.50391467700013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47.736251797119145</v>
      </c>
      <c r="AV52" s="21">
        <f>EXP(-LN(2)/25)*AV51+(1-EXP(-LN(2)/25))/(LN(2)/25)*Calculateur!AQ52*Calculateur!AS52*VLOOKUP('Données projet'!$B$10,Paramètres!$A$1:$I$89,3,0)*0.475*44/12</f>
        <v>0</v>
      </c>
      <c r="AW52" s="21">
        <f>EXP(-LN(2)/2)*AW51+(1-EXP(-LN(2)/2))/(LN(2)/2)*AQ52*AT52*VLOOKUP('Données projet'!$B$10,Paramètres!$A$1:$I$89,3,0)*0.475*44/12</f>
        <v>3.3333036780043481E-3</v>
      </c>
      <c r="AX52" s="21">
        <f t="shared" si="6"/>
        <v>47.73958510079715</v>
      </c>
      <c r="AY52" s="7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11.200000000000003</v>
      </c>
      <c r="BD52" s="12">
        <f>IF('Données projet'!$A$88&gt;35,BD51+BC52-BL51,IF(A52&lt;'Données projet'!$A$88,$BA$205^A52,IF(A52='Données projet'!$A$88,'Données projet'!$B$88,BD51+BC52-BL51)))</f>
        <v>247.7999999999999</v>
      </c>
      <c r="BE52" s="13">
        <f>BD52*VLOOKUP('Données projet'!$B$11,Paramètres!$A$1:$I$89,3,0)*VLOOKUP('Données projet'!$B$11,Paramètres!$A$1:$I$89,5,0)</f>
        <v>259.00055999999995</v>
      </c>
      <c r="BF52" s="13">
        <f t="shared" si="37"/>
        <v>62.509290006601397</v>
      </c>
      <c r="BG52" s="20">
        <f t="shared" si="7"/>
        <v>559.96298876149729</v>
      </c>
      <c r="BH52" s="59">
        <f t="shared" si="8"/>
        <v>806.00978662783632</v>
      </c>
      <c r="BI52" s="59">
        <f ca="1">AVERAGE(OFFSET($BH$3,0,0,'Données projet'!$E$11+1,1))-AVERAGE(OFFSET($H$3,0,0,'Données projet'!$E$11+1,1))</f>
        <v>638.07304290599211</v>
      </c>
      <c r="BJ52" s="59">
        <f t="shared" si="38"/>
        <v>408.22196233793511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11.200000000000003</v>
      </c>
      <c r="BY52" s="12">
        <f>IF('Données projet'!$A$114&gt;35,BY51+BX52-CG51,IF(A52&lt;'Données projet'!$A$114,$BV$205^A52,IF(A52='Données projet'!$A$114,'Données projet'!$B$114,BY51+BX52-CG51)))</f>
        <v>247.7999999999999</v>
      </c>
      <c r="BZ52" s="13">
        <f>BY52*VLOOKUP('Données projet'!$B$12,Paramètres!$A$1:$I$89,3,0)*VLOOKUP('Données projet'!$B$12,Paramètres!$A$1:$I$89,5,0)</f>
        <v>282.19463999999988</v>
      </c>
      <c r="CA52" s="13">
        <f t="shared" si="39"/>
        <v>67.430588448028303</v>
      </c>
      <c r="CB52" s="20">
        <f t="shared" si="10"/>
        <v>608.93060621364907</v>
      </c>
      <c r="CC52" s="59">
        <f t="shared" si="11"/>
        <v>854.9774040799881</v>
      </c>
      <c r="CD52" s="59">
        <f ca="1">AVERAGE(OFFSET($CC$3,0,0,'Données projet'!$E$12+1,1))-AVERAGE(OFFSET($H$3,0,0,'Données projet'!$E$12+1,1))</f>
        <v>685.99951993586967</v>
      </c>
      <c r="CE52" s="59">
        <f t="shared" si="40"/>
        <v>437.98014017823095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11.200000000000003</v>
      </c>
      <c r="CT52" s="12">
        <f>IF('Données projet'!$A$140&gt;35,CT51+CS52-DB51,IF(A52&lt;'Données projet'!$A$140,$CQ$205^A52,IF(A52='Données projet'!$A$140,'Données projet'!$B$140,CT51+CS52-DB51)))</f>
        <v>247.7999999999999</v>
      </c>
      <c r="CU52" s="17">
        <f>CT52*VLOOKUP('Données projet'!$B$13,Paramètres!$A$1:$I$89,3,0)*VLOOKUP('Données projet'!$B$13,Paramètres!$A$1:$I$89,5,0)</f>
        <v>251.2691999999999</v>
      </c>
      <c r="CV52" s="13">
        <f t="shared" si="41"/>
        <v>60.857640778569092</v>
      </c>
      <c r="CW52" s="20">
        <f t="shared" si="13"/>
        <v>543.62091435600757</v>
      </c>
      <c r="CX52" s="59">
        <f t="shared" si="14"/>
        <v>789.66771222234661</v>
      </c>
      <c r="CY52" s="59">
        <f ca="1">AVERAGE(OFFSET($CX$3,0,0,'Données projet'!$E$13+1,1))-AVERAGE(OFFSET($H$3,0,0,'Données projet'!$E$13+1,1))</f>
        <v>622.07867348539082</v>
      </c>
      <c r="CZ52" s="59">
        <f t="shared" si="42"/>
        <v>398.29010684041634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0</v>
      </c>
      <c r="DH52" s="21">
        <f>EXP(-LN(2)/2)*DH51+(1-EXP(-LN(2)/2))/(LN(2)/2)*DB52*DE52*VLOOKUP('Données projet'!$B$13,Paramètres!$A$1:$I$89,3,0)*0.475*44/12</f>
        <v>0</v>
      </c>
      <c r="DI52" s="22">
        <f t="shared" si="15"/>
        <v>0</v>
      </c>
      <c r="DJ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11.200000000000003</v>
      </c>
      <c r="DO52" s="12">
        <f>IF('Données projet'!$A$166&gt;35,DO51+DN52-DW51,IF(A52&lt;'Données projet'!$A$166,$DL$205^A52,IF(A52='Données projet'!$A$166,'Données projet'!$B$166,DO51+DN52-DW51)))</f>
        <v>247.7999999999999</v>
      </c>
      <c r="DP52" s="17">
        <f>DO52*VLOOKUP('Données projet'!$B$14,Paramètres!$A$1:$I$89,3,0)*VLOOKUP('Données projet'!$B$14,Paramètres!$A$1:$I$89,5,0)</f>
        <v>235.80647999999991</v>
      </c>
      <c r="DQ52" s="13">
        <f t="shared" si="43"/>
        <v>57.5363506739358</v>
      </c>
      <c r="DR52" s="20">
        <f t="shared" si="16"/>
        <v>510.90543009043807</v>
      </c>
      <c r="DS52" s="59">
        <f t="shared" si="17"/>
        <v>756.95222795677705</v>
      </c>
      <c r="DT52" s="59">
        <f ca="1">AVERAGE(OFFSET($DS$3,0,0,'Données projet'!$E$14+1,1))-AVERAGE(OFFSET($H$3,0,0,'Données projet'!$E$14+1,1))</f>
        <v>590.05965493677377</v>
      </c>
      <c r="DU52" s="59">
        <f t="shared" si="44"/>
        <v>378.40640480134505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0</v>
      </c>
      <c r="EC52" s="21">
        <f>EXP(-LN(2)/2)*EC51+(1-EXP(-LN(2)/2))/(LN(2)/2)*DW52*DZ52*VLOOKUP('Données projet'!$B$14,Paramètres!$A$1:$I$89,3,0)*0.475*44/12</f>
        <v>0</v>
      </c>
      <c r="ED52" s="22">
        <f t="shared" si="18"/>
        <v>0</v>
      </c>
      <c r="EE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57.103672145365188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2">
        <f>'Scénario référence'!$B$16*5+'Scénario référence'!$B$17*0+'Scénario référence'!$B$18*5</f>
        <v>4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14.666666666666666</v>
      </c>
      <c r="H53" s="66">
        <f t="shared" si="1"/>
        <v>159.86666666666667</v>
      </c>
      <c r="I53" s="6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-2.9085640562698246E-14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140.03175887621094</v>
      </c>
      <c r="T53" s="59">
        <f t="shared" si="34"/>
        <v>377.29475975964954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47.524633898210929</v>
      </c>
      <c r="AA53" s="21">
        <f>EXP(-LN(2)/25)*AA52+(1-EXP(-LN(2)/25))/(LN(2)/25)*Calculateur!V53*Calculateur!X53*VLOOKUP('Données projet'!$B$9,Paramètres!$A$1:$I$89,3,0)*0.475*44/12</f>
        <v>0</v>
      </c>
      <c r="AB53" s="21">
        <f>EXP(-LN(2)/2)*AB52+(1-EXP(-LN(2)/2))/(LN(2)/2)*V53*Y53*VLOOKUP('Données projet'!$B$9,Paramètres!$A$1:$I$89,3,0)*0.475*44/12</f>
        <v>2.3934877278837998E-3</v>
      </c>
      <c r="AC53" s="22">
        <f t="shared" si="3"/>
        <v>47.527027385938815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-5.6843418860808015E-14</v>
      </c>
      <c r="AJ53" s="13">
        <f>AI53*VLOOKUP('Données projet'!$B$10,Paramètres!$A$1:$I$89,3,0)*VLOOKUP('Données projet'!$B$10,Paramètres!$A$1:$I$89,5,0)</f>
        <v>-2.8642261895583942E-14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138.27364731587764</v>
      </c>
      <c r="AO53" s="59">
        <f t="shared" si="36"/>
        <v>372.50391467700013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46.800173015616245</v>
      </c>
      <c r="AV53" s="21">
        <f>EXP(-LN(2)/25)*AV52+(1-EXP(-LN(2)/25))/(LN(2)/25)*Calculateur!AQ53*Calculateur!AS53*VLOOKUP('Données projet'!$B$10,Paramètres!$A$1:$I$89,3,0)*0.475*44/12</f>
        <v>0</v>
      </c>
      <c r="AW53" s="21">
        <f>EXP(-LN(2)/2)*AW52+(1-EXP(-LN(2)/2))/(LN(2)/2)*AQ53*AT53*VLOOKUP('Données projet'!$B$10,Paramètres!$A$1:$I$89,3,0)*0.475*44/12</f>
        <v>2.3570016344709346E-3</v>
      </c>
      <c r="AX53" s="21">
        <f t="shared" si="6"/>
        <v>46.802530017250717</v>
      </c>
      <c r="AY53" s="7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259</v>
      </c>
      <c r="BB53" s="12">
        <f>VLOOKUP(A53,'Données projet'!$A$87:$I$107,9,0)</f>
        <v>11.200000000000003</v>
      </c>
      <c r="BC53" s="12">
        <f t="array" ref="BC53">INDEX(BB:BB,MIN(IF(ISNUMBER(BB53:BB249),ROW(BB53:BB249),"")))</f>
        <v>11.200000000000003</v>
      </c>
      <c r="BD53" s="12">
        <f>IF('Données projet'!$A$88&gt;35,BD52+BC53-BL52,IF(A53&lt;'Données projet'!$A$88,$BA$205^A53,IF(A53='Données projet'!$A$88,'Données projet'!$B$88,BD52+BC53-BL52)))</f>
        <v>258.99999999999989</v>
      </c>
      <c r="BE53" s="13">
        <f>BD53*VLOOKUP('Données projet'!$B$11,Paramètres!$A$1:$I$89,3,0)*VLOOKUP('Données projet'!$B$11,Paramètres!$A$1:$I$89,5,0)</f>
        <v>270.70679999999993</v>
      </c>
      <c r="BF53" s="13">
        <f t="shared" si="37"/>
        <v>64.999247255184059</v>
      </c>
      <c r="BG53" s="20">
        <f t="shared" si="7"/>
        <v>584.68803230277865</v>
      </c>
      <c r="BH53" s="59">
        <f t="shared" si="8"/>
        <v>831.55514584261425</v>
      </c>
      <c r="BI53" s="59">
        <f ca="1">AVERAGE(OFFSET($BH$3,0,0,'Données projet'!$E$11+1,1))-AVERAGE(OFFSET($H$3,0,0,'Données projet'!$E$11+1,1))</f>
        <v>638.07304290599211</v>
      </c>
      <c r="BJ53" s="59">
        <f t="shared" si="38"/>
        <v>408.22196233793511</v>
      </c>
      <c r="BK53" s="15">
        <f>IF(ISNA(VLOOKUP(A53,'Données projet'!$A$87:$I$107,3,0)),0,VLOOKUP(A53,'Données projet'!$A$87:$I$107,3,0))</f>
        <v>4</v>
      </c>
      <c r="BL53" s="15">
        <f>IF(ISNA(VLOOKUP(A53,'Données projet'!$A$87:$I$107,4,0)),0,VLOOKUP(A53,'Données projet'!$A$87:$I$107,4,0))</f>
        <v>56</v>
      </c>
      <c r="BM53" s="16">
        <f>IF(ISNA(VLOOKUP(A53,'Données projet'!$A$87:$I$107,5,0)),0%,VLOOKUP(A53,'Données projet'!$A$87:$I$107,5,0)*VLOOKUP('Données projet'!$B$11,Paramètres!$A$1:$I$89,7,0))</f>
        <v>0.36549999999999999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23.649497629598699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23.649497629598699</v>
      </c>
      <c r="BT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259</v>
      </c>
      <c r="BW53" s="12">
        <f>VLOOKUP(A53,'Données projet'!$A$113:$I$133,9,0)</f>
        <v>11.200000000000003</v>
      </c>
      <c r="BX53" s="12">
        <f t="array" ref="BX53">INDEX(BW:BW,MIN(IF(ISNUMBER(BW53:BW249),ROW(BW53:BW249),"")))</f>
        <v>11.200000000000003</v>
      </c>
      <c r="BY53" s="12">
        <f>IF('Données projet'!$A$114&gt;35,BY52+BX53-CG52,IF(A53&lt;'Données projet'!$A$114,$BV$205^A53,IF(A53='Données projet'!$A$114,'Données projet'!$B$114,BY52+BX53-CG52)))</f>
        <v>258.99999999999989</v>
      </c>
      <c r="BZ53" s="13">
        <f>BY53*VLOOKUP('Données projet'!$B$12,Paramètres!$A$1:$I$89,3,0)*VLOOKUP('Données projet'!$B$12,Paramètres!$A$1:$I$89,5,0)</f>
        <v>294.94919999999985</v>
      </c>
      <c r="CA53" s="13">
        <f t="shared" si="39"/>
        <v>70.116577722016714</v>
      </c>
      <c r="CB53" s="20">
        <f t="shared" si="10"/>
        <v>635.82289619917879</v>
      </c>
      <c r="CC53" s="59">
        <f t="shared" si="11"/>
        <v>882.69000973901439</v>
      </c>
      <c r="CD53" s="59">
        <f ca="1">AVERAGE(OFFSET($CC$3,0,0,'Données projet'!$E$12+1,1))-AVERAGE(OFFSET($H$3,0,0,'Données projet'!$E$12+1,1))</f>
        <v>685.99951993586967</v>
      </c>
      <c r="CE53" s="59">
        <f t="shared" si="40"/>
        <v>437.98014017823095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0.36549999999999999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25.767363088965748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25.767363088965748</v>
      </c>
      <c r="CO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259</v>
      </c>
      <c r="CR53" s="12">
        <f>VLOOKUP(A53,'Données projet'!$A$139:$I$159,9,0)</f>
        <v>11.200000000000003</v>
      </c>
      <c r="CS53" s="12">
        <f t="array" ref="CS53">INDEX(CR:CR,MIN(IF(ISNUMBER(CR53:CR249),ROW(CR53:CR249),"")))</f>
        <v>11.200000000000003</v>
      </c>
      <c r="CT53" s="12">
        <f>IF('Données projet'!$A$140&gt;35,CT52+CS53-DB52,IF(A53&lt;'Données projet'!$A$140,$CQ$205^A53,IF(A53='Données projet'!$A$140,'Données projet'!$B$140,CT52+CS53-DB52)))</f>
        <v>258.99999999999989</v>
      </c>
      <c r="CU53" s="17">
        <f>CT53*VLOOKUP('Données projet'!$B$13,Paramètres!$A$1:$I$89,3,0)*VLOOKUP('Données projet'!$B$13,Paramètres!$A$1:$I$89,5,0)</f>
        <v>262.62599999999992</v>
      </c>
      <c r="CV53" s="13">
        <f t="shared" si="41"/>
        <v>63.281807230823397</v>
      </c>
      <c r="CW53" s="20">
        <f t="shared" si="13"/>
        <v>567.62276426035055</v>
      </c>
      <c r="CX53" s="59">
        <f t="shared" si="14"/>
        <v>814.48987780018615</v>
      </c>
      <c r="CY53" s="59">
        <f ca="1">AVERAGE(OFFSET($CX$3,0,0,'Données projet'!$E$13+1,1))-AVERAGE(OFFSET($H$3,0,0,'Données projet'!$E$13+1,1))</f>
        <v>622.07867348539082</v>
      </c>
      <c r="CZ53" s="59">
        <f t="shared" si="42"/>
        <v>398.29010684041634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56</v>
      </c>
      <c r="DC53" s="16">
        <f>IF(ISNA(VLOOKUP(A53,'Données projet'!$A$139:$I$159,5,0)),0%,VLOOKUP(A53,'Données projet'!$A$139:$I$159,5,0)*VLOOKUP('Données projet'!$B$13,Paramètres!$A$1:$I$89,7,0))</f>
        <v>0.36549999999999999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22.943542476476349</v>
      </c>
      <c r="DG53" s="21">
        <f>EXP(-LN(2)/25)*DG52+(1-EXP(-LN(2)/25))/(LN(2)/25)*Calculateur!DB53*Calculateur!DD53*VLOOKUP('Données projet'!$B$13,Paramètres!$A$1:$I$89,3,0)*0.475*44/12</f>
        <v>0</v>
      </c>
      <c r="DH53" s="21">
        <f>EXP(-LN(2)/2)*DH52+(1-EXP(-LN(2)/2))/(LN(2)/2)*DB53*DE53*VLOOKUP('Données projet'!$B$13,Paramètres!$A$1:$I$89,3,0)*0.475*44/12</f>
        <v>0</v>
      </c>
      <c r="DI53" s="22">
        <f t="shared" si="15"/>
        <v>22.943542476476349</v>
      </c>
      <c r="DJ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259</v>
      </c>
      <c r="DM53" s="12">
        <f>VLOOKUP(A53,'Données projet'!$A$165:$I$185,9,0)</f>
        <v>11.200000000000003</v>
      </c>
      <c r="DN53" s="12">
        <f t="array" ref="DN53">INDEX(DM:DM,MIN(IF(ISNUMBER(DM53:DM249),ROW(DM53:DM249),"")))</f>
        <v>11.200000000000003</v>
      </c>
      <c r="DO53" s="12">
        <f>IF('Données projet'!$A$166&gt;35,DO52+DN53-DW52,IF(A53&lt;'Données projet'!$A$166,$DL$205^A53,IF(A53='Données projet'!$A$166,'Données projet'!$B$166,DO52+DN53-DW52)))</f>
        <v>258.99999999999989</v>
      </c>
      <c r="DP53" s="17">
        <f>DO53*VLOOKUP('Données projet'!$B$14,Paramètres!$A$1:$I$89,3,0)*VLOOKUP('Données projet'!$B$14,Paramètres!$A$1:$I$89,5,0)</f>
        <v>246.4643999999999</v>
      </c>
      <c r="DQ53" s="13">
        <f t="shared" si="43"/>
        <v>59.828218865086768</v>
      </c>
      <c r="DR53" s="20">
        <f t="shared" si="16"/>
        <v>533.45964452335909</v>
      </c>
      <c r="DS53" s="59">
        <f t="shared" si="17"/>
        <v>780.32675806319469</v>
      </c>
      <c r="DT53" s="59">
        <f ca="1">AVERAGE(OFFSET($DS$3,0,0,'Données projet'!$E$14+1,1))-AVERAGE(OFFSET($H$3,0,0,'Données projet'!$E$14+1,1))</f>
        <v>590.05965493677377</v>
      </c>
      <c r="DU53" s="59">
        <f t="shared" si="44"/>
        <v>378.40640480134505</v>
      </c>
      <c r="DV53" s="15">
        <f>IF(ISNA(VLOOKUP(A53,'Données projet'!$A$165:$I$185,3,0)),0,VLOOKUP(A53,'Données projet'!$A$165:$I$185,3,0))</f>
        <v>4</v>
      </c>
      <c r="DW53" s="15">
        <f>IF(ISNA(VLOOKUP(A53,'Données projet'!$A$165:$I$185,4,0)),0,VLOOKUP(A53,'Données projet'!$A$165:$I$185,4,0))</f>
        <v>56</v>
      </c>
      <c r="DX53" s="16">
        <f>IF(ISNA(VLOOKUP(A53,'Données projet'!$A$165:$I$185,5,0)),0%,VLOOKUP(A53,'Données projet'!$A$165:$I$185,5,0)*VLOOKUP('Données projet'!$B$14,Paramètres!$A$1:$I$89,7,0))</f>
        <v>0.36549999999999999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21.531632170231649</v>
      </c>
      <c r="EB53" s="21">
        <f>EXP(-LN(2)/25)*EB52+(1-EXP(-LN(2)/25))/(LN(2)/25)*Calculateur!DW53*Calculateur!DY53*VLOOKUP('Données projet'!$B$14,Paramètres!$A$1:$I$89,3,0)*0.475*44/12</f>
        <v>0</v>
      </c>
      <c r="EC53" s="21">
        <f>EXP(-LN(2)/2)*EC52+(1-EXP(-LN(2)/2))/(LN(2)/2)*DW53*DZ53*VLOOKUP('Données projet'!$B$14,Paramètres!$A$1:$I$89,3,0)*0.475*44/12</f>
        <v>0</v>
      </c>
      <c r="ED53" s="22">
        <f t="shared" si="18"/>
        <v>21.531632170231649</v>
      </c>
      <c r="EE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57.327394601773349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2">
        <f>'Scénario référence'!$B$16*5+'Scénario référence'!$B$17*0+'Scénario référence'!$B$18*5</f>
        <v>4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14.666666666666666</v>
      </c>
      <c r="H54" s="66">
        <f t="shared" si="1"/>
        <v>159.86666666666667</v>
      </c>
      <c r="I54" s="6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-2.9085640562698246E-14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140.03175887621094</v>
      </c>
      <c r="T54" s="59">
        <f t="shared" si="34"/>
        <v>377.29475975964954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46.592704814631446</v>
      </c>
      <c r="AA54" s="21">
        <f>EXP(-LN(2)/25)*AA53+(1-EXP(-LN(2)/25))/(LN(2)/25)*Calculateur!V54*Calculateur!X54*VLOOKUP('Données projet'!$B$9,Paramètres!$A$1:$I$89,3,0)*0.475*44/12</f>
        <v>0</v>
      </c>
      <c r="AB54" s="21">
        <f>EXP(-LN(2)/2)*AB53+(1-EXP(-LN(2)/2))/(LN(2)/2)*V54*Y54*VLOOKUP('Données projet'!$B$9,Paramètres!$A$1:$I$89,3,0)*0.475*44/12</f>
        <v>1.6924514030734169E-3</v>
      </c>
      <c r="AC54" s="22">
        <f t="shared" si="3"/>
        <v>46.59439726603452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-5.6843418860808015E-14</v>
      </c>
      <c r="AJ54" s="13">
        <f>AI54*VLOOKUP('Données projet'!$B$10,Paramètres!$A$1:$I$89,3,0)*VLOOKUP('Données projet'!$B$10,Paramètres!$A$1:$I$89,5,0)</f>
        <v>-2.8642261895583942E-14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138.27364731587764</v>
      </c>
      <c r="AO54" s="59">
        <f t="shared" si="36"/>
        <v>372.50391467700013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45.882450168066939</v>
      </c>
      <c r="AV54" s="21">
        <f>EXP(-LN(2)/25)*AV53+(1-EXP(-LN(2)/25))/(LN(2)/25)*Calculateur!AQ54*Calculateur!AS54*VLOOKUP('Données projet'!$B$10,Paramètres!$A$1:$I$89,3,0)*0.475*44/12</f>
        <v>0</v>
      </c>
      <c r="AW54" s="21">
        <f>EXP(-LN(2)/2)*AW53+(1-EXP(-LN(2)/2))/(LN(2)/2)*AQ54*AT54*VLOOKUP('Données projet'!$B$10,Paramètres!$A$1:$I$89,3,0)*0.475*44/12</f>
        <v>1.6666518390021741E-3</v>
      </c>
      <c r="AX54" s="21">
        <f t="shared" si="6"/>
        <v>45.884116819905941</v>
      </c>
      <c r="AY54" s="7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9.8000000000000007</v>
      </c>
      <c r="BD54" s="12">
        <f>IF('Données projet'!$A$88&gt;35,BD53+BC54-BL53,IF(A54&lt;'Données projet'!$A$88,$BA$205^A54,IF(A54='Données projet'!$A$88,'Données projet'!$B$88,BD53+BC54-BL53)))</f>
        <v>212.7999999999999</v>
      </c>
      <c r="BE54" s="13">
        <f>BD54*VLOOKUP('Données projet'!$B$11,Paramètres!$A$1:$I$89,3,0)*VLOOKUP('Données projet'!$B$11,Paramètres!$A$1:$I$89,5,0)</f>
        <v>222.4185599999999</v>
      </c>
      <c r="BF54" s="13">
        <f t="shared" si="37"/>
        <v>54.640212826336217</v>
      </c>
      <c r="BG54" s="20">
        <f t="shared" si="7"/>
        <v>482.54402933920204</v>
      </c>
      <c r="BH54" s="59">
        <f t="shared" si="8"/>
        <v>730.21722790955016</v>
      </c>
      <c r="BI54" s="59">
        <f ca="1">AVERAGE(OFFSET($BH$3,0,0,'Données projet'!$E$11+1,1))-AVERAGE(OFFSET($H$3,0,0,'Données projet'!$E$11+1,1))</f>
        <v>638.07304290599211</v>
      </c>
      <c r="BJ54" s="59">
        <f t="shared" si="38"/>
        <v>408.22196233793511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23.185745405851495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23.185745405851495</v>
      </c>
      <c r="BT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212.7999999999999</v>
      </c>
      <c r="BZ54" s="13">
        <f>BY54*VLOOKUP('Données projet'!$B$12,Paramètres!$A$1:$I$89,3,0)*VLOOKUP('Données projet'!$B$12,Paramètres!$A$1:$I$89,5,0)</f>
        <v>242.33663999999987</v>
      </c>
      <c r="CA54" s="13">
        <f t="shared" si="39"/>
        <v>58.941986117843484</v>
      </c>
      <c r="CB54" s="20">
        <f t="shared" si="10"/>
        <v>524.72694048857716</v>
      </c>
      <c r="CC54" s="59">
        <f t="shared" si="11"/>
        <v>772.40013905892522</v>
      </c>
      <c r="CD54" s="59">
        <f ca="1">AVERAGE(OFFSET($CC$3,0,0,'Données projet'!$E$12+1,1))-AVERAGE(OFFSET($H$3,0,0,'Données projet'!$E$12+1,1))</f>
        <v>685.99951993586967</v>
      </c>
      <c r="CE54" s="59">
        <f t="shared" si="40"/>
        <v>437.98014017823095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25.262080815330734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25.262080815330734</v>
      </c>
      <c r="CO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9.8000000000000007</v>
      </c>
      <c r="CT54" s="12">
        <f>IF('Données projet'!$A$140&gt;35,CT53+CS54-DB53,IF(A54&lt;'Données projet'!$A$140,$CQ$205^A54,IF(A54='Données projet'!$A$140,'Données projet'!$B$140,CT53+CS54-DB53)))</f>
        <v>212.7999999999999</v>
      </c>
      <c r="CU54" s="17">
        <f>CT54*VLOOKUP('Données projet'!$B$13,Paramètres!$A$1:$I$89,3,0)*VLOOKUP('Données projet'!$B$13,Paramètres!$A$1:$I$89,5,0)</f>
        <v>215.77919999999992</v>
      </c>
      <c r="CV54" s="13">
        <f t="shared" si="41"/>
        <v>53.196483976998607</v>
      </c>
      <c r="CW54" s="20">
        <f t="shared" si="13"/>
        <v>468.4659829266057</v>
      </c>
      <c r="CX54" s="59">
        <f t="shared" si="14"/>
        <v>716.13918149695382</v>
      </c>
      <c r="CY54" s="59">
        <f ca="1">AVERAGE(OFFSET($CX$3,0,0,'Données projet'!$E$13+1,1))-AVERAGE(OFFSET($H$3,0,0,'Données projet'!$E$13+1,1))</f>
        <v>622.07867348539082</v>
      </c>
      <c r="CZ54" s="59">
        <f t="shared" si="42"/>
        <v>398.29010684041634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22.493633602691748</v>
      </c>
      <c r="DG54" s="21">
        <f>EXP(-LN(2)/25)*DG53+(1-EXP(-LN(2)/25))/(LN(2)/25)*Calculateur!DB54*Calculateur!DD54*VLOOKUP('Données projet'!$B$13,Paramètres!$A$1:$I$89,3,0)*0.475*44/12</f>
        <v>0</v>
      </c>
      <c r="DH54" s="21">
        <f>EXP(-LN(2)/2)*DH53+(1-EXP(-LN(2)/2))/(LN(2)/2)*DB54*DE54*VLOOKUP('Données projet'!$B$13,Paramètres!$A$1:$I$89,3,0)*0.475*44/12</f>
        <v>0</v>
      </c>
      <c r="DI54" s="22">
        <f t="shared" si="15"/>
        <v>22.493633602691748</v>
      </c>
      <c r="DJ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9.8000000000000007</v>
      </c>
      <c r="DO54" s="12">
        <f>IF('Données projet'!$A$166&gt;35,DO53+DN54-DW53,IF(A54&lt;'Données projet'!$A$166,$DL$205^A54,IF(A54='Données projet'!$A$166,'Données projet'!$B$166,DO53+DN54-DW53)))</f>
        <v>212.7999999999999</v>
      </c>
      <c r="DP54" s="17">
        <f>DO54*VLOOKUP('Données projet'!$B$14,Paramètres!$A$1:$I$89,3,0)*VLOOKUP('Données projet'!$B$14,Paramètres!$A$1:$I$89,5,0)</f>
        <v>202.5004799999999</v>
      </c>
      <c r="DQ54" s="13">
        <f t="shared" si="43"/>
        <v>50.293299535837903</v>
      </c>
      <c r="DR54" s="20">
        <f t="shared" si="16"/>
        <v>440.28249935825085</v>
      </c>
      <c r="DS54" s="59">
        <f t="shared" si="17"/>
        <v>687.95569792859897</v>
      </c>
      <c r="DT54" s="59">
        <f ca="1">AVERAGE(OFFSET($DS$3,0,0,'Données projet'!$E$14+1,1))-AVERAGE(OFFSET($H$3,0,0,'Données projet'!$E$14+1,1))</f>
        <v>590.05965493677377</v>
      </c>
      <c r="DU54" s="59">
        <f t="shared" si="44"/>
        <v>378.40640480134505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21.109409996372253</v>
      </c>
      <c r="EB54" s="21">
        <f>EXP(-LN(2)/25)*EB53+(1-EXP(-LN(2)/25))/(LN(2)/25)*Calculateur!DW54*Calculateur!DY54*VLOOKUP('Données projet'!$B$14,Paramètres!$A$1:$I$89,3,0)*0.475*44/12</f>
        <v>0</v>
      </c>
      <c r="EC54" s="21">
        <f>EXP(-LN(2)/2)*EC53+(1-EXP(-LN(2)/2))/(LN(2)/2)*DW54*DZ54*VLOOKUP('Données projet'!$B$14,Paramètres!$A$1:$I$89,3,0)*0.475*44/12</f>
        <v>0</v>
      </c>
      <c r="ED54" s="22">
        <f t="shared" si="18"/>
        <v>21.109409996372253</v>
      </c>
      <c r="EE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57.547235973731304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2">
        <f>'Scénario référence'!$B$16*5+'Scénario référence'!$B$17*0+'Scénario référence'!$B$18*5</f>
        <v>4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14.666666666666666</v>
      </c>
      <c r="H55" s="66">
        <f t="shared" si="1"/>
        <v>159.86666666666667</v>
      </c>
      <c r="I55" s="6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-2.9085640562698246E-14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140.03175887621094</v>
      </c>
      <c r="T55" s="59">
        <f t="shared" si="34"/>
        <v>377.29475975964954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45.679050291960344</v>
      </c>
      <c r="AA55" s="21">
        <f>EXP(-LN(2)/25)*AA54+(1-EXP(-LN(2)/25))/(LN(2)/25)*Calculateur!V55*Calculateur!X55*VLOOKUP('Données projet'!$B$9,Paramètres!$A$1:$I$89,3,0)*0.475*44/12</f>
        <v>0</v>
      </c>
      <c r="AB55" s="21">
        <f>EXP(-LN(2)/2)*AB54+(1-EXP(-LN(2)/2))/(LN(2)/2)*V55*Y55*VLOOKUP('Données projet'!$B$9,Paramètres!$A$1:$I$89,3,0)*0.475*44/12</f>
        <v>1.1967438639418999E-3</v>
      </c>
      <c r="AC55" s="22">
        <f t="shared" si="3"/>
        <v>45.680247035824287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-5.6843418860808015E-14</v>
      </c>
      <c r="AJ55" s="13">
        <f>AI55*VLOOKUP('Données projet'!$B$10,Paramètres!$A$1:$I$89,3,0)*VLOOKUP('Données projet'!$B$10,Paramètres!$A$1:$I$89,5,0)</f>
        <v>-2.8642261895583942E-14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138.27364731587764</v>
      </c>
      <c r="AO55" s="59">
        <f t="shared" si="36"/>
        <v>372.50391467700013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44.982723305802409</v>
      </c>
      <c r="AV55" s="21">
        <f>EXP(-LN(2)/25)*AV54+(1-EXP(-LN(2)/25))/(LN(2)/25)*Calculateur!AQ55*Calculateur!AS55*VLOOKUP('Données projet'!$B$10,Paramètres!$A$1:$I$89,3,0)*0.475*44/12</f>
        <v>0</v>
      </c>
      <c r="AW55" s="21">
        <f>EXP(-LN(2)/2)*AW54+(1-EXP(-LN(2)/2))/(LN(2)/2)*AQ55*AT55*VLOOKUP('Données projet'!$B$10,Paramètres!$A$1:$I$89,3,0)*0.475*44/12</f>
        <v>1.1785008172354673E-3</v>
      </c>
      <c r="AX55" s="21">
        <f t="shared" si="6"/>
        <v>44.983901806619642</v>
      </c>
      <c r="AY55" s="7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9.8000000000000007</v>
      </c>
      <c r="BD55" s="12">
        <f>IF('Données projet'!$A$88&gt;35,BD54+BC55-BL54,IF(A55&lt;'Données projet'!$A$88,$BA$205^A55,IF(A55='Données projet'!$A$88,'Données projet'!$B$88,BD54+BC55-BL54)))</f>
        <v>222.59999999999991</v>
      </c>
      <c r="BE55" s="13">
        <f>BD55*VLOOKUP('Données projet'!$B$11,Paramètres!$A$1:$I$89,3,0)*VLOOKUP('Données projet'!$B$11,Paramètres!$A$1:$I$89,5,0)</f>
        <v>232.66151999999991</v>
      </c>
      <c r="BF55" s="13">
        <f t="shared" si="37"/>
        <v>56.857778463998805</v>
      </c>
      <c r="BG55" s="20">
        <f t="shared" si="7"/>
        <v>504.24611149146443</v>
      </c>
      <c r="BH55" s="59">
        <f t="shared" si="8"/>
        <v>752.71141131918182</v>
      </c>
      <c r="BI55" s="59">
        <f ca="1">AVERAGE(OFFSET($BH$3,0,0,'Données projet'!$E$11+1,1))-AVERAGE(OFFSET($H$3,0,0,'Données projet'!$E$11+1,1))</f>
        <v>638.07304290599211</v>
      </c>
      <c r="BJ55" s="59">
        <f t="shared" si="38"/>
        <v>408.22196233793511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22.731087080351049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22.731087080351049</v>
      </c>
      <c r="BT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222.59999999999991</v>
      </c>
      <c r="BZ55" s="13">
        <f>BY55*VLOOKUP('Données projet'!$B$12,Paramètres!$A$1:$I$89,3,0)*VLOOKUP('Données projet'!$B$12,Paramètres!$A$1:$I$89,5,0)</f>
        <v>253.49687999999992</v>
      </c>
      <c r="CA55" s="13">
        <f t="shared" si="39"/>
        <v>61.334138641955136</v>
      </c>
      <c r="CB55" s="20">
        <f t="shared" si="10"/>
        <v>548.33069080140501</v>
      </c>
      <c r="CC55" s="59">
        <f t="shared" si="11"/>
        <v>796.79599062912246</v>
      </c>
      <c r="CD55" s="59">
        <f ca="1">AVERAGE(OFFSET($CC$3,0,0,'Données projet'!$E$12+1,1))-AVERAGE(OFFSET($H$3,0,0,'Données projet'!$E$12+1,1))</f>
        <v>685.99951993586967</v>
      </c>
      <c r="CE55" s="59">
        <f t="shared" si="40"/>
        <v>437.98014017823095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24.766706818889947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24.766706818889947</v>
      </c>
      <c r="CO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9.8000000000000007</v>
      </c>
      <c r="CT55" s="12">
        <f>IF('Données projet'!$A$140&gt;35,CT54+CS55-DB54,IF(A55&lt;'Données projet'!$A$140,$CQ$205^A55,IF(A55='Données projet'!$A$140,'Données projet'!$B$140,CT54+CS55-DB54)))</f>
        <v>222.59999999999991</v>
      </c>
      <c r="CU55" s="17">
        <f>CT55*VLOOKUP('Données projet'!$B$13,Paramètres!$A$1:$I$89,3,0)*VLOOKUP('Données projet'!$B$13,Paramètres!$A$1:$I$89,5,0)</f>
        <v>225.71639999999991</v>
      </c>
      <c r="CV55" s="13">
        <f t="shared" si="41"/>
        <v>55.355456074834237</v>
      </c>
      <c r="CW55" s="20">
        <f t="shared" si="13"/>
        <v>489.53348266366947</v>
      </c>
      <c r="CX55" s="59">
        <f t="shared" si="14"/>
        <v>737.99878249138692</v>
      </c>
      <c r="CY55" s="59">
        <f ca="1">AVERAGE(OFFSET($CX$3,0,0,'Données projet'!$E$13+1,1))-AVERAGE(OFFSET($H$3,0,0,'Données projet'!$E$13+1,1))</f>
        <v>622.07867348539082</v>
      </c>
      <c r="CZ55" s="59">
        <f t="shared" si="42"/>
        <v>398.29010684041634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22.052547167504745</v>
      </c>
      <c r="DG55" s="21">
        <f>EXP(-LN(2)/25)*DG54+(1-EXP(-LN(2)/25))/(LN(2)/25)*Calculateur!DB55*Calculateur!DD55*VLOOKUP('Données projet'!$B$13,Paramètres!$A$1:$I$89,3,0)*0.475*44/12</f>
        <v>0</v>
      </c>
      <c r="DH55" s="21">
        <f>EXP(-LN(2)/2)*DH54+(1-EXP(-LN(2)/2))/(LN(2)/2)*DB55*DE55*VLOOKUP('Données projet'!$B$13,Paramètres!$A$1:$I$89,3,0)*0.475*44/12</f>
        <v>0</v>
      </c>
      <c r="DI55" s="22">
        <f t="shared" si="15"/>
        <v>22.052547167504745</v>
      </c>
      <c r="DJ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9.8000000000000007</v>
      </c>
      <c r="DO55" s="12">
        <f>IF('Données projet'!$A$166&gt;35,DO54+DN55-DW54,IF(A55&lt;'Données projet'!$A$166,$DL$205^A55,IF(A55='Données projet'!$A$166,'Données projet'!$B$166,DO54+DN55-DW54)))</f>
        <v>222.59999999999991</v>
      </c>
      <c r="DP55" s="17">
        <f>DO55*VLOOKUP('Données projet'!$B$14,Paramètres!$A$1:$I$89,3,0)*VLOOKUP('Données projet'!$B$14,Paramètres!$A$1:$I$89,5,0)</f>
        <v>211.82615999999993</v>
      </c>
      <c r="DQ55" s="13">
        <f t="shared" si="43"/>
        <v>52.334446286305713</v>
      </c>
      <c r="DR55" s="20">
        <f t="shared" si="16"/>
        <v>460.07972261531569</v>
      </c>
      <c r="DS55" s="59">
        <f t="shared" si="17"/>
        <v>708.54502244303308</v>
      </c>
      <c r="DT55" s="59">
        <f ca="1">AVERAGE(OFFSET($DS$3,0,0,'Données projet'!$E$14+1,1))-AVERAGE(OFFSET($H$3,0,0,'Données projet'!$E$14+1,1))</f>
        <v>590.05965493677377</v>
      </c>
      <c r="DU55" s="59">
        <f t="shared" si="44"/>
        <v>378.40640480134505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20.695467341812144</v>
      </c>
      <c r="EB55" s="21">
        <f>EXP(-LN(2)/25)*EB54+(1-EXP(-LN(2)/25))/(LN(2)/25)*Calculateur!DW55*Calculateur!DY55*VLOOKUP('Données projet'!$B$14,Paramètres!$A$1:$I$89,3,0)*0.475*44/12</f>
        <v>0</v>
      </c>
      <c r="EC55" s="21">
        <f>EXP(-LN(2)/2)*EC54+(1-EXP(-LN(2)/2))/(LN(2)/2)*DW55*DZ55*VLOOKUP('Données projet'!$B$14,Paramètres!$A$1:$I$89,3,0)*0.475*44/12</f>
        <v>0</v>
      </c>
      <c r="ED55" s="22">
        <f t="shared" si="18"/>
        <v>20.695467341812144</v>
      </c>
      <c r="EE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57.763263589377473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2">
        <f>'Scénario référence'!$B$16*5+'Scénario référence'!$B$17*0+'Scénario référence'!$B$18*5</f>
        <v>4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14.666666666666666</v>
      </c>
      <c r="H56" s="66">
        <f t="shared" si="1"/>
        <v>159.86666666666667</v>
      </c>
      <c r="I56" s="6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-2.9085640562698246E-14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140.03175887621094</v>
      </c>
      <c r="T56" s="59">
        <f t="shared" si="34"/>
        <v>377.29475975964954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44.78331197720459</v>
      </c>
      <c r="AA56" s="21">
        <f>EXP(-LN(2)/25)*AA55+(1-EXP(-LN(2)/25))/(LN(2)/25)*Calculateur!V56*Calculateur!X56*VLOOKUP('Données projet'!$B$9,Paramètres!$A$1:$I$89,3,0)*0.475*44/12</f>
        <v>0</v>
      </c>
      <c r="AB56" s="21">
        <f>EXP(-LN(2)/2)*AB55+(1-EXP(-LN(2)/2))/(LN(2)/2)*V56*Y56*VLOOKUP('Données projet'!$B$9,Paramètres!$A$1:$I$89,3,0)*0.475*44/12</f>
        <v>8.4622570153670843E-4</v>
      </c>
      <c r="AC56" s="22">
        <f t="shared" si="3"/>
        <v>44.784158202906127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-5.6843418860808015E-14</v>
      </c>
      <c r="AJ56" s="13">
        <f>AI56*VLOOKUP('Données projet'!$B$10,Paramètres!$A$1:$I$89,3,0)*VLOOKUP('Données projet'!$B$10,Paramètres!$A$1:$I$89,5,0)</f>
        <v>-2.8642261895583942E-14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138.27364731587764</v>
      </c>
      <c r="AO56" s="59">
        <f t="shared" si="36"/>
        <v>372.50391467700013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44.100639538527687</v>
      </c>
      <c r="AV56" s="21">
        <f>EXP(-LN(2)/25)*AV55+(1-EXP(-LN(2)/25))/(LN(2)/25)*Calculateur!AQ56*Calculateur!AS56*VLOOKUP('Données projet'!$B$10,Paramètres!$A$1:$I$89,3,0)*0.475*44/12</f>
        <v>0</v>
      </c>
      <c r="AW56" s="21">
        <f>EXP(-LN(2)/2)*AW55+(1-EXP(-LN(2)/2))/(LN(2)/2)*AQ56*AT56*VLOOKUP('Données projet'!$B$10,Paramètres!$A$1:$I$89,3,0)*0.475*44/12</f>
        <v>8.3332591950108703E-4</v>
      </c>
      <c r="AX56" s="21">
        <f t="shared" si="6"/>
        <v>44.101472864447189</v>
      </c>
      <c r="AY56" s="7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9.8000000000000007</v>
      </c>
      <c r="BD56" s="12">
        <f>IF('Données projet'!$A$88&gt;35,BD55+BC56-BL55,IF(A56&lt;'Données projet'!$A$88,$BA$205^A56,IF(A56='Données projet'!$A$88,'Données projet'!$B$88,BD55+BC56-BL55)))</f>
        <v>232.39999999999992</v>
      </c>
      <c r="BE56" s="13">
        <f>BD56*VLOOKUP('Données projet'!$B$11,Paramètres!$A$1:$I$89,3,0)*VLOOKUP('Données projet'!$B$11,Paramètres!$A$1:$I$89,5,0)</f>
        <v>242.90447999999995</v>
      </c>
      <c r="BF56" s="13">
        <f t="shared" si="37"/>
        <v>59.064005323726505</v>
      </c>
      <c r="BG56" s="20">
        <f t="shared" si="7"/>
        <v>525.92844527215686</v>
      </c>
      <c r="BH56" s="59">
        <f t="shared" si="8"/>
        <v>775.17210517130127</v>
      </c>
      <c r="BI56" s="59">
        <f ca="1">AVERAGE(OFFSET($BH$3,0,0,'Données projet'!$E$11+1,1))-AVERAGE(OFFSET($H$3,0,0,'Données projet'!$E$11+1,1))</f>
        <v>638.07304290599211</v>
      </c>
      <c r="BJ56" s="59">
        <f t="shared" si="38"/>
        <v>408.22196233793511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22.28534432729947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22.28534432729947</v>
      </c>
      <c r="BT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232.39999999999992</v>
      </c>
      <c r="BZ56" s="13">
        <f>BY56*VLOOKUP('Données projet'!$B$12,Paramètres!$A$1:$I$89,3,0)*VLOOKUP('Données projet'!$B$12,Paramètres!$A$1:$I$89,5,0)</f>
        <v>264.65711999999991</v>
      </c>
      <c r="CA56" s="13">
        <f t="shared" si="39"/>
        <v>63.71405969665868</v>
      </c>
      <c r="CB56" s="20">
        <f t="shared" si="10"/>
        <v>571.91313797168038</v>
      </c>
      <c r="CC56" s="59">
        <f t="shared" si="11"/>
        <v>821.15679787082479</v>
      </c>
      <c r="CD56" s="59">
        <f ca="1">AVERAGE(OFFSET($CC$3,0,0,'Données projet'!$E$12+1,1))-AVERAGE(OFFSET($H$3,0,0,'Données projet'!$E$12+1,1))</f>
        <v>685.99951993586967</v>
      </c>
      <c r="CE56" s="59">
        <f t="shared" si="40"/>
        <v>437.98014017823095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24.281046804371062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24.281046804371062</v>
      </c>
      <c r="CO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9.8000000000000007</v>
      </c>
      <c r="CT56" s="12">
        <f>IF('Données projet'!$A$140&gt;35,CT55+CS56-DB55,IF(A56&lt;'Données projet'!$A$140,$CQ$205^A56,IF(A56='Données projet'!$A$140,'Données projet'!$B$140,CT55+CS56-DB55)))</f>
        <v>232.39999999999992</v>
      </c>
      <c r="CU56" s="17">
        <f>CT56*VLOOKUP('Données projet'!$B$13,Paramètres!$A$1:$I$89,3,0)*VLOOKUP('Données projet'!$B$13,Paramètres!$A$1:$I$89,5,0)</f>
        <v>235.65359999999993</v>
      </c>
      <c r="CV56" s="13">
        <f t="shared" si="41"/>
        <v>57.503388993143759</v>
      </c>
      <c r="CW56" s="20">
        <f t="shared" si="13"/>
        <v>510.58175582972518</v>
      </c>
      <c r="CX56" s="59">
        <f t="shared" si="14"/>
        <v>759.82541572886964</v>
      </c>
      <c r="CY56" s="59">
        <f ca="1">AVERAGE(OFFSET($CX$3,0,0,'Données projet'!$E$13+1,1))-AVERAGE(OFFSET($H$3,0,0,'Données projet'!$E$13+1,1))</f>
        <v>622.07867348539082</v>
      </c>
      <c r="CZ56" s="59">
        <f t="shared" si="42"/>
        <v>398.29010684041634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21.620110168275602</v>
      </c>
      <c r="DG56" s="21">
        <f>EXP(-LN(2)/25)*DG55+(1-EXP(-LN(2)/25))/(LN(2)/25)*Calculateur!DB56*Calculateur!DD56*VLOOKUP('Données projet'!$B$13,Paramètres!$A$1:$I$89,3,0)*0.475*44/12</f>
        <v>0</v>
      </c>
      <c r="DH56" s="21">
        <f>EXP(-LN(2)/2)*DH55+(1-EXP(-LN(2)/2))/(LN(2)/2)*DB56*DE56*VLOOKUP('Données projet'!$B$13,Paramètres!$A$1:$I$89,3,0)*0.475*44/12</f>
        <v>0</v>
      </c>
      <c r="DI56" s="22">
        <f t="shared" si="15"/>
        <v>21.620110168275602</v>
      </c>
      <c r="DJ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9.8000000000000007</v>
      </c>
      <c r="DO56" s="12">
        <f>IF('Données projet'!$A$166&gt;35,DO55+DN56-DW55,IF(A56&lt;'Données projet'!$A$166,$DL$205^A56,IF(A56='Données projet'!$A$166,'Données projet'!$B$166,DO55+DN56-DW55)))</f>
        <v>232.39999999999992</v>
      </c>
      <c r="DP56" s="17">
        <f>DO56*VLOOKUP('Données projet'!$B$14,Paramètres!$A$1:$I$89,3,0)*VLOOKUP('Données projet'!$B$14,Paramètres!$A$1:$I$89,5,0)</f>
        <v>221.15183999999994</v>
      </c>
      <c r="DQ56" s="13">
        <f t="shared" si="43"/>
        <v>54.365156317632952</v>
      </c>
      <c r="DR56" s="20">
        <f t="shared" si="16"/>
        <v>479.85876858654393</v>
      </c>
      <c r="DS56" s="59">
        <f t="shared" si="17"/>
        <v>729.10242848568839</v>
      </c>
      <c r="DT56" s="59">
        <f ca="1">AVERAGE(OFFSET($DS$3,0,0,'Données projet'!$E$14+1,1))-AVERAGE(OFFSET($H$3,0,0,'Données projet'!$E$14+1,1))</f>
        <v>590.05965493677377</v>
      </c>
      <c r="DU56" s="59">
        <f t="shared" si="44"/>
        <v>378.40640480134505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20.28964185022787</v>
      </c>
      <c r="EB56" s="21">
        <f>EXP(-LN(2)/25)*EB55+(1-EXP(-LN(2)/25))/(LN(2)/25)*Calculateur!DW56*Calculateur!DY56*VLOOKUP('Données projet'!$B$14,Paramètres!$A$1:$I$89,3,0)*0.475*44/12</f>
        <v>0</v>
      </c>
      <c r="EC56" s="21">
        <f>EXP(-LN(2)/2)*EC55+(1-EXP(-LN(2)/2))/(LN(2)/2)*DW56*DZ56*VLOOKUP('Données projet'!$B$14,Paramètres!$A$1:$I$89,3,0)*0.475*44/12</f>
        <v>0</v>
      </c>
      <c r="ED56" s="22">
        <f t="shared" si="18"/>
        <v>20.28964185022787</v>
      </c>
      <c r="EE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57.975543608857571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2">
        <f>'Scénario référence'!$B$16*5+'Scénario référence'!$B$17*0+'Scénario référence'!$B$18*5</f>
        <v>4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14.666666666666666</v>
      </c>
      <c r="H57" s="66">
        <f t="shared" si="1"/>
        <v>159.86666666666667</v>
      </c>
      <c r="I57" s="6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-2.9085640562698246E-14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140.03175887621094</v>
      </c>
      <c r="T57" s="59">
        <f t="shared" si="34"/>
        <v>377.29475975964954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43.905138544454772</v>
      </c>
      <c r="AA57" s="21">
        <f>EXP(-LN(2)/25)*AA56+(1-EXP(-LN(2)/25))/(LN(2)/25)*Calculateur!V57*Calculateur!X57*VLOOKUP('Données projet'!$B$9,Paramètres!$A$1:$I$89,3,0)*0.475*44/12</f>
        <v>0</v>
      </c>
      <c r="AB57" s="21">
        <f>EXP(-LN(2)/2)*AB56+(1-EXP(-LN(2)/2))/(LN(2)/2)*V57*Y57*VLOOKUP('Données projet'!$B$9,Paramètres!$A$1:$I$89,3,0)*0.475*44/12</f>
        <v>5.9837193197094995E-4</v>
      </c>
      <c r="AC57" s="22">
        <f t="shared" si="3"/>
        <v>43.905736916386743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-5.6843418860808015E-14</v>
      </c>
      <c r="AJ57" s="13">
        <f>AI57*VLOOKUP('Données projet'!$B$10,Paramètres!$A$1:$I$89,3,0)*VLOOKUP('Données projet'!$B$10,Paramètres!$A$1:$I$89,5,0)</f>
        <v>-2.8642261895583942E-14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138.27364731587764</v>
      </c>
      <c r="AO57" s="59">
        <f t="shared" si="36"/>
        <v>372.50391467700013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43.23585289591125</v>
      </c>
      <c r="AV57" s="21">
        <f>EXP(-LN(2)/25)*AV56+(1-EXP(-LN(2)/25))/(LN(2)/25)*Calculateur!AQ57*Calculateur!AS57*VLOOKUP('Données projet'!$B$10,Paramètres!$A$1:$I$89,3,0)*0.475*44/12</f>
        <v>0</v>
      </c>
      <c r="AW57" s="21">
        <f>EXP(-LN(2)/2)*AW56+(1-EXP(-LN(2)/2))/(LN(2)/2)*AQ57*AT57*VLOOKUP('Données projet'!$B$10,Paramètres!$A$1:$I$89,3,0)*0.475*44/12</f>
        <v>5.8925040861773365E-4</v>
      </c>
      <c r="AX57" s="21">
        <f t="shared" si="6"/>
        <v>43.236442146319867</v>
      </c>
      <c r="AY57" s="7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9.8000000000000007</v>
      </c>
      <c r="BD57" s="12">
        <f>IF('Données projet'!$A$88&gt;35,BD56+BC57-BL56,IF(A57&lt;'Données projet'!$A$88,$BA$205^A57,IF(A57='Données projet'!$A$88,'Données projet'!$B$88,BD56+BC57-BL56)))</f>
        <v>242.19999999999993</v>
      </c>
      <c r="BE57" s="13">
        <f>BD57*VLOOKUP('Données projet'!$B$11,Paramètres!$A$1:$I$89,3,0)*VLOOKUP('Données projet'!$B$11,Paramètres!$A$1:$I$89,5,0)</f>
        <v>253.14743999999996</v>
      </c>
      <c r="BF57" s="13">
        <f t="shared" si="37"/>
        <v>61.259426216625307</v>
      </c>
      <c r="BG57" s="20">
        <f t="shared" si="7"/>
        <v>547.59195866062225</v>
      </c>
      <c r="BH57" s="59">
        <f t="shared" si="8"/>
        <v>797.60047582410687</v>
      </c>
      <c r="BI57" s="59">
        <f ca="1">AVERAGE(OFFSET($BH$3,0,0,'Données projet'!$E$11+1,1))-AVERAGE(OFFSET($H$3,0,0,'Données projet'!$E$11+1,1))</f>
        <v>638.07304290599211</v>
      </c>
      <c r="BJ57" s="59">
        <f t="shared" si="38"/>
        <v>408.22196233793511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21.848342317758998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21.848342317758998</v>
      </c>
      <c r="BT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242.19999999999993</v>
      </c>
      <c r="BZ57" s="13">
        <f>BY57*VLOOKUP('Données projet'!$B$12,Paramètres!$A$1:$I$89,3,0)*VLOOKUP('Données projet'!$B$12,Paramètres!$A$1:$I$89,5,0)</f>
        <v>275.81735999999995</v>
      </c>
      <c r="CA57" s="13">
        <f t="shared" si="39"/>
        <v>66.082324040784684</v>
      </c>
      <c r="CB57" s="20">
        <f t="shared" si="10"/>
        <v>595.4752830376998</v>
      </c>
      <c r="CC57" s="59">
        <f t="shared" si="11"/>
        <v>845.48380020118441</v>
      </c>
      <c r="CD57" s="59">
        <f ca="1">AVERAGE(OFFSET($CC$3,0,0,'Données projet'!$E$12+1,1))-AVERAGE(OFFSET($H$3,0,0,'Données projet'!$E$12+1,1))</f>
        <v>685.99951993586967</v>
      </c>
      <c r="CE57" s="59">
        <f t="shared" si="40"/>
        <v>437.98014017823095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23.804910286513532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23.804910286513532</v>
      </c>
      <c r="CO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9.8000000000000007</v>
      </c>
      <c r="CT57" s="12">
        <f>IF('Données projet'!$A$140&gt;35,CT56+CS57-DB56,IF(A57&lt;'Données projet'!$A$140,$CQ$205^A57,IF(A57='Données projet'!$A$140,'Données projet'!$B$140,CT56+CS57-DB56)))</f>
        <v>242.19999999999993</v>
      </c>
      <c r="CU57" s="17">
        <f>CT57*VLOOKUP('Données projet'!$B$13,Paramètres!$A$1:$I$89,3,0)*VLOOKUP('Données projet'!$B$13,Paramètres!$A$1:$I$89,5,0)</f>
        <v>245.59079999999992</v>
      </c>
      <c r="CV57" s="13">
        <f t="shared" si="41"/>
        <v>59.64080146485307</v>
      </c>
      <c r="CW57" s="20">
        <f t="shared" si="13"/>
        <v>531.61170588461891</v>
      </c>
      <c r="CX57" s="59">
        <f t="shared" si="14"/>
        <v>781.62022304810353</v>
      </c>
      <c r="CY57" s="59">
        <f ca="1">AVERAGE(OFFSET($CX$3,0,0,'Données projet'!$E$13+1,1))-AVERAGE(OFFSET($H$3,0,0,'Données projet'!$E$13+1,1))</f>
        <v>622.07867348539082</v>
      </c>
      <c r="CZ57" s="59">
        <f t="shared" si="42"/>
        <v>398.29010684041634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21.196152994840816</v>
      </c>
      <c r="DG57" s="21">
        <f>EXP(-LN(2)/25)*DG56+(1-EXP(-LN(2)/25))/(LN(2)/25)*Calculateur!DB57*Calculateur!DD57*VLOOKUP('Données projet'!$B$13,Paramètres!$A$1:$I$89,3,0)*0.475*44/12</f>
        <v>0</v>
      </c>
      <c r="DH57" s="21">
        <f>EXP(-LN(2)/2)*DH56+(1-EXP(-LN(2)/2))/(LN(2)/2)*DB57*DE57*VLOOKUP('Données projet'!$B$13,Paramètres!$A$1:$I$89,3,0)*0.475*44/12</f>
        <v>0</v>
      </c>
      <c r="DI57" s="22">
        <f t="shared" si="15"/>
        <v>21.196152994840816</v>
      </c>
      <c r="DJ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9.8000000000000007</v>
      </c>
      <c r="DO57" s="12">
        <f>IF('Données projet'!$A$166&gt;35,DO56+DN57-DW56,IF(A57&lt;'Données projet'!$A$166,$DL$205^A57,IF(A57='Données projet'!$A$166,'Données projet'!$B$166,DO56+DN57-DW56)))</f>
        <v>242.19999999999993</v>
      </c>
      <c r="DP57" s="17">
        <f>DO57*VLOOKUP('Données projet'!$B$14,Paramètres!$A$1:$I$89,3,0)*VLOOKUP('Données projet'!$B$14,Paramètres!$A$1:$I$89,5,0)</f>
        <v>230.47751999999994</v>
      </c>
      <c r="DQ57" s="13">
        <f t="shared" si="43"/>
        <v>56.38592005302926</v>
      </c>
      <c r="DR57" s="20">
        <f t="shared" si="16"/>
        <v>499.62049142569248</v>
      </c>
      <c r="DS57" s="59">
        <f t="shared" si="17"/>
        <v>749.62900858917715</v>
      </c>
      <c r="DT57" s="59">
        <f ca="1">AVERAGE(OFFSET($DS$3,0,0,'Données projet'!$E$14+1,1))-AVERAGE(OFFSET($H$3,0,0,'Données projet'!$E$14+1,1))</f>
        <v>590.05965493677377</v>
      </c>
      <c r="DU57" s="59">
        <f t="shared" si="44"/>
        <v>378.40640480134505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19.891774349004454</v>
      </c>
      <c r="EB57" s="21">
        <f>EXP(-LN(2)/25)*EB56+(1-EXP(-LN(2)/25))/(LN(2)/25)*Calculateur!DW57*Calculateur!DY57*VLOOKUP('Données projet'!$B$14,Paramètres!$A$1:$I$89,3,0)*0.475*44/12</f>
        <v>0</v>
      </c>
      <c r="EC57" s="21">
        <f>EXP(-LN(2)/2)*EC56+(1-EXP(-LN(2)/2))/(LN(2)/2)*DW57*DZ57*VLOOKUP('Données projet'!$B$14,Paramètres!$A$1:$I$89,3,0)*0.475*44/12</f>
        <v>0</v>
      </c>
      <c r="ED57" s="22">
        <f t="shared" si="18"/>
        <v>19.891774349004454</v>
      </c>
      <c r="EE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58.18414104458671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2">
        <f>'Scénario référence'!$B$16*5+'Scénario référence'!$B$17*0+'Scénario référence'!$B$18*5</f>
        <v>4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14.666666666666666</v>
      </c>
      <c r="H58" s="66">
        <f t="shared" si="1"/>
        <v>159.86666666666667</v>
      </c>
      <c r="I58" s="6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-2.9085640562698246E-14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140.03175887621094</v>
      </c>
      <c r="T58" s="59">
        <f t="shared" si="34"/>
        <v>377.29475975964954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43.044185557088269</v>
      </c>
      <c r="AA58" s="21">
        <f>EXP(-LN(2)/25)*AA57+(1-EXP(-LN(2)/25))/(LN(2)/25)*Calculateur!V58*Calculateur!X58*VLOOKUP('Données projet'!$B$9,Paramètres!$A$1:$I$89,3,0)*0.475*44/12</f>
        <v>0</v>
      </c>
      <c r="AB58" s="21">
        <f>EXP(-LN(2)/2)*AB57+(1-EXP(-LN(2)/2))/(LN(2)/2)*V58*Y58*VLOOKUP('Données projet'!$B$9,Paramètres!$A$1:$I$89,3,0)*0.475*44/12</f>
        <v>4.2311285076835421E-4</v>
      </c>
      <c r="AC58" s="22">
        <f t="shared" si="3"/>
        <v>43.044608669939038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-5.6843418860808015E-14</v>
      </c>
      <c r="AJ58" s="13">
        <f>AI58*VLOOKUP('Données projet'!$B$10,Paramètres!$A$1:$I$89,3,0)*VLOOKUP('Données projet'!$B$10,Paramètres!$A$1:$I$89,5,0)</f>
        <v>-2.8642261895583942E-14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138.27364731587764</v>
      </c>
      <c r="AO58" s="59">
        <f t="shared" si="36"/>
        <v>372.50391467700013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42.388024191888753</v>
      </c>
      <c r="AV58" s="21">
        <f>EXP(-LN(2)/25)*AV57+(1-EXP(-LN(2)/25))/(LN(2)/25)*Calculateur!AQ58*Calculateur!AS58*VLOOKUP('Données projet'!$B$10,Paramètres!$A$1:$I$89,3,0)*0.475*44/12</f>
        <v>0</v>
      </c>
      <c r="AW58" s="21">
        <f>EXP(-LN(2)/2)*AW57+(1-EXP(-LN(2)/2))/(LN(2)/2)*AQ58*AT58*VLOOKUP('Données projet'!$B$10,Paramètres!$A$1:$I$89,3,0)*0.475*44/12</f>
        <v>4.1666295975054351E-4</v>
      </c>
      <c r="AX58" s="21">
        <f t="shared" si="6"/>
        <v>42.388440854848504</v>
      </c>
      <c r="AY58" s="7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9.8000000000000007</v>
      </c>
      <c r="BD58" s="12">
        <f>IF('Données projet'!$A$88&gt;35,BD57+BC58-BL57,IF(A58&lt;'Données projet'!$A$88,$BA$205^A58,IF(A58='Données projet'!$A$88,'Données projet'!$B$88,BD57+BC58-BL57)))</f>
        <v>251.99999999999994</v>
      </c>
      <c r="BE58" s="13">
        <f>BD58*VLOOKUP('Données projet'!$B$11,Paramètres!$A$1:$I$89,3,0)*VLOOKUP('Données projet'!$B$11,Paramètres!$A$1:$I$89,5,0)</f>
        <v>263.39039999999994</v>
      </c>
      <c r="BF58" s="13">
        <f t="shared" si="37"/>
        <v>63.444528395882578</v>
      </c>
      <c r="BG58" s="20">
        <f t="shared" si="7"/>
        <v>569.2375002894953</v>
      </c>
      <c r="BH58" s="59">
        <f t="shared" si="8"/>
        <v>819.99760615374851</v>
      </c>
      <c r="BI58" s="59">
        <f ca="1">AVERAGE(OFFSET($BH$3,0,0,'Données projet'!$E$11+1,1))-AVERAGE(OFFSET($H$3,0,0,'Données projet'!$E$11+1,1))</f>
        <v>638.07304290599211</v>
      </c>
      <c r="BJ58" s="59">
        <f t="shared" si="38"/>
        <v>408.22196233793511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21.419909651080708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21.419909651080708</v>
      </c>
      <c r="BT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251.99999999999994</v>
      </c>
      <c r="BZ58" s="13">
        <f>BY58*VLOOKUP('Données projet'!$B$12,Paramètres!$A$1:$I$89,3,0)*VLOOKUP('Données projet'!$B$12,Paramètres!$A$1:$I$89,5,0)</f>
        <v>286.97759999999994</v>
      </c>
      <c r="CA58" s="13">
        <f t="shared" si="39"/>
        <v>68.43945728851196</v>
      </c>
      <c r="CB58" s="20">
        <f t="shared" si="10"/>
        <v>619.01804144415826</v>
      </c>
      <c r="CC58" s="59">
        <f t="shared" si="11"/>
        <v>869.77814730841146</v>
      </c>
      <c r="CD58" s="59">
        <f ca="1">AVERAGE(OFFSET($CC$3,0,0,'Données projet'!$E$12+1,1))-AVERAGE(OFFSET($H$3,0,0,'Données projet'!$E$12+1,1))</f>
        <v>685.99951993586967</v>
      </c>
      <c r="CE58" s="59">
        <f t="shared" si="40"/>
        <v>437.98014017823095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23.33811051535659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23.33811051535659</v>
      </c>
      <c r="CO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9.8000000000000007</v>
      </c>
      <c r="CT58" s="12">
        <f>IF('Données projet'!$A$140&gt;35,CT57+CS58-DB57,IF(A58&lt;'Données projet'!$A$140,$CQ$205^A58,IF(A58='Données projet'!$A$140,'Données projet'!$B$140,CT57+CS58-DB57)))</f>
        <v>251.99999999999994</v>
      </c>
      <c r="CU58" s="17">
        <f>CT58*VLOOKUP('Données projet'!$B$13,Paramètres!$A$1:$I$89,3,0)*VLOOKUP('Données projet'!$B$13,Paramètres!$A$1:$I$89,5,0)</f>
        <v>255.52799999999993</v>
      </c>
      <c r="CV58" s="13">
        <f t="shared" si="41"/>
        <v>61.768167868721477</v>
      </c>
      <c r="CW58" s="20">
        <f t="shared" si="13"/>
        <v>552.62415903802309</v>
      </c>
      <c r="CX58" s="59">
        <f t="shared" si="14"/>
        <v>803.3842649022763</v>
      </c>
      <c r="CY58" s="59">
        <f ca="1">AVERAGE(OFFSET($CX$3,0,0,'Données projet'!$E$13+1,1))-AVERAGE(OFFSET($H$3,0,0,'Données projet'!$E$13+1,1))</f>
        <v>622.07867348539082</v>
      </c>
      <c r="CZ58" s="59">
        <f t="shared" si="42"/>
        <v>398.29010684041634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20.780509362988742</v>
      </c>
      <c r="DG58" s="21">
        <f>EXP(-LN(2)/25)*DG57+(1-EXP(-LN(2)/25))/(LN(2)/25)*Calculateur!DB58*Calculateur!DD58*VLOOKUP('Données projet'!$B$13,Paramètres!$A$1:$I$89,3,0)*0.475*44/12</f>
        <v>0</v>
      </c>
      <c r="DH58" s="21">
        <f>EXP(-LN(2)/2)*DH57+(1-EXP(-LN(2)/2))/(LN(2)/2)*DB58*DE58*VLOOKUP('Données projet'!$B$13,Paramètres!$A$1:$I$89,3,0)*0.475*44/12</f>
        <v>0</v>
      </c>
      <c r="DI58" s="22">
        <f t="shared" si="15"/>
        <v>20.780509362988742</v>
      </c>
      <c r="DJ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9.8000000000000007</v>
      </c>
      <c r="DO58" s="12">
        <f>IF('Données projet'!$A$166&gt;35,DO57+DN58-DW57,IF(A58&lt;'Données projet'!$A$166,$DL$205^A58,IF(A58='Données projet'!$A$166,'Données projet'!$B$166,DO57+DN58-DW57)))</f>
        <v>251.99999999999994</v>
      </c>
      <c r="DP58" s="17">
        <f>DO58*VLOOKUP('Données projet'!$B$14,Paramètres!$A$1:$I$89,3,0)*VLOOKUP('Données projet'!$B$14,Paramètres!$A$1:$I$89,5,0)</f>
        <v>239.80319999999998</v>
      </c>
      <c r="DQ58" s="13">
        <f t="shared" si="43"/>
        <v>58.397185982155214</v>
      </c>
      <c r="DR58" s="20">
        <f t="shared" si="16"/>
        <v>519.3656722522536</v>
      </c>
      <c r="DS58" s="59">
        <f t="shared" si="17"/>
        <v>770.12577811650681</v>
      </c>
      <c r="DT58" s="59">
        <f ca="1">AVERAGE(OFFSET($DS$3,0,0,'Données projet'!$E$14+1,1))-AVERAGE(OFFSET($H$3,0,0,'Données projet'!$E$14+1,1))</f>
        <v>590.05965493677377</v>
      </c>
      <c r="DU58" s="59">
        <f t="shared" si="44"/>
        <v>378.40640480134505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19.501708786804816</v>
      </c>
      <c r="EB58" s="21">
        <f>EXP(-LN(2)/25)*EB57+(1-EXP(-LN(2)/25))/(LN(2)/25)*Calculateur!DW58*Calculateur!DY58*VLOOKUP('Données projet'!$B$14,Paramètres!$A$1:$I$89,3,0)*0.475*44/12</f>
        <v>0</v>
      </c>
      <c r="EC58" s="21">
        <f>EXP(-LN(2)/2)*EC57+(1-EXP(-LN(2)/2))/(LN(2)/2)*DW58*DZ58*VLOOKUP('Données projet'!$B$14,Paramètres!$A$1:$I$89,3,0)*0.475*44/12</f>
        <v>0</v>
      </c>
      <c r="ED58" s="22">
        <f t="shared" si="18"/>
        <v>19.501708786804816</v>
      </c>
      <c r="EE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58.389119781159962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2">
        <f>'Scénario référence'!$B$16*5+'Scénario référence'!$B$17*0+'Scénario référence'!$B$18*5</f>
        <v>4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14.666666666666666</v>
      </c>
      <c r="H59" s="66">
        <f t="shared" si="1"/>
        <v>159.86666666666667</v>
      </c>
      <c r="I59" s="6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-2.9085640562698246E-14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140.03175887621094</v>
      </c>
      <c r="T59" s="59">
        <f t="shared" si="34"/>
        <v>377.29475975964954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42.200115332674557</v>
      </c>
      <c r="AA59" s="21">
        <f>EXP(-LN(2)/25)*AA58+(1-EXP(-LN(2)/25))/(LN(2)/25)*Calculateur!V59*Calculateur!X59*VLOOKUP('Données projet'!$B$9,Paramètres!$A$1:$I$89,3,0)*0.475*44/12</f>
        <v>0</v>
      </c>
      <c r="AB59" s="21">
        <f>EXP(-LN(2)/2)*AB58+(1-EXP(-LN(2)/2))/(LN(2)/2)*V59*Y59*VLOOKUP('Données projet'!$B$9,Paramètres!$A$1:$I$89,3,0)*0.475*44/12</f>
        <v>2.9918596598547498E-4</v>
      </c>
      <c r="AC59" s="22">
        <f t="shared" si="3"/>
        <v>42.200414518640542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-5.6843418860808015E-14</v>
      </c>
      <c r="AJ59" s="13">
        <f>AI59*VLOOKUP('Données projet'!$B$10,Paramètres!$A$1:$I$89,3,0)*VLOOKUP('Données projet'!$B$10,Paramètres!$A$1:$I$89,5,0)</f>
        <v>-2.8642261895583942E-14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138.27364731587764</v>
      </c>
      <c r="AO59" s="59">
        <f t="shared" si="36"/>
        <v>372.50391467700013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41.556820891627687</v>
      </c>
      <c r="AV59" s="21">
        <f>EXP(-LN(2)/25)*AV58+(1-EXP(-LN(2)/25))/(LN(2)/25)*Calculateur!AQ59*Calculateur!AS59*VLOOKUP('Données projet'!$B$10,Paramètres!$A$1:$I$89,3,0)*0.475*44/12</f>
        <v>0</v>
      </c>
      <c r="AW59" s="21">
        <f>EXP(-LN(2)/2)*AW58+(1-EXP(-LN(2)/2))/(LN(2)/2)*AQ59*AT59*VLOOKUP('Données projet'!$B$10,Paramètres!$A$1:$I$89,3,0)*0.475*44/12</f>
        <v>2.9462520430886683E-4</v>
      </c>
      <c r="AX59" s="21">
        <f t="shared" si="6"/>
        <v>41.557115516831999</v>
      </c>
      <c r="AY59" s="7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9.8000000000000007</v>
      </c>
      <c r="BD59" s="12">
        <f>IF('Données projet'!$A$88&gt;35,BD58+BC59-BL58,IF(A59&lt;'Données projet'!$A$88,$BA$205^A59,IF(A59='Données projet'!$A$88,'Données projet'!$B$88,BD58+BC59-BL58)))</f>
        <v>261.79999999999995</v>
      </c>
      <c r="BE59" s="13">
        <f>BD59*VLOOKUP('Données projet'!$B$11,Paramètres!$A$1:$I$89,3,0)*VLOOKUP('Données projet'!$B$11,Paramètres!$A$1:$I$89,5,0)</f>
        <v>273.63335999999998</v>
      </c>
      <c r="BF59" s="13">
        <f t="shared" si="37"/>
        <v>65.619759071340013</v>
      </c>
      <c r="BG59" s="20">
        <f t="shared" si="7"/>
        <v>590.86584904925041</v>
      </c>
      <c r="BH59" s="59">
        <f t="shared" si="8"/>
        <v>842.36450523061444</v>
      </c>
      <c r="BI59" s="59">
        <f ca="1">AVERAGE(OFFSET($BH$3,0,0,'Données projet'!$E$11+1,1))-AVERAGE(OFFSET($H$3,0,0,'Données projet'!$E$11+1,1))</f>
        <v>638.07304290599211</v>
      </c>
      <c r="BJ59" s="59">
        <f t="shared" si="38"/>
        <v>408.22196233793511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20.999878287677856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20.999878287677856</v>
      </c>
      <c r="BT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261.79999999999995</v>
      </c>
      <c r="BZ59" s="13">
        <f>BY59*VLOOKUP('Données projet'!$B$12,Paramètres!$A$1:$I$89,3,0)*VLOOKUP('Données projet'!$B$12,Paramètres!$A$1:$I$89,5,0)</f>
        <v>298.13783999999998</v>
      </c>
      <c r="CA59" s="13">
        <f t="shared" si="39"/>
        <v>70.78594185809844</v>
      </c>
      <c r="CB59" s="20">
        <f t="shared" si="10"/>
        <v>642.54225340285473</v>
      </c>
      <c r="CC59" s="59">
        <f t="shared" si="11"/>
        <v>894.04090958421875</v>
      </c>
      <c r="CD59" s="59">
        <f ca="1">AVERAGE(OFFSET($CC$3,0,0,'Données projet'!$E$12+1,1))-AVERAGE(OFFSET($H$3,0,0,'Données projet'!$E$12+1,1))</f>
        <v>685.99951993586967</v>
      </c>
      <c r="CE59" s="59">
        <f t="shared" si="40"/>
        <v>437.98014017823095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22.880464402992288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22.880464402992288</v>
      </c>
      <c r="CO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9.8000000000000007</v>
      </c>
      <c r="CT59" s="12">
        <f>IF('Données projet'!$A$140&gt;35,CT58+CS59-DB58,IF(A59&lt;'Données projet'!$A$140,$CQ$205^A59,IF(A59='Données projet'!$A$140,'Données projet'!$B$140,CT58+CS59-DB58)))</f>
        <v>261.79999999999995</v>
      </c>
      <c r="CU59" s="17">
        <f>CT59*VLOOKUP('Données projet'!$B$13,Paramètres!$A$1:$I$89,3,0)*VLOOKUP('Données projet'!$B$13,Paramètres!$A$1:$I$89,5,0)</f>
        <v>265.46519999999998</v>
      </c>
      <c r="CV59" s="13">
        <f t="shared" si="41"/>
        <v>63.885923598206354</v>
      </c>
      <c r="CW59" s="20">
        <f t="shared" si="13"/>
        <v>573.61987360020942</v>
      </c>
      <c r="CX59" s="59">
        <f t="shared" si="14"/>
        <v>825.11852978157344</v>
      </c>
      <c r="CY59" s="59">
        <f ca="1">AVERAGE(OFFSET($CX$3,0,0,'Données projet'!$E$13+1,1))-AVERAGE(OFFSET($H$3,0,0,'Données projet'!$E$13+1,1))</f>
        <v>622.07867348539082</v>
      </c>
      <c r="CZ59" s="59">
        <f t="shared" si="42"/>
        <v>398.29010684041634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20.373016249239704</v>
      </c>
      <c r="DG59" s="21">
        <f>EXP(-LN(2)/25)*DG58+(1-EXP(-LN(2)/25))/(LN(2)/25)*Calculateur!DB59*Calculateur!DD59*VLOOKUP('Données projet'!$B$13,Paramètres!$A$1:$I$89,3,0)*0.475*44/12</f>
        <v>0</v>
      </c>
      <c r="DH59" s="21">
        <f>EXP(-LN(2)/2)*DH58+(1-EXP(-LN(2)/2))/(LN(2)/2)*DB59*DE59*VLOOKUP('Données projet'!$B$13,Paramètres!$A$1:$I$89,3,0)*0.475*44/12</f>
        <v>0</v>
      </c>
      <c r="DI59" s="22">
        <f t="shared" si="15"/>
        <v>20.373016249239704</v>
      </c>
      <c r="DJ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9.8000000000000007</v>
      </c>
      <c r="DO59" s="12">
        <f>IF('Données projet'!$A$166&gt;35,DO58+DN59-DW58,IF(A59&lt;'Données projet'!$A$166,$DL$205^A59,IF(A59='Données projet'!$A$166,'Données projet'!$B$166,DO58+DN59-DW58)))</f>
        <v>261.79999999999995</v>
      </c>
      <c r="DP59" s="17">
        <f>DO59*VLOOKUP('Données projet'!$B$14,Paramètres!$A$1:$I$89,3,0)*VLOOKUP('Données projet'!$B$14,Paramètres!$A$1:$I$89,5,0)</f>
        <v>249.12887999999998</v>
      </c>
      <c r="DQ59" s="13">
        <f t="shared" si="43"/>
        <v>60.399365736982055</v>
      </c>
      <c r="DR59" s="20">
        <f t="shared" si="16"/>
        <v>539.09502799191046</v>
      </c>
      <c r="DS59" s="59">
        <f t="shared" si="17"/>
        <v>790.59368417327448</v>
      </c>
      <c r="DT59" s="59">
        <f ca="1">AVERAGE(OFFSET($DS$3,0,0,'Données projet'!$E$14+1,1))-AVERAGE(OFFSET($H$3,0,0,'Données projet'!$E$14+1,1))</f>
        <v>590.05965493677377</v>
      </c>
      <c r="DU59" s="59">
        <f t="shared" si="44"/>
        <v>378.40640480134505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19.119292172363412</v>
      </c>
      <c r="EB59" s="21">
        <f>EXP(-LN(2)/25)*EB58+(1-EXP(-LN(2)/25))/(LN(2)/25)*Calculateur!DW59*Calculateur!DY59*VLOOKUP('Données projet'!$B$14,Paramètres!$A$1:$I$89,3,0)*0.475*44/12</f>
        <v>0</v>
      </c>
      <c r="EC59" s="21">
        <f>EXP(-LN(2)/2)*EC58+(1-EXP(-LN(2)/2))/(LN(2)/2)*DW59*DZ59*VLOOKUP('Données projet'!$B$14,Paramètres!$A$1:$I$89,3,0)*0.475*44/12</f>
        <v>0</v>
      </c>
      <c r="ED59" s="22">
        <f t="shared" si="18"/>
        <v>19.119292172363412</v>
      </c>
      <c r="EE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58.590542594917459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2">
        <f>'Scénario référence'!$B$16*5+'Scénario référence'!$B$17*0+'Scénario référence'!$B$18*5</f>
        <v>4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14.666666666666666</v>
      </c>
      <c r="H60" s="66">
        <f t="shared" si="1"/>
        <v>159.86666666666667</v>
      </c>
      <c r="I60" s="6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-2.9085640562698246E-14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140.03175887621094</v>
      </c>
      <c r="T60" s="59">
        <f t="shared" si="34"/>
        <v>377.29475975964954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41.372596810529593</v>
      </c>
      <c r="AA60" s="21">
        <f>EXP(-LN(2)/25)*AA59+(1-EXP(-LN(2)/25))/(LN(2)/25)*Calculateur!V60*Calculateur!X60*VLOOKUP('Données projet'!$B$9,Paramètres!$A$1:$I$89,3,0)*0.475*44/12</f>
        <v>0</v>
      </c>
      <c r="AB60" s="21">
        <f>EXP(-LN(2)/2)*AB59+(1-EXP(-LN(2)/2))/(LN(2)/2)*V60*Y60*VLOOKUP('Données projet'!$B$9,Paramètres!$A$1:$I$89,3,0)*0.475*44/12</f>
        <v>2.1155642538417711E-4</v>
      </c>
      <c r="AC60" s="22">
        <f t="shared" si="3"/>
        <v>41.372808366954978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-5.6843418860808015E-14</v>
      </c>
      <c r="AJ60" s="13">
        <f>AI60*VLOOKUP('Données projet'!$B$10,Paramètres!$A$1:$I$89,3,0)*VLOOKUP('Données projet'!$B$10,Paramètres!$A$1:$I$89,5,0)</f>
        <v>-2.8642261895583942E-14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138.27364731587764</v>
      </c>
      <c r="AO60" s="59">
        <f t="shared" si="36"/>
        <v>372.50391467700013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40.741916981100786</v>
      </c>
      <c r="AV60" s="21">
        <f>EXP(-LN(2)/25)*AV59+(1-EXP(-LN(2)/25))/(LN(2)/25)*Calculateur!AQ60*Calculateur!AS60*VLOOKUP('Données projet'!$B$10,Paramètres!$A$1:$I$89,3,0)*0.475*44/12</f>
        <v>0</v>
      </c>
      <c r="AW60" s="21">
        <f>EXP(-LN(2)/2)*AW59+(1-EXP(-LN(2)/2))/(LN(2)/2)*AQ60*AT60*VLOOKUP('Données projet'!$B$10,Paramètres!$A$1:$I$89,3,0)*0.475*44/12</f>
        <v>2.0833147987527176E-4</v>
      </c>
      <c r="AX60" s="21">
        <f t="shared" si="6"/>
        <v>40.742125312580662</v>
      </c>
      <c r="AY60" s="7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9.8000000000000007</v>
      </c>
      <c r="BD60" s="12">
        <f>IF('Données projet'!$A$88&gt;35,BD59+BC60-BL59,IF(A60&lt;'Données projet'!$A$88,$BA$205^A60,IF(A60='Données projet'!$A$88,'Données projet'!$B$88,BD59+BC60-BL59)))</f>
        <v>271.59999999999997</v>
      </c>
      <c r="BE60" s="13">
        <f>BD60*VLOOKUP('Données projet'!$B$11,Paramètres!$A$1:$I$89,3,0)*VLOOKUP('Données projet'!$B$11,Paramètres!$A$1:$I$89,5,0)</f>
        <v>283.87631999999996</v>
      </c>
      <c r="BF60" s="13">
        <f t="shared" si="37"/>
        <v>67.785530075139718</v>
      </c>
      <c r="BG60" s="20">
        <f t="shared" si="7"/>
        <v>612.47772221420166</v>
      </c>
      <c r="BH60" s="59">
        <f t="shared" si="8"/>
        <v>864.70211651582576</v>
      </c>
      <c r="BI60" s="59">
        <f ca="1">AVERAGE(OFFSET($BH$3,0,0,'Données projet'!$E$11+1,1))-AVERAGE(OFFSET($H$3,0,0,'Données projet'!$E$11+1,1))</f>
        <v>638.07304290599211</v>
      </c>
      <c r="BJ60" s="59">
        <f t="shared" si="38"/>
        <v>408.22196233793511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20.588083483117497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20.588083483117497</v>
      </c>
      <c r="BT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271.59999999999997</v>
      </c>
      <c r="BZ60" s="13">
        <f>BY60*VLOOKUP('Données projet'!$B$12,Paramètres!$A$1:$I$89,3,0)*VLOOKUP('Données projet'!$B$12,Paramètres!$A$1:$I$89,5,0)</f>
        <v>309.29807999999997</v>
      </c>
      <c r="CA60" s="13">
        <f t="shared" si="39"/>
        <v>73.122222004848922</v>
      </c>
      <c r="CB60" s="20">
        <f t="shared" si="10"/>
        <v>666.04869265844513</v>
      </c>
      <c r="CC60" s="59">
        <f t="shared" si="11"/>
        <v>918.27308696006924</v>
      </c>
      <c r="CD60" s="59">
        <f ca="1">AVERAGE(OFFSET($CC$3,0,0,'Données projet'!$E$12+1,1))-AVERAGE(OFFSET($H$3,0,0,'Données projet'!$E$12+1,1))</f>
        <v>685.99951993586967</v>
      </c>
      <c r="CE60" s="59">
        <f t="shared" si="40"/>
        <v>437.98014017823095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22.431792451754884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22.431792451754884</v>
      </c>
      <c r="CO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9.8000000000000007</v>
      </c>
      <c r="CT60" s="12">
        <f>IF('Données projet'!$A$140&gt;35,CT59+CS60-DB59,IF(A60&lt;'Données projet'!$A$140,$CQ$205^A60,IF(A60='Données projet'!$A$140,'Données projet'!$B$140,CT59+CS60-DB59)))</f>
        <v>271.59999999999997</v>
      </c>
      <c r="CU60" s="17">
        <f>CT60*VLOOKUP('Données projet'!$B$13,Paramètres!$A$1:$I$89,3,0)*VLOOKUP('Données projet'!$B$13,Paramètres!$A$1:$I$89,5,0)</f>
        <v>275.4024</v>
      </c>
      <c r="CV60" s="13">
        <f t="shared" si="41"/>
        <v>65.994469603831504</v>
      </c>
      <c r="CW60" s="20">
        <f t="shared" si="13"/>
        <v>594.59954789333995</v>
      </c>
      <c r="CX60" s="59">
        <f t="shared" si="14"/>
        <v>846.82394219496405</v>
      </c>
      <c r="CY60" s="59">
        <f ca="1">AVERAGE(OFFSET($CX$3,0,0,'Données projet'!$E$13+1,1))-AVERAGE(OFFSET($H$3,0,0,'Données projet'!$E$13+1,1))</f>
        <v>622.07867348539082</v>
      </c>
      <c r="CZ60" s="59">
        <f t="shared" si="42"/>
        <v>398.29010684041634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19.97351382690503</v>
      </c>
      <c r="DG60" s="21">
        <f>EXP(-LN(2)/25)*DG59+(1-EXP(-LN(2)/25))/(LN(2)/25)*Calculateur!DB60*Calculateur!DD60*VLOOKUP('Données projet'!$B$13,Paramètres!$A$1:$I$89,3,0)*0.475*44/12</f>
        <v>0</v>
      </c>
      <c r="DH60" s="21">
        <f>EXP(-LN(2)/2)*DH59+(1-EXP(-LN(2)/2))/(LN(2)/2)*DB60*DE60*VLOOKUP('Données projet'!$B$13,Paramètres!$A$1:$I$89,3,0)*0.475*44/12</f>
        <v>0</v>
      </c>
      <c r="DI60" s="22">
        <f t="shared" si="15"/>
        <v>19.97351382690503</v>
      </c>
      <c r="DJ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9.8000000000000007</v>
      </c>
      <c r="DO60" s="12">
        <f>IF('Données projet'!$A$166&gt;35,DO59+DN60-DW59,IF(A60&lt;'Données projet'!$A$166,$DL$205^A60,IF(A60='Données projet'!$A$166,'Données projet'!$B$166,DO59+DN60-DW59)))</f>
        <v>271.59999999999997</v>
      </c>
      <c r="DP60" s="17">
        <f>DO60*VLOOKUP('Données projet'!$B$14,Paramètres!$A$1:$I$89,3,0)*VLOOKUP('Données projet'!$B$14,Paramètres!$A$1:$I$89,5,0)</f>
        <v>258.45456000000001</v>
      </c>
      <c r="DQ60" s="13">
        <f t="shared" si="43"/>
        <v>62.392838386261957</v>
      </c>
      <c r="DR60" s="20">
        <f t="shared" si="16"/>
        <v>558.8092188560729</v>
      </c>
      <c r="DS60" s="59">
        <f t="shared" si="17"/>
        <v>811.033613157697</v>
      </c>
      <c r="DT60" s="59">
        <f ca="1">AVERAGE(OFFSET($DS$3,0,0,'Données projet'!$E$14+1,1))-AVERAGE(OFFSET($H$3,0,0,'Données projet'!$E$14+1,1))</f>
        <v>590.05965493677377</v>
      </c>
      <c r="DU60" s="59">
        <f t="shared" si="44"/>
        <v>378.40640480134505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18.744374514480103</v>
      </c>
      <c r="EB60" s="21">
        <f>EXP(-LN(2)/25)*EB59+(1-EXP(-LN(2)/25))/(LN(2)/25)*Calculateur!DW60*Calculateur!DY60*VLOOKUP('Données projet'!$B$14,Paramètres!$A$1:$I$89,3,0)*0.475*44/12</f>
        <v>0</v>
      </c>
      <c r="EC60" s="21">
        <f>EXP(-LN(2)/2)*EC59+(1-EXP(-LN(2)/2))/(LN(2)/2)*DW60*DZ60*VLOOKUP('Données projet'!$B$14,Paramètres!$A$1:$I$89,3,0)*0.475*44/12</f>
        <v>0</v>
      </c>
      <c r="ED60" s="22">
        <f t="shared" si="18"/>
        <v>18.744374514480103</v>
      </c>
      <c r="EE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58.788471173170215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2">
        <f>'Scénario référence'!$B$16*5+'Scénario référence'!$B$17*0+'Scénario référence'!$B$18*5</f>
        <v>4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14.666666666666666</v>
      </c>
      <c r="H61" s="66">
        <f t="shared" si="1"/>
        <v>159.86666666666667</v>
      </c>
      <c r="I61" s="6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-2.9085640562698246E-14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140.03175887621094</v>
      </c>
      <c r="T61" s="59">
        <f t="shared" si="34"/>
        <v>377.29475975964954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40.561305421867431</v>
      </c>
      <c r="AA61" s="21">
        <f>EXP(-LN(2)/25)*AA60+(1-EXP(-LN(2)/25))/(LN(2)/25)*Calculateur!V61*Calculateur!X61*VLOOKUP('Données projet'!$B$9,Paramètres!$A$1:$I$89,3,0)*0.475*44/12</f>
        <v>0</v>
      </c>
      <c r="AB61" s="21">
        <f>EXP(-LN(2)/2)*AB60+(1-EXP(-LN(2)/2))/(LN(2)/2)*V61*Y61*VLOOKUP('Données projet'!$B$9,Paramètres!$A$1:$I$89,3,0)*0.475*44/12</f>
        <v>1.4959298299273749E-4</v>
      </c>
      <c r="AC61" s="22">
        <f t="shared" si="3"/>
        <v>40.561455014850424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-5.6843418860808015E-14</v>
      </c>
      <c r="AJ61" s="13">
        <f>AI61*VLOOKUP('Données projet'!$B$10,Paramètres!$A$1:$I$89,3,0)*VLOOKUP('Données projet'!$B$10,Paramètres!$A$1:$I$89,5,0)</f>
        <v>-2.8642261895583942E-14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138.27364731587764</v>
      </c>
      <c r="AO61" s="59">
        <f t="shared" si="36"/>
        <v>372.50391467700013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39.942992839217013</v>
      </c>
      <c r="AV61" s="21">
        <f>EXP(-LN(2)/25)*AV60+(1-EXP(-LN(2)/25))/(LN(2)/25)*Calculateur!AQ61*Calculateur!AS61*VLOOKUP('Données projet'!$B$10,Paramètres!$A$1:$I$89,3,0)*0.475*44/12</f>
        <v>0</v>
      </c>
      <c r="AW61" s="21">
        <f>EXP(-LN(2)/2)*AW60+(1-EXP(-LN(2)/2))/(LN(2)/2)*AQ61*AT61*VLOOKUP('Données projet'!$B$10,Paramètres!$A$1:$I$89,3,0)*0.475*44/12</f>
        <v>1.4731260215443341E-4</v>
      </c>
      <c r="AX61" s="21">
        <f t="shared" si="6"/>
        <v>39.943140151819165</v>
      </c>
      <c r="AY61" s="7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9.8000000000000007</v>
      </c>
      <c r="BD61" s="12">
        <f>IF('Données projet'!$A$88&gt;35,BD60+BC61-BL60,IF(A61&lt;'Données projet'!$A$88,$BA$205^A61,IF(A61='Données projet'!$A$88,'Données projet'!$B$88,BD60+BC61-BL60)))</f>
        <v>281.39999999999998</v>
      </c>
      <c r="BE61" s="13">
        <f>BD61*VLOOKUP('Données projet'!$B$11,Paramètres!$A$1:$I$89,3,0)*VLOOKUP('Données projet'!$B$11,Paramètres!$A$1:$I$89,5,0)</f>
        <v>294.11928</v>
      </c>
      <c r="BF61" s="13">
        <f t="shared" si="37"/>
        <v>69.942221835053729</v>
      </c>
      <c r="BG61" s="20">
        <f t="shared" si="7"/>
        <v>634.07378236271859</v>
      </c>
      <c r="BH61" s="59">
        <f t="shared" si="8"/>
        <v>887.01132485072367</v>
      </c>
      <c r="BI61" s="59">
        <f ca="1">AVERAGE(OFFSET($BH$3,0,0,'Données projet'!$E$11+1,1))-AVERAGE(OFFSET($H$3,0,0,'Données projet'!$E$11+1,1))</f>
        <v>638.07304290599211</v>
      </c>
      <c r="BJ61" s="59">
        <f t="shared" si="38"/>
        <v>408.22196233793511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20.184363723504539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20.184363723504539</v>
      </c>
      <c r="BT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281.39999999999998</v>
      </c>
      <c r="BZ61" s="13">
        <f>BY61*VLOOKUP('Données projet'!$B$12,Paramètres!$A$1:$I$89,3,0)*VLOOKUP('Données projet'!$B$12,Paramètres!$A$1:$I$89,5,0)</f>
        <v>320.45831999999996</v>
      </c>
      <c r="CA61" s="13">
        <f t="shared" si="39"/>
        <v>75.448708107261183</v>
      </c>
      <c r="CB61" s="20">
        <f t="shared" si="10"/>
        <v>689.53807395347974</v>
      </c>
      <c r="CC61" s="59">
        <f t="shared" si="11"/>
        <v>942.47561644148482</v>
      </c>
      <c r="CD61" s="59">
        <f ca="1">AVERAGE(OFFSET($CC$3,0,0,'Données projet'!$E$12+1,1))-AVERAGE(OFFSET($H$3,0,0,'Données projet'!$E$12+1,1))</f>
        <v>685.99951993586967</v>
      </c>
      <c r="CE61" s="59">
        <f t="shared" si="40"/>
        <v>437.98014017823095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21.991918683818376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21.991918683818376</v>
      </c>
      <c r="CO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9.8000000000000007</v>
      </c>
      <c r="CT61" s="12">
        <f>IF('Données projet'!$A$140&gt;35,CT60+CS61-DB60,IF(A61&lt;'Données projet'!$A$140,$CQ$205^A61,IF(A61='Données projet'!$A$140,'Données projet'!$B$140,CT60+CS61-DB60)))</f>
        <v>281.39999999999998</v>
      </c>
      <c r="CU61" s="17">
        <f>CT61*VLOOKUP('Données projet'!$B$13,Paramètres!$A$1:$I$89,3,0)*VLOOKUP('Données projet'!$B$13,Paramètres!$A$1:$I$89,5,0)</f>
        <v>285.33960000000002</v>
      </c>
      <c r="CV61" s="13">
        <f t="shared" si="41"/>
        <v>68.094176261531288</v>
      </c>
      <c r="CW61" s="20">
        <f t="shared" si="13"/>
        <v>615.56382698883374</v>
      </c>
      <c r="CX61" s="59">
        <f t="shared" si="14"/>
        <v>868.50136947683882</v>
      </c>
      <c r="CY61" s="59">
        <f ca="1">AVERAGE(OFFSET($CX$3,0,0,'Données projet'!$E$13+1,1))-AVERAGE(OFFSET($H$3,0,0,'Données projet'!$E$13+1,1))</f>
        <v>622.07867348539082</v>
      </c>
      <c r="CZ61" s="59">
        <f t="shared" si="42"/>
        <v>398.29010684041634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19.581845403399921</v>
      </c>
      <c r="DG61" s="21">
        <f>EXP(-LN(2)/25)*DG60+(1-EXP(-LN(2)/25))/(LN(2)/25)*Calculateur!DB61*Calculateur!DD61*VLOOKUP('Données projet'!$B$13,Paramètres!$A$1:$I$89,3,0)*0.475*44/12</f>
        <v>0</v>
      </c>
      <c r="DH61" s="21">
        <f>EXP(-LN(2)/2)*DH60+(1-EXP(-LN(2)/2))/(LN(2)/2)*DB61*DE61*VLOOKUP('Données projet'!$B$13,Paramètres!$A$1:$I$89,3,0)*0.475*44/12</f>
        <v>0</v>
      </c>
      <c r="DI61" s="22">
        <f t="shared" si="15"/>
        <v>19.581845403399921</v>
      </c>
      <c r="DJ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9.8000000000000007</v>
      </c>
      <c r="DO61" s="12">
        <f>IF('Données projet'!$A$166&gt;35,DO60+DN61-DW60,IF(A61&lt;'Données projet'!$A$166,$DL$205^A61,IF(A61='Données projet'!$A$166,'Données projet'!$B$166,DO60+DN61-DW60)))</f>
        <v>281.39999999999998</v>
      </c>
      <c r="DP61" s="17">
        <f>DO61*VLOOKUP('Données projet'!$B$14,Paramètres!$A$1:$I$89,3,0)*VLOOKUP('Données projet'!$B$14,Paramètres!$A$1:$I$89,5,0)</f>
        <v>267.78023999999999</v>
      </c>
      <c r="DQ61" s="13">
        <f t="shared" si="43"/>
        <v>64.377954092757676</v>
      </c>
      <c r="DR61" s="20">
        <f t="shared" si="16"/>
        <v>578.50885471155289</v>
      </c>
      <c r="DS61" s="59">
        <f t="shared" si="17"/>
        <v>831.44639719955796</v>
      </c>
      <c r="DT61" s="59">
        <f ca="1">AVERAGE(OFFSET($DS$3,0,0,'Données projet'!$E$14+1,1))-AVERAGE(OFFSET($H$3,0,0,'Données projet'!$E$14+1,1))</f>
        <v>590.05965493677377</v>
      </c>
      <c r="DU61" s="59">
        <f t="shared" si="44"/>
        <v>378.40640480134505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18.376808763190695</v>
      </c>
      <c r="EB61" s="21">
        <f>EXP(-LN(2)/25)*EB60+(1-EXP(-LN(2)/25))/(LN(2)/25)*Calculateur!DW61*Calculateur!DY61*VLOOKUP('Données projet'!$B$14,Paramètres!$A$1:$I$89,3,0)*0.475*44/12</f>
        <v>0</v>
      </c>
      <c r="EC61" s="21">
        <f>EXP(-LN(2)/2)*EC60+(1-EXP(-LN(2)/2))/(LN(2)/2)*DW61*DZ61*VLOOKUP('Données projet'!$B$14,Paramètres!$A$1:$I$89,3,0)*0.475*44/12</f>
        <v>0</v>
      </c>
      <c r="ED61" s="22">
        <f t="shared" si="18"/>
        <v>18.376808763190695</v>
      </c>
      <c r="EE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58.982966133092297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2">
        <f>'Scénario référence'!$B$16*5+'Scénario référence'!$B$17*0+'Scénario référence'!$B$18*5</f>
        <v>4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14.666666666666666</v>
      </c>
      <c r="H62" s="66">
        <f t="shared" si="1"/>
        <v>159.86666666666667</v>
      </c>
      <c r="I62" s="6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-2.9085640562698246E-14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140.03175887621094</v>
      </c>
      <c r="T62" s="59">
        <f t="shared" si="34"/>
        <v>377.29475975964954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39.765922962498053</v>
      </c>
      <c r="AA62" s="21">
        <f>EXP(-LN(2)/25)*AA61+(1-EXP(-LN(2)/25))/(LN(2)/25)*Calculateur!V62*Calculateur!X62*VLOOKUP('Données projet'!$B$9,Paramètres!$A$1:$I$89,3,0)*0.475*44/12</f>
        <v>0</v>
      </c>
      <c r="AB62" s="21">
        <f>EXP(-LN(2)/2)*AB61+(1-EXP(-LN(2)/2))/(LN(2)/2)*V62*Y62*VLOOKUP('Données projet'!$B$9,Paramètres!$A$1:$I$89,3,0)*0.475*44/12</f>
        <v>1.0577821269208855E-4</v>
      </c>
      <c r="AC62" s="22">
        <f t="shared" si="3"/>
        <v>39.766028740710745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-5.6843418860808015E-14</v>
      </c>
      <c r="AJ62" s="13">
        <f>AI62*VLOOKUP('Données projet'!$B$10,Paramètres!$A$1:$I$89,3,0)*VLOOKUP('Données projet'!$B$10,Paramètres!$A$1:$I$89,5,0)</f>
        <v>-2.8642261895583942E-14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138.27364731587764</v>
      </c>
      <c r="AO62" s="59">
        <f t="shared" si="36"/>
        <v>372.50391467700013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39.15973511245997</v>
      </c>
      <c r="AV62" s="21">
        <f>EXP(-LN(2)/25)*AV61+(1-EXP(-LN(2)/25))/(LN(2)/25)*Calculateur!AQ62*Calculateur!AS62*VLOOKUP('Données projet'!$B$10,Paramètres!$A$1:$I$89,3,0)*0.475*44/12</f>
        <v>0</v>
      </c>
      <c r="AW62" s="21">
        <f>EXP(-LN(2)/2)*AW61+(1-EXP(-LN(2)/2))/(LN(2)/2)*AQ62*AT62*VLOOKUP('Données projet'!$B$10,Paramètres!$A$1:$I$89,3,0)*0.475*44/12</f>
        <v>1.0416573993763588E-4</v>
      </c>
      <c r="AX62" s="21">
        <f t="shared" si="6"/>
        <v>39.159839278199904</v>
      </c>
      <c r="AY62" s="7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9.8000000000000007</v>
      </c>
      <c r="BD62" s="12">
        <f>IF('Données projet'!$A$88&gt;35,BD61+BC62-BL61,IF(A62&lt;'Données projet'!$A$88,$BA$205^A62,IF(A62='Données projet'!$A$88,'Données projet'!$B$88,BD61+BC62-BL61)))</f>
        <v>291.2</v>
      </c>
      <c r="BE62" s="13">
        <f>BD62*VLOOKUP('Données projet'!$B$11,Paramètres!$A$1:$I$89,3,0)*VLOOKUP('Données projet'!$B$11,Paramètres!$A$1:$I$89,5,0)</f>
        <v>304.36224000000004</v>
      </c>
      <c r="BF62" s="13">
        <f t="shared" si="37"/>
        <v>72.090186778763311</v>
      </c>
      <c r="BG62" s="20">
        <f t="shared" si="7"/>
        <v>655.6546433063462</v>
      </c>
      <c r="BH62" s="59">
        <f t="shared" si="8"/>
        <v>909.29296245405908</v>
      </c>
      <c r="BI62" s="59">
        <f ca="1">AVERAGE(OFFSET($BH$3,0,0,'Données projet'!$E$11+1,1))-AVERAGE(OFFSET($H$3,0,0,'Données projet'!$E$11+1,1))</f>
        <v>638.07304290599211</v>
      </c>
      <c r="BJ62" s="59">
        <f t="shared" si="38"/>
        <v>408.22196233793511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19.788560662132852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19.788560662132852</v>
      </c>
      <c r="BT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291.2</v>
      </c>
      <c r="BZ62" s="13">
        <f>BY62*VLOOKUP('Données projet'!$B$12,Paramètres!$A$1:$I$89,3,0)*VLOOKUP('Données projet'!$B$12,Paramètres!$A$1:$I$89,5,0)</f>
        <v>331.61856</v>
      </c>
      <c r="CA62" s="13">
        <f t="shared" si="39"/>
        <v>77.765780339320969</v>
      </c>
      <c r="CB62" s="20">
        <f t="shared" si="10"/>
        <v>713.0110594243173</v>
      </c>
      <c r="CC62" s="59">
        <f t="shared" si="11"/>
        <v>966.64937857203017</v>
      </c>
      <c r="CD62" s="59">
        <f ca="1">AVERAGE(OFFSET($CC$3,0,0,'Données projet'!$E$12+1,1))-AVERAGE(OFFSET($H$3,0,0,'Données projet'!$E$12+1,1))</f>
        <v>685.99951993586967</v>
      </c>
      <c r="CE62" s="59">
        <f t="shared" si="40"/>
        <v>437.98014017823095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21.560670572174597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21.560670572174597</v>
      </c>
      <c r="CO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9.8000000000000007</v>
      </c>
      <c r="CT62" s="12">
        <f>IF('Données projet'!$A$140&gt;35,CT61+CS62-DB61,IF(A62&lt;'Données projet'!$A$140,$CQ$205^A62,IF(A62='Données projet'!$A$140,'Données projet'!$B$140,CT61+CS62-DB61)))</f>
        <v>291.2</v>
      </c>
      <c r="CU62" s="17">
        <f>CT62*VLOOKUP('Données projet'!$B$13,Paramètres!$A$1:$I$89,3,0)*VLOOKUP('Données projet'!$B$13,Paramètres!$A$1:$I$89,5,0)</f>
        <v>295.27680000000004</v>
      </c>
      <c r="CV62" s="13">
        <f t="shared" si="41"/>
        <v>70.185386686980493</v>
      </c>
      <c r="CW62" s="20">
        <f t="shared" si="13"/>
        <v>636.51330847982445</v>
      </c>
      <c r="CX62" s="59">
        <f t="shared" si="14"/>
        <v>890.15162762753732</v>
      </c>
      <c r="CY62" s="59">
        <f ca="1">AVERAGE(OFFSET($CX$3,0,0,'Données projet'!$E$13+1,1))-AVERAGE(OFFSET($H$3,0,0,'Données projet'!$E$13+1,1))</f>
        <v>622.07867348539082</v>
      </c>
      <c r="CZ62" s="59">
        <f t="shared" si="42"/>
        <v>398.29010684041634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19.197857358785598</v>
      </c>
      <c r="DG62" s="21">
        <f>EXP(-LN(2)/25)*DG61+(1-EXP(-LN(2)/25))/(LN(2)/25)*Calculateur!DB62*Calculateur!DD62*VLOOKUP('Données projet'!$B$13,Paramètres!$A$1:$I$89,3,0)*0.475*44/12</f>
        <v>0</v>
      </c>
      <c r="DH62" s="21">
        <f>EXP(-LN(2)/2)*DH61+(1-EXP(-LN(2)/2))/(LN(2)/2)*DB62*DE62*VLOOKUP('Données projet'!$B$13,Paramètres!$A$1:$I$89,3,0)*0.475*44/12</f>
        <v>0</v>
      </c>
      <c r="DI62" s="22">
        <f t="shared" si="15"/>
        <v>19.197857358785598</v>
      </c>
      <c r="DJ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9.8000000000000007</v>
      </c>
      <c r="DO62" s="12">
        <f>IF('Données projet'!$A$166&gt;35,DO61+DN62-DW61,IF(A62&lt;'Données projet'!$A$166,$DL$205^A62,IF(A62='Données projet'!$A$166,'Données projet'!$B$166,DO61+DN62-DW61)))</f>
        <v>291.2</v>
      </c>
      <c r="DP62" s="17">
        <f>DO62*VLOOKUP('Données projet'!$B$14,Paramètres!$A$1:$I$89,3,0)*VLOOKUP('Données projet'!$B$14,Paramètres!$A$1:$I$89,5,0)</f>
        <v>277.10591999999997</v>
      </c>
      <c r="DQ62" s="13">
        <f t="shared" si="43"/>
        <v>66.355037246694323</v>
      </c>
      <c r="DR62" s="20">
        <f t="shared" si="16"/>
        <v>598.19450053799255</v>
      </c>
      <c r="DS62" s="59">
        <f t="shared" si="17"/>
        <v>851.83281968570543</v>
      </c>
      <c r="DT62" s="59">
        <f ca="1">AVERAGE(OFFSET($DS$3,0,0,'Données projet'!$E$14+1,1))-AVERAGE(OFFSET($H$3,0,0,'Données projet'!$E$14+1,1))</f>
        <v>590.05965493677377</v>
      </c>
      <c r="DU62" s="59">
        <f t="shared" si="44"/>
        <v>378.40640480134505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18.016450752091099</v>
      </c>
      <c r="EB62" s="21">
        <f>EXP(-LN(2)/25)*EB61+(1-EXP(-LN(2)/25))/(LN(2)/25)*Calculateur!DW62*Calculateur!DY62*VLOOKUP('Données projet'!$B$14,Paramètres!$A$1:$I$89,3,0)*0.475*44/12</f>
        <v>0</v>
      </c>
      <c r="EC62" s="21">
        <f>EXP(-LN(2)/2)*EC61+(1-EXP(-LN(2)/2))/(LN(2)/2)*DW62*DZ62*VLOOKUP('Données projet'!$B$14,Paramètres!$A$1:$I$89,3,0)*0.475*44/12</f>
        <v>0</v>
      </c>
      <c r="ED62" s="22">
        <f t="shared" si="18"/>
        <v>18.016450752091099</v>
      </c>
      <c r="EE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59.174087040285315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2">
        <f>'Scénario référence'!$B$16*5+'Scénario référence'!$B$17*0+'Scénario référence'!$B$18*5</f>
        <v>4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14.666666666666666</v>
      </c>
      <c r="H63" s="66">
        <f t="shared" si="1"/>
        <v>159.86666666666667</v>
      </c>
      <c r="I63" s="6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-2.9085640562698246E-14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140.03175887621094</v>
      </c>
      <c r="T63" s="59">
        <f t="shared" si="34"/>
        <v>377.29475975964954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38.986137468021511</v>
      </c>
      <c r="AA63" s="21">
        <f>EXP(-LN(2)/25)*AA62+(1-EXP(-LN(2)/25))/(LN(2)/25)*Calculateur!V63*Calculateur!X63*VLOOKUP('Données projet'!$B$9,Paramètres!$A$1:$I$89,3,0)*0.475*44/12</f>
        <v>0</v>
      </c>
      <c r="AB63" s="21">
        <f>EXP(-LN(2)/2)*AB62+(1-EXP(-LN(2)/2))/(LN(2)/2)*V63*Y63*VLOOKUP('Données projet'!$B$9,Paramètres!$A$1:$I$89,3,0)*0.475*44/12</f>
        <v>7.4796491496368744E-5</v>
      </c>
      <c r="AC63" s="22">
        <f t="shared" si="3"/>
        <v>38.986212264513007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-5.6843418860808015E-14</v>
      </c>
      <c r="AJ63" s="13">
        <f>AI63*VLOOKUP('Données projet'!$B$10,Paramètres!$A$1:$I$89,3,0)*VLOOKUP('Données projet'!$B$10,Paramètres!$A$1:$I$89,5,0)</f>
        <v>-2.8642261895583942E-14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138.27364731587764</v>
      </c>
      <c r="AO63" s="59">
        <f t="shared" si="36"/>
        <v>372.50391467700013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38.391836591984593</v>
      </c>
      <c r="AV63" s="21">
        <f>EXP(-LN(2)/25)*AV62+(1-EXP(-LN(2)/25))/(LN(2)/25)*Calculateur!AQ63*Calculateur!AS63*VLOOKUP('Données projet'!$B$10,Paramètres!$A$1:$I$89,3,0)*0.475*44/12</f>
        <v>0</v>
      </c>
      <c r="AW63" s="21">
        <f>EXP(-LN(2)/2)*AW62+(1-EXP(-LN(2)/2))/(LN(2)/2)*AQ63*AT63*VLOOKUP('Données projet'!$B$10,Paramètres!$A$1:$I$89,3,0)*0.475*44/12</f>
        <v>7.3656301077216707E-5</v>
      </c>
      <c r="AX63" s="21">
        <f t="shared" si="6"/>
        <v>38.391910248285669</v>
      </c>
      <c r="AY63" s="7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301</v>
      </c>
      <c r="BB63" s="12">
        <f>VLOOKUP(A63,'Données projet'!$A$87:$I$107,9,0)</f>
        <v>9.8000000000000007</v>
      </c>
      <c r="BC63" s="12">
        <f t="array" ref="BC63">INDEX(BB:BB,MIN(IF(ISNUMBER(BB63:BB259),ROW(BB63:BB259),"")))</f>
        <v>9.8000000000000007</v>
      </c>
      <c r="BD63" s="12">
        <f>IF('Données projet'!$A$88&gt;35,BD62+BC63-BL62,IF(A63&lt;'Données projet'!$A$88,$BA$205^A63,IF(A63='Données projet'!$A$88,'Données projet'!$B$88,BD62+BC63-BL62)))</f>
        <v>301</v>
      </c>
      <c r="BE63" s="13">
        <f>BD63*VLOOKUP('Données projet'!$B$11,Paramètres!$A$1:$I$89,3,0)*VLOOKUP('Données projet'!$B$11,Paramètres!$A$1:$I$89,5,0)</f>
        <v>314.60520000000002</v>
      </c>
      <c r="BF63" s="13">
        <f t="shared" si="37"/>
        <v>74.229752266996258</v>
      </c>
      <c r="BG63" s="20">
        <f t="shared" si="7"/>
        <v>677.22087519835191</v>
      </c>
      <c r="BH63" s="59">
        <f t="shared" si="8"/>
        <v>931.5478140974285</v>
      </c>
      <c r="BI63" s="59">
        <f ca="1">AVERAGE(OFFSET($BH$3,0,0,'Données projet'!$E$11+1,1))-AVERAGE(OFFSET($H$3,0,0,'Données projet'!$E$11+1,1))</f>
        <v>638.07304290599211</v>
      </c>
      <c r="BJ63" s="59">
        <f t="shared" si="38"/>
        <v>408.22196233793511</v>
      </c>
      <c r="BK63" s="15">
        <f>IF(ISNA(VLOOKUP(A63,'Données projet'!$A$87:$I$107,3,0)),0,VLOOKUP(A63,'Données projet'!$A$87:$I$107,3,0))</f>
        <v>5</v>
      </c>
      <c r="BL63" s="15">
        <f>IF(ISNA(VLOOKUP(A63,'Données projet'!$A$87:$I$107,4,0)),0,VLOOKUP(A63,'Données projet'!$A$87:$I$107,4,0))</f>
        <v>56</v>
      </c>
      <c r="BM63" s="16">
        <f>IF(ISNA(VLOOKUP(A63,'Données projet'!$A$87:$I$107,5,0)),0%,VLOOKUP(A63,'Données projet'!$A$87:$I$107,5,0)*VLOOKUP('Données projet'!$B$11,Paramètres!$A$1:$I$89,7,0))</f>
        <v>0.36549999999999999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43.05001668697733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43.05001668697733</v>
      </c>
      <c r="BT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301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301</v>
      </c>
      <c r="BZ63" s="13">
        <f>BY63*VLOOKUP('Données projet'!$B$12,Paramètres!$A$1:$I$89,3,0)*VLOOKUP('Données projet'!$B$12,Paramètres!$A$1:$I$89,5,0)</f>
        <v>342.77879999999999</v>
      </c>
      <c r="CA63" s="13">
        <f t="shared" si="39"/>
        <v>80.073791834562797</v>
      </c>
      <c r="CB63" s="20">
        <f t="shared" si="10"/>
        <v>736.46826411186339</v>
      </c>
      <c r="CC63" s="59">
        <f t="shared" si="11"/>
        <v>990.79520301093999</v>
      </c>
      <c r="CD63" s="59">
        <f ca="1">AVERAGE(OFFSET($CC$3,0,0,'Données projet'!$E$12+1,1))-AVERAGE(OFFSET($H$3,0,0,'Données projet'!$E$12+1,1))</f>
        <v>685.99951993586967</v>
      </c>
      <c r="CE63" s="59">
        <f t="shared" si="40"/>
        <v>437.98014017823095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0.36549999999999999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46.905242061930522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46.905242061930522</v>
      </c>
      <c r="CO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301</v>
      </c>
      <c r="CR63" s="12">
        <f>VLOOKUP(A63,'Données projet'!$A$139:$I$159,9,0)</f>
        <v>9.8000000000000007</v>
      </c>
      <c r="CS63" s="12">
        <f t="array" ref="CS63">INDEX(CR:CR,MIN(IF(ISNUMBER(CR63:CR259),ROW(CR63:CR259),"")))</f>
        <v>9.8000000000000007</v>
      </c>
      <c r="CT63" s="12">
        <f>IF('Données projet'!$A$140&gt;35,CT62+CS63-DB62,IF(A63&lt;'Données projet'!$A$140,$CQ$205^A63,IF(A63='Données projet'!$A$140,'Données projet'!$B$140,CT62+CS63-DB62)))</f>
        <v>301</v>
      </c>
      <c r="CU63" s="17">
        <f>CT63*VLOOKUP('Données projet'!$B$13,Paramètres!$A$1:$I$89,3,0)*VLOOKUP('Données projet'!$B$13,Paramètres!$A$1:$I$89,5,0)</f>
        <v>305.214</v>
      </c>
      <c r="CV63" s="13">
        <f t="shared" si="41"/>
        <v>72.268419591231336</v>
      </c>
      <c r="CW63" s="20">
        <f t="shared" si="13"/>
        <v>657.44854745472787</v>
      </c>
      <c r="CX63" s="59">
        <f t="shared" si="14"/>
        <v>911.77548635380447</v>
      </c>
      <c r="CY63" s="59">
        <f ca="1">AVERAGE(OFFSET($CX$3,0,0,'Données projet'!$E$13+1,1))-AVERAGE(OFFSET($H$3,0,0,'Données projet'!$E$13+1,1))</f>
        <v>622.07867348539082</v>
      </c>
      <c r="CZ63" s="59">
        <f t="shared" si="42"/>
        <v>398.29010684041634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56</v>
      </c>
      <c r="DC63" s="16">
        <f>IF(ISNA(VLOOKUP(A63,'Données projet'!$A$139:$I$159,5,0)),0%,VLOOKUP(A63,'Données projet'!$A$139:$I$159,5,0)*VLOOKUP('Données projet'!$B$13,Paramètres!$A$1:$I$89,7,0))</f>
        <v>0.36549999999999999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41.764941561992927</v>
      </c>
      <c r="DG63" s="21">
        <f>EXP(-LN(2)/25)*DG62+(1-EXP(-LN(2)/25))/(LN(2)/25)*Calculateur!DB63*Calculateur!DD63*VLOOKUP('Données projet'!$B$13,Paramètres!$A$1:$I$89,3,0)*0.475*44/12</f>
        <v>0</v>
      </c>
      <c r="DH63" s="21">
        <f>EXP(-LN(2)/2)*DH62+(1-EXP(-LN(2)/2))/(LN(2)/2)*DB63*DE63*VLOOKUP('Données projet'!$B$13,Paramètres!$A$1:$I$89,3,0)*0.475*44/12</f>
        <v>0</v>
      </c>
      <c r="DI63" s="22">
        <f t="shared" si="15"/>
        <v>41.764941561992927</v>
      </c>
      <c r="DJ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301</v>
      </c>
      <c r="DM63" s="12">
        <f>VLOOKUP(A63,'Données projet'!$A$165:$I$185,9,0)</f>
        <v>9.8000000000000007</v>
      </c>
      <c r="DN63" s="12">
        <f t="array" ref="DN63">INDEX(DM:DM,MIN(IF(ISNUMBER(DM63:DM259),ROW(DM63:DM259),"")))</f>
        <v>9.8000000000000007</v>
      </c>
      <c r="DO63" s="12">
        <f>IF('Données projet'!$A$166&gt;35,DO62+DN63-DW62,IF(A63&lt;'Données projet'!$A$166,$DL$205^A63,IF(A63='Données projet'!$A$166,'Données projet'!$B$166,DO62+DN63-DW62)))</f>
        <v>301</v>
      </c>
      <c r="DP63" s="17">
        <f>DO63*VLOOKUP('Données projet'!$B$14,Paramètres!$A$1:$I$89,3,0)*VLOOKUP('Données projet'!$B$14,Paramètres!$A$1:$I$89,5,0)</f>
        <v>286.4316</v>
      </c>
      <c r="DQ63" s="13">
        <f t="shared" si="43"/>
        <v>68.324389165550244</v>
      </c>
      <c r="DR63" s="20">
        <f t="shared" si="16"/>
        <v>617.86668112999996</v>
      </c>
      <c r="DS63" s="59">
        <f t="shared" si="17"/>
        <v>872.19362002907656</v>
      </c>
      <c r="DT63" s="59">
        <f ca="1">AVERAGE(OFFSET($DS$3,0,0,'Données projet'!$E$14+1,1))-AVERAGE(OFFSET($H$3,0,0,'Données projet'!$E$14+1,1))</f>
        <v>590.05965493677377</v>
      </c>
      <c r="DU63" s="59">
        <f t="shared" si="44"/>
        <v>378.40640480134505</v>
      </c>
      <c r="DV63" s="15">
        <f>IF(ISNA(VLOOKUP(A63,'Données projet'!$A$165:$I$185,3,0)),0,VLOOKUP(A63,'Données projet'!$A$165:$I$185,3,0))</f>
        <v>5</v>
      </c>
      <c r="DW63" s="15">
        <f>IF(ISNA(VLOOKUP(A63,'Données projet'!$A$165:$I$185,4,0)),0,VLOOKUP(A63,'Données projet'!$A$165:$I$185,4,0))</f>
        <v>56</v>
      </c>
      <c r="DX63" s="16">
        <f>IF(ISNA(VLOOKUP(A63,'Données projet'!$A$165:$I$185,5,0)),0%,VLOOKUP(A63,'Données projet'!$A$165:$I$185,5,0)*VLOOKUP('Données projet'!$B$14,Paramètres!$A$1:$I$89,7,0))</f>
        <v>0.36549999999999999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39.194791312024137</v>
      </c>
      <c r="EB63" s="21">
        <f>EXP(-LN(2)/25)*EB62+(1-EXP(-LN(2)/25))/(LN(2)/25)*Calculateur!DW63*Calculateur!DY63*VLOOKUP('Données projet'!$B$14,Paramètres!$A$1:$I$89,3,0)*0.475*44/12</f>
        <v>0</v>
      </c>
      <c r="EC63" s="21">
        <f>EXP(-LN(2)/2)*EC62+(1-EXP(-LN(2)/2))/(LN(2)/2)*DW63*DZ63*VLOOKUP('Données projet'!$B$14,Paramètres!$A$1:$I$89,3,0)*0.475*44/12</f>
        <v>0</v>
      </c>
      <c r="ED63" s="22">
        <f t="shared" si="18"/>
        <v>39.194791312024137</v>
      </c>
      <c r="EE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59.361892427020884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2">
        <f>'Scénario référence'!$B$16*5+'Scénario référence'!$B$17*0+'Scénario référence'!$B$18*5</f>
        <v>4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14.666666666666666</v>
      </c>
      <c r="H64" s="66">
        <f t="shared" si="1"/>
        <v>159.86666666666667</v>
      </c>
      <c r="I64" s="6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-2.9085640562698246E-14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140.03175887621094</v>
      </c>
      <c r="T64" s="59">
        <f t="shared" si="34"/>
        <v>377.29475975964954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38.221643091469467</v>
      </c>
      <c r="AA64" s="21">
        <f>EXP(-LN(2)/25)*AA63+(1-EXP(-LN(2)/25))/(LN(2)/25)*Calculateur!V64*Calculateur!X64*VLOOKUP('Données projet'!$B$9,Paramètres!$A$1:$I$89,3,0)*0.475*44/12</f>
        <v>0</v>
      </c>
      <c r="AB64" s="21">
        <f>EXP(-LN(2)/2)*AB63+(1-EXP(-LN(2)/2))/(LN(2)/2)*V64*Y64*VLOOKUP('Données projet'!$B$9,Paramètres!$A$1:$I$89,3,0)*0.475*44/12</f>
        <v>5.2889106346044277E-5</v>
      </c>
      <c r="AC64" s="22">
        <f t="shared" si="3"/>
        <v>38.221695980575817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-5.6843418860808015E-14</v>
      </c>
      <c r="AJ64" s="13">
        <f>AI64*VLOOKUP('Données projet'!$B$10,Paramètres!$A$1:$I$89,3,0)*VLOOKUP('Données projet'!$B$10,Paramètres!$A$1:$I$89,5,0)</f>
        <v>-2.8642261895583942E-14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138.27364731587764</v>
      </c>
      <c r="AO64" s="59">
        <f t="shared" si="36"/>
        <v>372.50391467700013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37.638996093123886</v>
      </c>
      <c r="AV64" s="21">
        <f>EXP(-LN(2)/25)*AV63+(1-EXP(-LN(2)/25))/(LN(2)/25)*Calculateur!AQ64*Calculateur!AS64*VLOOKUP('Données projet'!$B$10,Paramètres!$A$1:$I$89,3,0)*0.475*44/12</f>
        <v>0</v>
      </c>
      <c r="AW64" s="21">
        <f>EXP(-LN(2)/2)*AW63+(1-EXP(-LN(2)/2))/(LN(2)/2)*AQ64*AT64*VLOOKUP('Données projet'!$B$10,Paramètres!$A$1:$I$89,3,0)*0.475*44/12</f>
        <v>5.2082869968817939E-5</v>
      </c>
      <c r="AX64" s="21">
        <f t="shared" si="6"/>
        <v>37.639048175993857</v>
      </c>
      <c r="AY64" s="7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8.5</v>
      </c>
      <c r="BD64" s="12">
        <f>IF('Données projet'!$A$88&gt;35,BD63+BC64-BL63,IF(A64&lt;'Données projet'!$A$88,$BA$205^A64,IF(A64='Données projet'!$A$88,'Données projet'!$B$88,BD63+BC64-BL63)))</f>
        <v>253.5</v>
      </c>
      <c r="BE64" s="13">
        <f>BD64*VLOOKUP('Données projet'!$B$11,Paramètres!$A$1:$I$89,3,0)*VLOOKUP('Données projet'!$B$11,Paramètres!$A$1:$I$89,5,0)</f>
        <v>264.95820000000003</v>
      </c>
      <c r="BF64" s="13">
        <f t="shared" si="37"/>
        <v>63.778101059762591</v>
      </c>
      <c r="BG64" s="20">
        <f t="shared" si="7"/>
        <v>572.54905767908656</v>
      </c>
      <c r="BH64" s="59">
        <f t="shared" si="8"/>
        <v>827.5526703163639</v>
      </c>
      <c r="BI64" s="59">
        <f ca="1">AVERAGE(OFFSET($BH$3,0,0,'Données projet'!$E$11+1,1))-AVERAGE(OFFSET($H$3,0,0,'Données projet'!$E$11+1,1))</f>
        <v>638.07304290599211</v>
      </c>
      <c r="BJ64" s="59">
        <f t="shared" si="38"/>
        <v>408.22196233793511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42.205832117663128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42.205832117663128</v>
      </c>
      <c r="BT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253.5</v>
      </c>
      <c r="BZ64" s="13">
        <f>BY64*VLOOKUP('Données projet'!$B$12,Paramètres!$A$1:$I$89,3,0)*VLOOKUP('Données projet'!$B$12,Paramètres!$A$1:$I$89,5,0)</f>
        <v>288.68580000000003</v>
      </c>
      <c r="CA64" s="13">
        <f t="shared" si="39"/>
        <v>68.799291818919045</v>
      </c>
      <c r="CB64" s="20">
        <f t="shared" si="10"/>
        <v>622.61986825128395</v>
      </c>
      <c r="CC64" s="59">
        <f t="shared" si="11"/>
        <v>877.62348088856129</v>
      </c>
      <c r="CD64" s="59">
        <f ca="1">AVERAGE(OFFSET($CC$3,0,0,'Données projet'!$E$12+1,1))-AVERAGE(OFFSET($H$3,0,0,'Données projet'!$E$12+1,1))</f>
        <v>685.99951993586967</v>
      </c>
      <c r="CE64" s="59">
        <f t="shared" si="40"/>
        <v>437.98014017823095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45.985458874468783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45.985458874468783</v>
      </c>
      <c r="CO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8.5</v>
      </c>
      <c r="CT64" s="12">
        <f>IF('Données projet'!$A$140&gt;35,CT63+CS64-DB63,IF(A64&lt;'Données projet'!$A$140,$CQ$205^A64,IF(A64='Données projet'!$A$140,'Données projet'!$B$140,CT63+CS64-DB63)))</f>
        <v>253.5</v>
      </c>
      <c r="CU64" s="17">
        <f>CT64*VLOOKUP('Données projet'!$B$13,Paramètres!$A$1:$I$89,3,0)*VLOOKUP('Données projet'!$B$13,Paramètres!$A$1:$I$89,5,0)</f>
        <v>257.04900000000004</v>
      </c>
      <c r="CV64" s="13">
        <f t="shared" si="41"/>
        <v>62.092926722162559</v>
      </c>
      <c r="CW64" s="20">
        <f t="shared" si="13"/>
        <v>555.83885570776647</v>
      </c>
      <c r="CX64" s="59">
        <f t="shared" si="14"/>
        <v>810.84246834504381</v>
      </c>
      <c r="CY64" s="59">
        <f ca="1">AVERAGE(OFFSET($CX$3,0,0,'Données projet'!$E$13+1,1))-AVERAGE(OFFSET($H$3,0,0,'Données projet'!$E$13+1,1))</f>
        <v>622.07867348539082</v>
      </c>
      <c r="CZ64" s="59">
        <f t="shared" si="42"/>
        <v>398.29010684041634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40.945956532061238</v>
      </c>
      <c r="DG64" s="21">
        <f>EXP(-LN(2)/25)*DG63+(1-EXP(-LN(2)/25))/(LN(2)/25)*Calculateur!DB64*Calculateur!DD64*VLOOKUP('Données projet'!$B$13,Paramètres!$A$1:$I$89,3,0)*0.475*44/12</f>
        <v>0</v>
      </c>
      <c r="DH64" s="21">
        <f>EXP(-LN(2)/2)*DH63+(1-EXP(-LN(2)/2))/(LN(2)/2)*DB64*DE64*VLOOKUP('Données projet'!$B$13,Paramètres!$A$1:$I$89,3,0)*0.475*44/12</f>
        <v>0</v>
      </c>
      <c r="DI64" s="22">
        <f t="shared" si="15"/>
        <v>40.945956532061238</v>
      </c>
      <c r="DJ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8.5</v>
      </c>
      <c r="DO64" s="12">
        <f>IF('Données projet'!$A$166&gt;35,DO63+DN64-DW63,IF(A64&lt;'Données projet'!$A$166,$DL$205^A64,IF(A64='Données projet'!$A$166,'Données projet'!$B$166,DO63+DN64-DW63)))</f>
        <v>253.5</v>
      </c>
      <c r="DP64" s="17">
        <f>DO64*VLOOKUP('Données projet'!$B$14,Paramètres!$A$1:$I$89,3,0)*VLOOKUP('Données projet'!$B$14,Paramètres!$A$1:$I$89,5,0)</f>
        <v>241.23059999999998</v>
      </c>
      <c r="DQ64" s="13">
        <f t="shared" si="43"/>
        <v>58.70422120463509</v>
      </c>
      <c r="DR64" s="20">
        <f t="shared" si="16"/>
        <v>522.38648026473936</v>
      </c>
      <c r="DS64" s="59">
        <f t="shared" si="17"/>
        <v>777.3900929020167</v>
      </c>
      <c r="DT64" s="59">
        <f ca="1">AVERAGE(OFFSET($DS$3,0,0,'Données projet'!$E$14+1,1))-AVERAGE(OFFSET($H$3,0,0,'Données projet'!$E$14+1,1))</f>
        <v>590.05965493677377</v>
      </c>
      <c r="DU64" s="59">
        <f t="shared" si="44"/>
        <v>378.40640480134505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38.426205360857473</v>
      </c>
      <c r="EB64" s="21">
        <f>EXP(-LN(2)/25)*EB63+(1-EXP(-LN(2)/25))/(LN(2)/25)*Calculateur!DW64*Calculateur!DY64*VLOOKUP('Données projet'!$B$14,Paramètres!$A$1:$I$89,3,0)*0.475*44/12</f>
        <v>0</v>
      </c>
      <c r="EC64" s="21">
        <f>EXP(-LN(2)/2)*EC63+(1-EXP(-LN(2)/2))/(LN(2)/2)*DW64*DZ64*VLOOKUP('Données projet'!$B$14,Paramètres!$A$1:$I$89,3,0)*0.475*44/12</f>
        <v>0</v>
      </c>
      <c r="ED64" s="22">
        <f t="shared" si="18"/>
        <v>38.426205360857473</v>
      </c>
      <c r="EE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59.546439810166525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2">
        <f>'Scénario référence'!$B$16*5+'Scénario référence'!$B$17*0+'Scénario référence'!$B$18*5</f>
        <v>4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14.666666666666666</v>
      </c>
      <c r="H65" s="66">
        <f t="shared" si="1"/>
        <v>159.86666666666667</v>
      </c>
      <c r="I65" s="6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-2.9085640562698246E-14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140.03175887621094</v>
      </c>
      <c r="T65" s="59">
        <f t="shared" si="34"/>
        <v>377.29475975964954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37.472139983346082</v>
      </c>
      <c r="AA65" s="21">
        <f>EXP(-LN(2)/25)*AA64+(1-EXP(-LN(2)/25))/(LN(2)/25)*Calculateur!V65*Calculateur!X65*VLOOKUP('Données projet'!$B$9,Paramètres!$A$1:$I$89,3,0)*0.475*44/12</f>
        <v>0</v>
      </c>
      <c r="AB65" s="21">
        <f>EXP(-LN(2)/2)*AB64+(1-EXP(-LN(2)/2))/(LN(2)/2)*V65*Y65*VLOOKUP('Données projet'!$B$9,Paramètres!$A$1:$I$89,3,0)*0.475*44/12</f>
        <v>3.7398245748184372E-5</v>
      </c>
      <c r="AC65" s="22">
        <f t="shared" si="3"/>
        <v>37.472177381591827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-5.6843418860808015E-14</v>
      </c>
      <c r="AJ65" s="13">
        <f>AI65*VLOOKUP('Données projet'!$B$10,Paramètres!$A$1:$I$89,3,0)*VLOOKUP('Données projet'!$B$10,Paramètres!$A$1:$I$89,5,0)</f>
        <v>-2.8642261895583942E-14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138.27364731587764</v>
      </c>
      <c r="AO65" s="59">
        <f t="shared" si="36"/>
        <v>372.50391467700013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36.900918337258474</v>
      </c>
      <c r="AV65" s="21">
        <f>EXP(-LN(2)/25)*AV64+(1-EXP(-LN(2)/25))/(LN(2)/25)*Calculateur!AQ65*Calculateur!AS65*VLOOKUP('Données projet'!$B$10,Paramètres!$A$1:$I$89,3,0)*0.475*44/12</f>
        <v>0</v>
      </c>
      <c r="AW65" s="21">
        <f>EXP(-LN(2)/2)*AW64+(1-EXP(-LN(2)/2))/(LN(2)/2)*AQ65*AT65*VLOOKUP('Données projet'!$B$10,Paramètres!$A$1:$I$89,3,0)*0.475*44/12</f>
        <v>3.6828150538608353E-5</v>
      </c>
      <c r="AX65" s="21">
        <f t="shared" si="6"/>
        <v>36.900955165409016</v>
      </c>
      <c r="AY65" s="7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8.5</v>
      </c>
      <c r="BD65" s="12">
        <f>IF('Données projet'!$A$88&gt;35,BD64+BC65-BL64,IF(A65&lt;'Données projet'!$A$88,$BA$205^A65,IF(A65='Données projet'!$A$88,'Données projet'!$B$88,BD64+BC65-BL64)))</f>
        <v>262</v>
      </c>
      <c r="BE65" s="13">
        <f>BD65*VLOOKUP('Données projet'!$B$11,Paramètres!$A$1:$I$89,3,0)*VLOOKUP('Données projet'!$B$11,Paramètres!$A$1:$I$89,5,0)</f>
        <v>273.84240000000005</v>
      </c>
      <c r="BF65" s="13">
        <f t="shared" si="37"/>
        <v>65.664051693114544</v>
      </c>
      <c r="BG65" s="20">
        <f t="shared" si="7"/>
        <v>591.30707003217458</v>
      </c>
      <c r="BH65" s="59">
        <f t="shared" si="8"/>
        <v>846.97561763111059</v>
      </c>
      <c r="BI65" s="59">
        <f ca="1">AVERAGE(OFFSET($BH$3,0,0,'Données projet'!$E$11+1,1))-AVERAGE(OFFSET($H$3,0,0,'Données projet'!$E$11+1,1))</f>
        <v>638.07304290599211</v>
      </c>
      <c r="BJ65" s="59">
        <f t="shared" si="38"/>
        <v>408.22196233793511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41.378201492851431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41.378201492851431</v>
      </c>
      <c r="BT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262</v>
      </c>
      <c r="BZ65" s="13">
        <f>BY65*VLOOKUP('Données projet'!$B$12,Paramètres!$A$1:$I$89,3,0)*VLOOKUP('Données projet'!$B$12,Paramètres!$A$1:$I$89,5,0)</f>
        <v>298.36559999999997</v>
      </c>
      <c r="CA65" s="13">
        <f t="shared" si="39"/>
        <v>70.833721596915566</v>
      </c>
      <c r="CB65" s="20">
        <f t="shared" si="10"/>
        <v>643.0221517812945</v>
      </c>
      <c r="CC65" s="59">
        <f t="shared" si="11"/>
        <v>898.69069938023051</v>
      </c>
      <c r="CD65" s="59">
        <f ca="1">AVERAGE(OFFSET($CC$3,0,0,'Données projet'!$E$12+1,1))-AVERAGE(OFFSET($H$3,0,0,'Données projet'!$E$12+1,1))</f>
        <v>685.99951993586967</v>
      </c>
      <c r="CE65" s="59">
        <f t="shared" si="40"/>
        <v>437.98014017823095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45.08371207430082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45.08371207430082</v>
      </c>
      <c r="CO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8.5</v>
      </c>
      <c r="CT65" s="12">
        <f>IF('Données projet'!$A$140&gt;35,CT64+CS65-DB64,IF(A65&lt;'Données projet'!$A$140,$CQ$205^A65,IF(A65='Données projet'!$A$140,'Données projet'!$B$140,CT64+CS65-DB64)))</f>
        <v>262</v>
      </c>
      <c r="CU65" s="17">
        <f>CT65*VLOOKUP('Données projet'!$B$13,Paramètres!$A$1:$I$89,3,0)*VLOOKUP('Données projet'!$B$13,Paramètres!$A$1:$I$89,5,0)</f>
        <v>265.66800000000001</v>
      </c>
      <c r="CV65" s="13">
        <f t="shared" si="41"/>
        <v>63.929045899944406</v>
      </c>
      <c r="CW65" s="20">
        <f t="shared" si="13"/>
        <v>574.04818827573661</v>
      </c>
      <c r="CX65" s="59">
        <f t="shared" si="14"/>
        <v>829.71673587467262</v>
      </c>
      <c r="CY65" s="59">
        <f ca="1">AVERAGE(OFFSET($CX$3,0,0,'Données projet'!$E$13+1,1))-AVERAGE(OFFSET($H$3,0,0,'Données projet'!$E$13+1,1))</f>
        <v>622.07867348539082</v>
      </c>
      <c r="CZ65" s="59">
        <f t="shared" si="42"/>
        <v>398.29010684041634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40.143031299034966</v>
      </c>
      <c r="DG65" s="21">
        <f>EXP(-LN(2)/25)*DG64+(1-EXP(-LN(2)/25))/(LN(2)/25)*Calculateur!DB65*Calculateur!DD65*VLOOKUP('Données projet'!$B$13,Paramètres!$A$1:$I$89,3,0)*0.475*44/12</f>
        <v>0</v>
      </c>
      <c r="DH65" s="21">
        <f>EXP(-LN(2)/2)*DH64+(1-EXP(-LN(2)/2))/(LN(2)/2)*DB65*DE65*VLOOKUP('Données projet'!$B$13,Paramètres!$A$1:$I$89,3,0)*0.475*44/12</f>
        <v>0</v>
      </c>
      <c r="DI65" s="22">
        <f t="shared" si="15"/>
        <v>40.143031299034966</v>
      </c>
      <c r="DJ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8.5</v>
      </c>
      <c r="DO65" s="12">
        <f>IF('Données projet'!$A$166&gt;35,DO64+DN65-DW64,IF(A65&lt;'Données projet'!$A$166,$DL$205^A65,IF(A65='Données projet'!$A$166,'Données projet'!$B$166,DO64+DN65-DW64)))</f>
        <v>262</v>
      </c>
      <c r="DP65" s="17">
        <f>DO65*VLOOKUP('Données projet'!$B$14,Paramètres!$A$1:$I$89,3,0)*VLOOKUP('Données projet'!$B$14,Paramètres!$A$1:$I$89,5,0)</f>
        <v>249.3192</v>
      </c>
      <c r="DQ65" s="13">
        <f t="shared" si="43"/>
        <v>60.440134650185499</v>
      </c>
      <c r="DR65" s="20">
        <f t="shared" si="16"/>
        <v>539.49750784907303</v>
      </c>
      <c r="DS65" s="59">
        <f t="shared" si="17"/>
        <v>795.16605544800905</v>
      </c>
      <c r="DT65" s="59">
        <f ca="1">AVERAGE(OFFSET($DS$3,0,0,'Données projet'!$E$14+1,1))-AVERAGE(OFFSET($H$3,0,0,'Données projet'!$E$14+1,1))</f>
        <v>590.05965493677377</v>
      </c>
      <c r="DU65" s="59">
        <f t="shared" si="44"/>
        <v>378.40640480134505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37.67269091140205</v>
      </c>
      <c r="EB65" s="21">
        <f>EXP(-LN(2)/25)*EB64+(1-EXP(-LN(2)/25))/(LN(2)/25)*Calculateur!DW65*Calculateur!DY65*VLOOKUP('Données projet'!$B$14,Paramètres!$A$1:$I$89,3,0)*0.475*44/12</f>
        <v>0</v>
      </c>
      <c r="EC65" s="21">
        <f>EXP(-LN(2)/2)*EC64+(1-EXP(-LN(2)/2))/(LN(2)/2)*DW65*DZ65*VLOOKUP('Données projet'!$B$14,Paramètres!$A$1:$I$89,3,0)*0.475*44/12</f>
        <v>0</v>
      </c>
      <c r="ED65" s="22">
        <f t="shared" si="18"/>
        <v>37.67269091140205</v>
      </c>
      <c r="EE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59.727785708800731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2">
        <f>'Scénario référence'!$B$16*5+'Scénario référence'!$B$17*0+'Scénario référence'!$B$18*5</f>
        <v>4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14.666666666666666</v>
      </c>
      <c r="H66" s="66">
        <f t="shared" si="1"/>
        <v>159.86666666666667</v>
      </c>
      <c r="I66" s="6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-2.9085640562698246E-14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140.03175887621094</v>
      </c>
      <c r="T66" s="59">
        <f t="shared" si="34"/>
        <v>377.29475975964954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36.737334174021235</v>
      </c>
      <c r="AA66" s="21">
        <f>EXP(-LN(2)/25)*AA65+(1-EXP(-LN(2)/25))/(LN(2)/25)*Calculateur!V66*Calculateur!X66*VLOOKUP('Données projet'!$B$9,Paramètres!$A$1:$I$89,3,0)*0.475*44/12</f>
        <v>0</v>
      </c>
      <c r="AB66" s="21">
        <f>EXP(-LN(2)/2)*AB65+(1-EXP(-LN(2)/2))/(LN(2)/2)*V66*Y66*VLOOKUP('Données projet'!$B$9,Paramètres!$A$1:$I$89,3,0)*0.475*44/12</f>
        <v>2.6444553173022138E-5</v>
      </c>
      <c r="AC66" s="22">
        <f t="shared" si="3"/>
        <v>36.737360618574407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-5.6843418860808015E-14</v>
      </c>
      <c r="AJ66" s="13">
        <f>AI66*VLOOKUP('Données projet'!$B$10,Paramètres!$A$1:$I$89,3,0)*VLOOKUP('Données projet'!$B$10,Paramètres!$A$1:$I$89,5,0)</f>
        <v>-2.8642261895583942E-14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138.27364731587764</v>
      </c>
      <c r="AO66" s="59">
        <f t="shared" si="36"/>
        <v>372.50391467700013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36.177313836002604</v>
      </c>
      <c r="AV66" s="21">
        <f>EXP(-LN(2)/25)*AV65+(1-EXP(-LN(2)/25))/(LN(2)/25)*Calculateur!AQ66*Calculateur!AS66*VLOOKUP('Données projet'!$B$10,Paramètres!$A$1:$I$89,3,0)*0.475*44/12</f>
        <v>0</v>
      </c>
      <c r="AW66" s="21">
        <f>EXP(-LN(2)/2)*AW65+(1-EXP(-LN(2)/2))/(LN(2)/2)*AQ66*AT66*VLOOKUP('Données projet'!$B$10,Paramètres!$A$1:$I$89,3,0)*0.475*44/12</f>
        <v>2.604143498440897E-5</v>
      </c>
      <c r="AX66" s="21">
        <f t="shared" si="6"/>
        <v>36.177339877437589</v>
      </c>
      <c r="AY66" s="7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8.5</v>
      </c>
      <c r="BD66" s="12">
        <f>IF('Données projet'!$A$88&gt;35,BD65+BC66-BL65,IF(A66&lt;'Données projet'!$A$88,$BA$205^A66,IF(A66='Données projet'!$A$88,'Données projet'!$B$88,BD65+BC66-BL65)))</f>
        <v>270.5</v>
      </c>
      <c r="BE66" s="13">
        <f>BD66*VLOOKUP('Données projet'!$B$11,Paramètres!$A$1:$I$89,3,0)*VLOOKUP('Données projet'!$B$11,Paramètres!$A$1:$I$89,5,0)</f>
        <v>282.72660000000002</v>
      </c>
      <c r="BF66" s="13">
        <f t="shared" si="37"/>
        <v>67.542892456352547</v>
      </c>
      <c r="BG66" s="20">
        <f t="shared" si="7"/>
        <v>610.05269936148068</v>
      </c>
      <c r="BH66" s="59">
        <f t="shared" si="8"/>
        <v>866.3746467870626</v>
      </c>
      <c r="BI66" s="59">
        <f ca="1">AVERAGE(OFFSET($BH$3,0,0,'Données projet'!$E$11+1,1))-AVERAGE(OFFSET($H$3,0,0,'Données projet'!$E$11+1,1))</f>
        <v>638.07304290599211</v>
      </c>
      <c r="BJ66" s="59">
        <f t="shared" si="38"/>
        <v>408.22196233793511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40.566800199787458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40.566800199787458</v>
      </c>
      <c r="BT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270.5</v>
      </c>
      <c r="BZ66" s="13">
        <f>BY66*VLOOKUP('Données projet'!$B$12,Paramètres!$A$1:$I$89,3,0)*VLOOKUP('Données projet'!$B$12,Paramètres!$A$1:$I$89,5,0)</f>
        <v>308.04540000000003</v>
      </c>
      <c r="CA66" s="13">
        <f t="shared" si="39"/>
        <v>72.860481751316698</v>
      </c>
      <c r="CB66" s="20">
        <f t="shared" si="10"/>
        <v>663.41107738354322</v>
      </c>
      <c r="CC66" s="59">
        <f t="shared" si="11"/>
        <v>919.73302480912503</v>
      </c>
      <c r="CD66" s="59">
        <f ca="1">AVERAGE(OFFSET($CC$3,0,0,'Données projet'!$E$12+1,1))-AVERAGE(OFFSET($H$3,0,0,'Données projet'!$E$12+1,1))</f>
        <v>685.99951993586967</v>
      </c>
      <c r="CE66" s="59">
        <f t="shared" si="40"/>
        <v>437.98014017823095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44.19964797887291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44.19964797887291</v>
      </c>
      <c r="CO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8.5</v>
      </c>
      <c r="CT66" s="12">
        <f>IF('Données projet'!$A$140&gt;35,CT65+CS66-DB65,IF(A66&lt;'Données projet'!$A$140,$CQ$205^A66,IF(A66='Données projet'!$A$140,'Données projet'!$B$140,CT65+CS66-DB65)))</f>
        <v>270.5</v>
      </c>
      <c r="CU66" s="17">
        <f>CT66*VLOOKUP('Données projet'!$B$13,Paramètres!$A$1:$I$89,3,0)*VLOOKUP('Données projet'!$B$13,Paramètres!$A$1:$I$89,5,0)</f>
        <v>274.28700000000003</v>
      </c>
      <c r="CV66" s="13">
        <f t="shared" si="41"/>
        <v>65.758243067872485</v>
      </c>
      <c r="CW66" s="20">
        <f t="shared" si="13"/>
        <v>592.24546500987799</v>
      </c>
      <c r="CX66" s="59">
        <f t="shared" si="14"/>
        <v>848.5674124354598</v>
      </c>
      <c r="CY66" s="59">
        <f ca="1">AVERAGE(OFFSET($CX$3,0,0,'Données projet'!$E$13+1,1))-AVERAGE(OFFSET($H$3,0,0,'Données projet'!$E$13+1,1))</f>
        <v>622.07867348539082</v>
      </c>
      <c r="CZ66" s="59">
        <f t="shared" si="42"/>
        <v>398.29010684041634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39.35585094009231</v>
      </c>
      <c r="DG66" s="21">
        <f>EXP(-LN(2)/25)*DG65+(1-EXP(-LN(2)/25))/(LN(2)/25)*Calculateur!DB66*Calculateur!DD66*VLOOKUP('Données projet'!$B$13,Paramètres!$A$1:$I$89,3,0)*0.475*44/12</f>
        <v>0</v>
      </c>
      <c r="DH66" s="21">
        <f>EXP(-LN(2)/2)*DH65+(1-EXP(-LN(2)/2))/(LN(2)/2)*DB66*DE66*VLOOKUP('Données projet'!$B$13,Paramètres!$A$1:$I$89,3,0)*0.475*44/12</f>
        <v>0</v>
      </c>
      <c r="DI66" s="22">
        <f t="shared" si="15"/>
        <v>39.35585094009231</v>
      </c>
      <c r="DJ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8.5</v>
      </c>
      <c r="DO66" s="12">
        <f>IF('Données projet'!$A$166&gt;35,DO65+DN66-DW65,IF(A66&lt;'Données projet'!$A$166,$DL$205^A66,IF(A66='Données projet'!$A$166,'Données projet'!$B$166,DO65+DN66-DW65)))</f>
        <v>270.5</v>
      </c>
      <c r="DP66" s="17">
        <f>DO66*VLOOKUP('Données projet'!$B$14,Paramètres!$A$1:$I$89,3,0)*VLOOKUP('Données projet'!$B$14,Paramètres!$A$1:$I$89,5,0)</f>
        <v>257.40780000000001</v>
      </c>
      <c r="DQ66" s="13">
        <f t="shared" si="43"/>
        <v>62.169503852790903</v>
      </c>
      <c r="DR66" s="20">
        <f t="shared" si="16"/>
        <v>556.59713754361087</v>
      </c>
      <c r="DS66" s="59">
        <f t="shared" si="17"/>
        <v>812.91908496919268</v>
      </c>
      <c r="DT66" s="59">
        <f ca="1">AVERAGE(OFFSET($DS$3,0,0,'Données projet'!$E$14+1,1))-AVERAGE(OFFSET($H$3,0,0,'Données projet'!$E$14+1,1))</f>
        <v>590.05965493677377</v>
      </c>
      <c r="DU66" s="59">
        <f t="shared" si="44"/>
        <v>378.40640480134505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36.933952420702013</v>
      </c>
      <c r="EB66" s="21">
        <f>EXP(-LN(2)/25)*EB65+(1-EXP(-LN(2)/25))/(LN(2)/25)*Calculateur!DW66*Calculateur!DY66*VLOOKUP('Données projet'!$B$14,Paramètres!$A$1:$I$89,3,0)*0.475*44/12</f>
        <v>0</v>
      </c>
      <c r="EC66" s="21">
        <f>EXP(-LN(2)/2)*EC65+(1-EXP(-LN(2)/2))/(LN(2)/2)*DW66*DZ66*VLOOKUP('Données projet'!$B$14,Paramètres!$A$1:$I$89,3,0)*0.475*44/12</f>
        <v>0</v>
      </c>
      <c r="ED66" s="22">
        <f t="shared" si="18"/>
        <v>36.933952420702013</v>
      </c>
      <c r="EE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59.905985661522323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2">
        <f>'Scénario référence'!$B$16*5+'Scénario référence'!$B$17*0+'Scénario référence'!$B$18*5</f>
        <v>4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14.666666666666666</v>
      </c>
      <c r="H67" s="66">
        <f t="shared" si="1"/>
        <v>159.86666666666667</v>
      </c>
      <c r="I67" s="6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-2.9085640562698246E-14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140.03175887621094</v>
      </c>
      <c r="T67" s="59">
        <f t="shared" si="34"/>
        <v>377.29475975964954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36.016937458429965</v>
      </c>
      <c r="AA67" s="21">
        <f>EXP(-LN(2)/25)*AA66+(1-EXP(-LN(2)/25))/(LN(2)/25)*Calculateur!V67*Calculateur!X67*VLOOKUP('Données projet'!$B$9,Paramètres!$A$1:$I$89,3,0)*0.475*44/12</f>
        <v>0</v>
      </c>
      <c r="AB67" s="21">
        <f>EXP(-LN(2)/2)*AB66+(1-EXP(-LN(2)/2))/(LN(2)/2)*V67*Y67*VLOOKUP('Données projet'!$B$9,Paramètres!$A$1:$I$89,3,0)*0.475*44/12</f>
        <v>1.8699122874092186E-5</v>
      </c>
      <c r="AC67" s="22">
        <f t="shared" si="3"/>
        <v>36.016956157552841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-5.6843418860808015E-14</v>
      </c>
      <c r="AJ67" s="13">
        <f>AI67*VLOOKUP('Données projet'!$B$10,Paramètres!$A$1:$I$89,3,0)*VLOOKUP('Données projet'!$B$10,Paramètres!$A$1:$I$89,5,0)</f>
        <v>-2.8642261895583942E-14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138.27364731587764</v>
      </c>
      <c r="AO67" s="59">
        <f t="shared" si="36"/>
        <v>372.50391467700013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35.467898777661198</v>
      </c>
      <c r="AV67" s="21">
        <f>EXP(-LN(2)/25)*AV66+(1-EXP(-LN(2)/25))/(LN(2)/25)*Calculateur!AQ67*Calculateur!AS67*VLOOKUP('Données projet'!$B$10,Paramètres!$A$1:$I$89,3,0)*0.475*44/12</f>
        <v>0</v>
      </c>
      <c r="AW67" s="21">
        <f>EXP(-LN(2)/2)*AW66+(1-EXP(-LN(2)/2))/(LN(2)/2)*AQ67*AT67*VLOOKUP('Données projet'!$B$10,Paramètres!$A$1:$I$89,3,0)*0.475*44/12</f>
        <v>1.8414075269304177E-5</v>
      </c>
      <c r="AX67" s="21">
        <f t="shared" si="6"/>
        <v>35.467917191736468</v>
      </c>
      <c r="AY67" s="7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8.5</v>
      </c>
      <c r="BD67" s="12">
        <f>IF('Données projet'!$A$88&gt;35,BD66+BC67-BL66,IF(A67&lt;'Données projet'!$A$88,$BA$205^A67,IF(A67='Données projet'!$A$88,'Données projet'!$B$88,BD66+BC67-BL66)))</f>
        <v>279</v>
      </c>
      <c r="BE67" s="13">
        <f>BD67*VLOOKUP('Données projet'!$B$11,Paramètres!$A$1:$I$89,3,0)*VLOOKUP('Données projet'!$B$11,Paramètres!$A$1:$I$89,5,0)</f>
        <v>291.61080000000004</v>
      </c>
      <c r="BF67" s="13">
        <f t="shared" si="37"/>
        <v>69.41487239813145</v>
      </c>
      <c r="BG67" s="20">
        <f t="shared" si="7"/>
        <v>628.78637942674561</v>
      </c>
      <c r="BH67" s="59">
        <f t="shared" si="8"/>
        <v>885.75039165276416</v>
      </c>
      <c r="BI67" s="59">
        <f ca="1">AVERAGE(OFFSET($BH$3,0,0,'Données projet'!$E$11+1,1))-AVERAGE(OFFSET($H$3,0,0,'Données projet'!$E$11+1,1))</f>
        <v>638.07304290599211</v>
      </c>
      <c r="BJ67" s="59">
        <f t="shared" si="38"/>
        <v>408.22196233793511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39.771309991174547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39.771309991174547</v>
      </c>
      <c r="BT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279</v>
      </c>
      <c r="BZ67" s="13">
        <f>BY67*VLOOKUP('Données projet'!$B$12,Paramètres!$A$1:$I$89,3,0)*VLOOKUP('Données projet'!$B$12,Paramètres!$A$1:$I$89,5,0)</f>
        <v>317.72519999999997</v>
      </c>
      <c r="CA67" s="13">
        <f t="shared" si="39"/>
        <v>74.879840938146728</v>
      </c>
      <c r="CB67" s="20">
        <f t="shared" si="10"/>
        <v>683.78711296727215</v>
      </c>
      <c r="CC67" s="59">
        <f t="shared" si="11"/>
        <v>940.7511251932907</v>
      </c>
      <c r="CD67" s="59">
        <f ca="1">AVERAGE(OFFSET($CC$3,0,0,'Données projet'!$E$12+1,1))-AVERAGE(OFFSET($H$3,0,0,'Données projet'!$E$12+1,1))</f>
        <v>685.99951993586967</v>
      </c>
      <c r="CE67" s="59">
        <f t="shared" si="40"/>
        <v>437.98014017823095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43.33291984113049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43.33291984113049</v>
      </c>
      <c r="CO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8.5</v>
      </c>
      <c r="CT67" s="12">
        <f>IF('Données projet'!$A$140&gt;35,CT66+CS67-DB66,IF(A67&lt;'Données projet'!$A$140,$CQ$205^A67,IF(A67='Données projet'!$A$140,'Données projet'!$B$140,CT66+CS67-DB66)))</f>
        <v>279</v>
      </c>
      <c r="CU67" s="17">
        <f>CT67*VLOOKUP('Données projet'!$B$13,Paramètres!$A$1:$I$89,3,0)*VLOOKUP('Données projet'!$B$13,Paramètres!$A$1:$I$89,5,0)</f>
        <v>282.90600000000001</v>
      </c>
      <c r="CV67" s="13">
        <f t="shared" si="41"/>
        <v>67.580760694123512</v>
      </c>
      <c r="CW67" s="20">
        <f t="shared" si="13"/>
        <v>610.43110820893173</v>
      </c>
      <c r="CX67" s="59">
        <f t="shared" si="14"/>
        <v>867.39512043495029</v>
      </c>
      <c r="CY67" s="59">
        <f ca="1">AVERAGE(OFFSET($CX$3,0,0,'Données projet'!$E$13+1,1))-AVERAGE(OFFSET($H$3,0,0,'Données projet'!$E$13+1,1))</f>
        <v>622.07867348539082</v>
      </c>
      <c r="CZ67" s="59">
        <f t="shared" si="42"/>
        <v>398.29010684041634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38.584106707855909</v>
      </c>
      <c r="DG67" s="21">
        <f>EXP(-LN(2)/25)*DG66+(1-EXP(-LN(2)/25))/(LN(2)/25)*Calculateur!DB67*Calculateur!DD67*VLOOKUP('Données projet'!$B$13,Paramètres!$A$1:$I$89,3,0)*0.475*44/12</f>
        <v>0</v>
      </c>
      <c r="DH67" s="21">
        <f>EXP(-LN(2)/2)*DH66+(1-EXP(-LN(2)/2))/(LN(2)/2)*DB67*DE67*VLOOKUP('Données projet'!$B$13,Paramètres!$A$1:$I$89,3,0)*0.475*44/12</f>
        <v>0</v>
      </c>
      <c r="DI67" s="22">
        <f t="shared" si="15"/>
        <v>38.584106707855909</v>
      </c>
      <c r="DJ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8.5</v>
      </c>
      <c r="DO67" s="12">
        <f>IF('Données projet'!$A$166&gt;35,DO66+DN67-DW66,IF(A67&lt;'Données projet'!$A$166,$DL$205^A67,IF(A67='Données projet'!$A$166,'Données projet'!$B$166,DO66+DN67-DW66)))</f>
        <v>279</v>
      </c>
      <c r="DP67" s="17">
        <f>DO67*VLOOKUP('Données projet'!$B$14,Paramètres!$A$1:$I$89,3,0)*VLOOKUP('Données projet'!$B$14,Paramètres!$A$1:$I$89,5,0)</f>
        <v>265.49639999999999</v>
      </c>
      <c r="DQ67" s="13">
        <f t="shared" si="43"/>
        <v>63.892558047989588</v>
      </c>
      <c r="DR67" s="20">
        <f t="shared" si="16"/>
        <v>573.68576860024848</v>
      </c>
      <c r="DS67" s="59">
        <f t="shared" si="17"/>
        <v>830.64978082626703</v>
      </c>
      <c r="DT67" s="59">
        <f ca="1">AVERAGE(OFFSET($DS$3,0,0,'Données projet'!$E$14+1,1))-AVERAGE(OFFSET($H$3,0,0,'Données projet'!$E$14+1,1))</f>
        <v>590.05965493677377</v>
      </c>
      <c r="DU67" s="59">
        <f t="shared" si="44"/>
        <v>378.40640480134505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36.209700141218619</v>
      </c>
      <c r="EB67" s="21">
        <f>EXP(-LN(2)/25)*EB66+(1-EXP(-LN(2)/25))/(LN(2)/25)*Calculateur!DW67*Calculateur!DY67*VLOOKUP('Données projet'!$B$14,Paramètres!$A$1:$I$89,3,0)*0.475*44/12</f>
        <v>0</v>
      </c>
      <c r="EC67" s="21">
        <f>EXP(-LN(2)/2)*EC66+(1-EXP(-LN(2)/2))/(LN(2)/2)*DW67*DZ67*VLOOKUP('Données projet'!$B$14,Paramètres!$A$1:$I$89,3,0)*0.475*44/12</f>
        <v>0</v>
      </c>
      <c r="ED67" s="22">
        <f t="shared" si="18"/>
        <v>36.209700141218619</v>
      </c>
      <c r="EE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60.081094243459603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2">
        <f>'Scénario référence'!$B$16*5+'Scénario référence'!$B$17*0+'Scénario référence'!$B$18*5</f>
        <v>4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14.666666666666666</v>
      </c>
      <c r="H68" s="66">
        <f t="shared" ref="H68:H131" si="56">(B68+E68+F68)*44/12+(C68+D68)*0.475*44/12</f>
        <v>159.86666666666667</v>
      </c>
      <c r="I68" s="6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-2.9085640562698246E-14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140.03175887621094</v>
      </c>
      <c r="T68" s="59">
        <f t="shared" si="34"/>
        <v>377.29475975964954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35.310667283032828</v>
      </c>
      <c r="AA68" s="21">
        <f>EXP(-LN(2)/25)*AA67+(1-EXP(-LN(2)/25))/(LN(2)/25)*Calculateur!V68*Calculateur!X68*VLOOKUP('Données projet'!$B$9,Paramètres!$A$1:$I$89,3,0)*0.475*44/12</f>
        <v>0</v>
      </c>
      <c r="AB68" s="21">
        <f>EXP(-LN(2)/2)*AB67+(1-EXP(-LN(2)/2))/(LN(2)/2)*V68*Y68*VLOOKUP('Données projet'!$B$9,Paramètres!$A$1:$I$89,3,0)*0.475*44/12</f>
        <v>1.3222276586511069E-5</v>
      </c>
      <c r="AC68" s="22">
        <f t="shared" ref="AC68:AC131" si="57">SUM(Z68:AB68)</f>
        <v>35.310680505309413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-5.6843418860808015E-14</v>
      </c>
      <c r="AJ68" s="13">
        <f>AI68*VLOOKUP('Données projet'!$B$10,Paramètres!$A$1:$I$89,3,0)*VLOOKUP('Données projet'!$B$10,Paramètres!$A$1:$I$89,5,0)</f>
        <v>-2.8642261895583942E-14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138.27364731587764</v>
      </c>
      <c r="AO68" s="59">
        <f t="shared" si="36"/>
        <v>372.50391467700013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34.772394915913409</v>
      </c>
      <c r="AV68" s="21">
        <f>EXP(-LN(2)/25)*AV67+(1-EXP(-LN(2)/25))/(LN(2)/25)*Calculateur!AQ68*Calculateur!AS68*VLOOKUP('Données projet'!$B$10,Paramètres!$A$1:$I$89,3,0)*0.475*44/12</f>
        <v>0</v>
      </c>
      <c r="AW68" s="21">
        <f>EXP(-LN(2)/2)*AW67+(1-EXP(-LN(2)/2))/(LN(2)/2)*AQ68*AT68*VLOOKUP('Données projet'!$B$10,Paramètres!$A$1:$I$89,3,0)*0.475*44/12</f>
        <v>1.3020717492204485E-5</v>
      </c>
      <c r="AX68" s="21">
        <f t="shared" ref="AX68:AX131" si="60">SUM(AU68:AW68)</f>
        <v>34.772407936630898</v>
      </c>
      <c r="AY68" s="7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8.5</v>
      </c>
      <c r="BD68" s="12">
        <f>IF('Données projet'!$A$88&gt;35,BD67+BC68-BL67,IF(A68&lt;'Données projet'!$A$88,$BA$205^A68,IF(A68='Données projet'!$A$88,'Données projet'!$B$88,BD67+BC68-BL67)))</f>
        <v>287.5</v>
      </c>
      <c r="BE68" s="13">
        <f>BD68*VLOOKUP('Données projet'!$B$11,Paramètres!$A$1:$I$89,3,0)*VLOOKUP('Données projet'!$B$11,Paramètres!$A$1:$I$89,5,0)</f>
        <v>300.495</v>
      </c>
      <c r="BF68" s="13">
        <f t="shared" si="37"/>
        <v>71.280224529831116</v>
      </c>
      <c r="BG68" s="20">
        <f t="shared" ref="BG68:BG131" si="61">(BE68+BF68)*0.475*44/12</f>
        <v>647.50851605612252</v>
      </c>
      <c r="BH68" s="59">
        <f t="shared" ref="BH68:BH131" si="62">BG68+(AY68+AZ68)*44/12</f>
        <v>905.10345469373215</v>
      </c>
      <c r="BI68" s="59">
        <f ca="1">AVERAGE(OFFSET($BH$3,0,0,'Données projet'!$E$11+1,1))-AVERAGE(OFFSET($H$3,0,0,'Données projet'!$E$11+1,1))</f>
        <v>638.07304290599211</v>
      </c>
      <c r="BJ68" s="59">
        <f t="shared" si="38"/>
        <v>408.22196233793511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38.991418860351423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38.991418860351423</v>
      </c>
      <c r="BT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287.5</v>
      </c>
      <c r="BZ68" s="13">
        <f>BY68*VLOOKUP('Données projet'!$B$12,Paramètres!$A$1:$I$89,3,0)*VLOOKUP('Données projet'!$B$12,Paramètres!$A$1:$I$89,5,0)</f>
        <v>327.40500000000003</v>
      </c>
      <c r="CA68" s="13">
        <f t="shared" si="39"/>
        <v>76.89205051355566</v>
      </c>
      <c r="CB68" s="20">
        <f t="shared" ref="CB68:CB131" si="64">(BZ68+CA68)*0.475*44/12</f>
        <v>704.1506963111093</v>
      </c>
      <c r="CC68" s="59">
        <f t="shared" ref="CC68:CC131" si="65">CB68+(BT68+BU68)*44/12</f>
        <v>961.74563494871882</v>
      </c>
      <c r="CD68" s="59">
        <f ca="1">AVERAGE(OFFSET($CC$3,0,0,'Données projet'!$E$12+1,1))-AVERAGE(OFFSET($H$3,0,0,'Données projet'!$E$12+1,1))</f>
        <v>685.99951993586967</v>
      </c>
      <c r="CE68" s="59">
        <f t="shared" si="40"/>
        <v>437.98014017823095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42.483187713517232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42.483187713517232</v>
      </c>
      <c r="CO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8.5</v>
      </c>
      <c r="CT68" s="12">
        <f>IF('Données projet'!$A$140&gt;35,CT67+CS68-DB67,IF(A68&lt;'Données projet'!$A$140,$CQ$205^A68,IF(A68='Données projet'!$A$140,'Données projet'!$B$140,CT67+CS68-DB67)))</f>
        <v>287.5</v>
      </c>
      <c r="CU68" s="17">
        <f>CT68*VLOOKUP('Données projet'!$B$13,Paramètres!$A$1:$I$89,3,0)*VLOOKUP('Données projet'!$B$13,Paramètres!$A$1:$I$89,5,0)</f>
        <v>291.52500000000003</v>
      </c>
      <c r="CV68" s="13">
        <f t="shared" si="41"/>
        <v>69.396825633343326</v>
      </c>
      <c r="CW68" s="20">
        <f t="shared" ref="CW68:CW131" si="67">(CU68+CV68)*0.475*44/12</f>
        <v>628.60551297807297</v>
      </c>
      <c r="CX68" s="59">
        <f t="shared" ref="CX68:CX131" si="68">CW68+(CO68+CP68)*44/12</f>
        <v>886.2004516156826</v>
      </c>
      <c r="CY68" s="59">
        <f ca="1">AVERAGE(OFFSET($CX$3,0,0,'Données projet'!$E$13+1,1))-AVERAGE(OFFSET($H$3,0,0,'Données projet'!$E$13+1,1))</f>
        <v>622.07867348539082</v>
      </c>
      <c r="CZ68" s="59">
        <f t="shared" si="42"/>
        <v>398.29010684041634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37.827495909296161</v>
      </c>
      <c r="DG68" s="21">
        <f>EXP(-LN(2)/25)*DG67+(1-EXP(-LN(2)/25))/(LN(2)/25)*Calculateur!DB68*Calculateur!DD68*VLOOKUP('Données projet'!$B$13,Paramètres!$A$1:$I$89,3,0)*0.475*44/12</f>
        <v>0</v>
      </c>
      <c r="DH68" s="21">
        <f>EXP(-LN(2)/2)*DH67+(1-EXP(-LN(2)/2))/(LN(2)/2)*DB68*DE68*VLOOKUP('Données projet'!$B$13,Paramètres!$A$1:$I$89,3,0)*0.475*44/12</f>
        <v>0</v>
      </c>
      <c r="DI68" s="22">
        <f t="shared" ref="DI68:DI131" si="69">SUM(DF68:DH68)</f>
        <v>37.827495909296161</v>
      </c>
      <c r="DJ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8.5</v>
      </c>
      <c r="DO68" s="12">
        <f>IF('Données projet'!$A$166&gt;35,DO67+DN68-DW67,IF(A68&lt;'Données projet'!$A$166,$DL$205^A68,IF(A68='Données projet'!$A$166,'Données projet'!$B$166,DO67+DN68-DW67)))</f>
        <v>287.5</v>
      </c>
      <c r="DP68" s="17">
        <f>DO68*VLOOKUP('Données projet'!$B$14,Paramètres!$A$1:$I$89,3,0)*VLOOKUP('Données projet'!$B$14,Paramètres!$A$1:$I$89,5,0)</f>
        <v>273.58500000000004</v>
      </c>
      <c r="DQ68" s="13">
        <f t="shared" si="43"/>
        <v>65.609511709893525</v>
      </c>
      <c r="DR68" s="20">
        <f t="shared" ref="DR68:DR131" si="70">(DP68+DQ68)*0.475*44/12</f>
        <v>590.7637745613979</v>
      </c>
      <c r="DS68" s="59">
        <f t="shared" ref="DS68:DS131" si="71">DR68+(DJ68+DK68)*44/12</f>
        <v>848.35871319900752</v>
      </c>
      <c r="DT68" s="59">
        <f ca="1">AVERAGE(OFFSET($DS$3,0,0,'Données projet'!$E$14+1,1))-AVERAGE(OFFSET($H$3,0,0,'Données projet'!$E$14+1,1))</f>
        <v>590.05965493677377</v>
      </c>
      <c r="DU68" s="59">
        <f t="shared" si="44"/>
        <v>378.40640480134505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35.499650007185622</v>
      </c>
      <c r="EB68" s="21">
        <f>EXP(-LN(2)/25)*EB67+(1-EXP(-LN(2)/25))/(LN(2)/25)*Calculateur!DW68*Calculateur!DY68*VLOOKUP('Données projet'!$B$14,Paramètres!$A$1:$I$89,3,0)*0.475*44/12</f>
        <v>0</v>
      </c>
      <c r="EC68" s="21">
        <f>EXP(-LN(2)/2)*EC67+(1-EXP(-LN(2)/2))/(LN(2)/2)*DW68*DZ68*VLOOKUP('Données projet'!$B$14,Paramètres!$A$1:$I$89,3,0)*0.475*44/12</f>
        <v>0</v>
      </c>
      <c r="ED68" s="22">
        <f t="shared" ref="ED68:ED131" si="72">SUM(EA68:EC68)</f>
        <v>35.499650007185622</v>
      </c>
      <c r="EE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60.253165082984417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2">
        <f>'Scénario référence'!$B$16*5+'Scénario référence'!$B$17*0+'Scénario référence'!$B$18*5</f>
        <v>4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14.666666666666666</v>
      </c>
      <c r="H69" s="66">
        <f t="shared" si="56"/>
        <v>159.86666666666667</v>
      </c>
      <c r="I69" s="6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-2.9085640562698246E-14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140.03175887621094</v>
      </c>
      <c r="T69" s="59">
        <f t="shared" ref="T69:T132" si="88">$T$3</f>
        <v>377.29475975964954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34.618246634992957</v>
      </c>
      <c r="AA69" s="21">
        <f>EXP(-LN(2)/25)*AA68+(1-EXP(-LN(2)/25))/(LN(2)/25)*Calculateur!V69*Calculateur!X69*VLOOKUP('Données projet'!$B$9,Paramètres!$A$1:$I$89,3,0)*0.475*44/12</f>
        <v>0</v>
      </c>
      <c r="AB69" s="21">
        <f>EXP(-LN(2)/2)*AB68+(1-EXP(-LN(2)/2))/(LN(2)/2)*V69*Y69*VLOOKUP('Données projet'!$B$9,Paramètres!$A$1:$I$89,3,0)*0.475*44/12</f>
        <v>9.349561437046093E-6</v>
      </c>
      <c r="AC69" s="22">
        <f t="shared" si="57"/>
        <v>34.618255984554395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-5.6843418860808015E-14</v>
      </c>
      <c r="AJ69" s="13">
        <f>AI69*VLOOKUP('Données projet'!$B$10,Paramètres!$A$1:$I$89,3,0)*VLOOKUP('Données projet'!$B$10,Paramètres!$A$1:$I$89,5,0)</f>
        <v>-2.8642261895583942E-14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138.27364731587764</v>
      </c>
      <c r="AO69" s="59">
        <f t="shared" ref="AO69:AO132" si="90">$AO$3</f>
        <v>372.50391467700013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34.090529460679022</v>
      </c>
      <c r="AV69" s="21">
        <f>EXP(-LN(2)/25)*AV68+(1-EXP(-LN(2)/25))/(LN(2)/25)*Calculateur!AQ69*Calculateur!AS69*VLOOKUP('Données projet'!$B$10,Paramètres!$A$1:$I$89,3,0)*0.475*44/12</f>
        <v>0</v>
      </c>
      <c r="AW69" s="21">
        <f>EXP(-LN(2)/2)*AW68+(1-EXP(-LN(2)/2))/(LN(2)/2)*AQ69*AT69*VLOOKUP('Données projet'!$B$10,Paramètres!$A$1:$I$89,3,0)*0.475*44/12</f>
        <v>9.2070376346520884E-6</v>
      </c>
      <c r="AX69" s="21">
        <f t="shared" si="60"/>
        <v>34.090538667716658</v>
      </c>
      <c r="AY69" s="7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8.5</v>
      </c>
      <c r="BD69" s="12">
        <f>IF('Données projet'!$A$88&gt;35,BD68+BC69-BL68,IF(A69&lt;'Données projet'!$A$88,$BA$205^A69,IF(A69='Données projet'!$A$88,'Données projet'!$B$88,BD68+BC69-BL68)))</f>
        <v>296</v>
      </c>
      <c r="BE69" s="13">
        <f>BD69*VLOOKUP('Données projet'!$B$11,Paramètres!$A$1:$I$89,3,0)*VLOOKUP('Données projet'!$B$11,Paramètres!$A$1:$I$89,5,0)</f>
        <v>309.37920000000003</v>
      </c>
      <c r="BF69" s="13">
        <f t="shared" ref="BF69:BF132" si="91">EXP(-1.0587+0.8836*LN(BE69)+0.284)</f>
        <v>73.139167301517503</v>
      </c>
      <c r="BG69" s="20">
        <f t="shared" si="61"/>
        <v>666.21948971680956</v>
      </c>
      <c r="BH69" s="59">
        <f t="shared" si="62"/>
        <v>924.43440960330918</v>
      </c>
      <c r="BI69" s="59">
        <f ca="1">AVERAGE(OFFSET($BH$3,0,0,'Données projet'!$E$11+1,1))-AVERAGE(OFFSET($H$3,0,0,'Données projet'!$E$11+1,1))</f>
        <v>638.07304290599211</v>
      </c>
      <c r="BJ69" s="59">
        <f t="shared" ref="BJ69:BJ132" si="92">$BJ$3</f>
        <v>408.22196233793511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38.22682091891712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38.22682091891712</v>
      </c>
      <c r="BT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296</v>
      </c>
      <c r="BZ69" s="13">
        <f>BY69*VLOOKUP('Données projet'!$B$12,Paramètres!$A$1:$I$89,3,0)*VLOOKUP('Données projet'!$B$12,Paramètres!$A$1:$I$89,5,0)</f>
        <v>337.08479999999997</v>
      </c>
      <c r="CA69" s="13">
        <f t="shared" ref="CA69:CA132" si="93">EXP(-1.0587+0.8836*LN(BZ69)+0.284)</f>
        <v>78.897346125980306</v>
      </c>
      <c r="CB69" s="20">
        <f t="shared" si="64"/>
        <v>724.50223783608226</v>
      </c>
      <c r="CC69" s="59">
        <f t="shared" si="65"/>
        <v>982.71715772258176</v>
      </c>
      <c r="CD69" s="59">
        <f ca="1">AVERAGE(OFFSET($CC$3,0,0,'Données projet'!$E$12+1,1))-AVERAGE(OFFSET($H$3,0,0,'Données projet'!$E$12+1,1))</f>
        <v>685.99951993586967</v>
      </c>
      <c r="CE69" s="59">
        <f t="shared" ref="CE69:CE132" si="94">$CE$3</f>
        <v>437.98014017823095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41.650118314641048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41.650118314641048</v>
      </c>
      <c r="CO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8.5</v>
      </c>
      <c r="CT69" s="12">
        <f>IF('Données projet'!$A$140&gt;35,CT68+CS69-DB68,IF(A69&lt;'Données projet'!$A$140,$CQ$205^A69,IF(A69='Données projet'!$A$140,'Données projet'!$B$140,CT68+CS69-DB68)))</f>
        <v>296</v>
      </c>
      <c r="CU69" s="17">
        <f>CT69*VLOOKUP('Données projet'!$B$13,Paramètres!$A$1:$I$89,3,0)*VLOOKUP('Données projet'!$B$13,Paramètres!$A$1:$I$89,5,0)</f>
        <v>300.14400000000001</v>
      </c>
      <c r="CV69" s="13">
        <f t="shared" ref="CV69:CV132" si="95">EXP(-1.0587+0.8836*LN(CU69)+0.284)</f>
        <v>71.206650563609855</v>
      </c>
      <c r="CW69" s="20">
        <f t="shared" si="67"/>
        <v>646.7690497316205</v>
      </c>
      <c r="CX69" s="59">
        <f t="shared" si="68"/>
        <v>904.98396961812</v>
      </c>
      <c r="CY69" s="59">
        <f ca="1">AVERAGE(OFFSET($CX$3,0,0,'Données projet'!$E$13+1,1))-AVERAGE(OFFSET($H$3,0,0,'Données projet'!$E$13+1,1))</f>
        <v>622.07867348539082</v>
      </c>
      <c r="CZ69" s="59">
        <f t="shared" ref="CZ69:CZ132" si="96">$CZ$3</f>
        <v>398.29010684041634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37.085721787009149</v>
      </c>
      <c r="DG69" s="21">
        <f>EXP(-LN(2)/25)*DG68+(1-EXP(-LN(2)/25))/(LN(2)/25)*Calculateur!DB69*Calculateur!DD69*VLOOKUP('Données projet'!$B$13,Paramètres!$A$1:$I$89,3,0)*0.475*44/12</f>
        <v>0</v>
      </c>
      <c r="DH69" s="21">
        <f>EXP(-LN(2)/2)*DH68+(1-EXP(-LN(2)/2))/(LN(2)/2)*DB69*DE69*VLOOKUP('Données projet'!$B$13,Paramètres!$A$1:$I$89,3,0)*0.475*44/12</f>
        <v>0</v>
      </c>
      <c r="DI69" s="22">
        <f t="shared" si="69"/>
        <v>37.085721787009149</v>
      </c>
      <c r="DJ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8.5</v>
      </c>
      <c r="DO69" s="12">
        <f>IF('Données projet'!$A$166&gt;35,DO68+DN69-DW68,IF(A69&lt;'Données projet'!$A$166,$DL$205^A69,IF(A69='Données projet'!$A$166,'Données projet'!$B$166,DO68+DN69-DW68)))</f>
        <v>296</v>
      </c>
      <c r="DP69" s="17">
        <f>DO69*VLOOKUP('Données projet'!$B$14,Paramètres!$A$1:$I$89,3,0)*VLOOKUP('Données projet'!$B$14,Paramètres!$A$1:$I$89,5,0)</f>
        <v>281.67360000000002</v>
      </c>
      <c r="DQ69" s="13">
        <f t="shared" ref="DQ69:DQ132" si="97">EXP(-1.0587+0.8836*LN(DP69)+0.284)</f>
        <v>67.320565909728884</v>
      </c>
      <c r="DR69" s="20">
        <f t="shared" si="70"/>
        <v>607.83150562611115</v>
      </c>
      <c r="DS69" s="59">
        <f t="shared" si="71"/>
        <v>866.04642551261077</v>
      </c>
      <c r="DT69" s="59">
        <f ca="1">AVERAGE(OFFSET($DS$3,0,0,'Données projet'!$E$14+1,1))-AVERAGE(OFFSET($H$3,0,0,'Données projet'!$E$14+1,1))</f>
        <v>590.05965493677377</v>
      </c>
      <c r="DU69" s="59">
        <f t="shared" ref="DU69:DU132" si="98">$DU$3</f>
        <v>378.40640480134505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34.803523523193192</v>
      </c>
      <c r="EB69" s="21">
        <f>EXP(-LN(2)/25)*EB68+(1-EXP(-LN(2)/25))/(LN(2)/25)*Calculateur!DW69*Calculateur!DY69*VLOOKUP('Données projet'!$B$14,Paramètres!$A$1:$I$89,3,0)*0.475*44/12</f>
        <v>0</v>
      </c>
      <c r="EC69" s="21">
        <f>EXP(-LN(2)/2)*EC68+(1-EXP(-LN(2)/2))/(LN(2)/2)*DW69*DZ69*VLOOKUP('Données projet'!$B$14,Paramètres!$A$1:$I$89,3,0)*0.475*44/12</f>
        <v>0</v>
      </c>
      <c r="ED69" s="22">
        <f t="shared" si="72"/>
        <v>34.803523523193192</v>
      </c>
      <c r="EE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60.422250878136239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2">
        <f>'Scénario référence'!$B$16*5+'Scénario référence'!$B$17*0+'Scénario référence'!$B$18*5</f>
        <v>4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14.666666666666666</v>
      </c>
      <c r="H70" s="66">
        <f t="shared" si="56"/>
        <v>159.86666666666667</v>
      </c>
      <c r="I70" s="6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-2.9085640562698246E-14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140.03175887621094</v>
      </c>
      <c r="T70" s="59">
        <f t="shared" si="88"/>
        <v>377.29475975964954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33.939403933526258</v>
      </c>
      <c r="AA70" s="21">
        <f>EXP(-LN(2)/25)*AA69+(1-EXP(-LN(2)/25))/(LN(2)/25)*Calculateur!V70*Calculateur!X70*VLOOKUP('Données projet'!$B$9,Paramètres!$A$1:$I$89,3,0)*0.475*44/12</f>
        <v>0</v>
      </c>
      <c r="AB70" s="21">
        <f>EXP(-LN(2)/2)*AB69+(1-EXP(-LN(2)/2))/(LN(2)/2)*V70*Y70*VLOOKUP('Données projet'!$B$9,Paramètres!$A$1:$I$89,3,0)*0.475*44/12</f>
        <v>6.6111382932555346E-6</v>
      </c>
      <c r="AC70" s="22">
        <f t="shared" si="57"/>
        <v>33.939410544664554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-5.6843418860808015E-14</v>
      </c>
      <c r="AJ70" s="13">
        <f>AI70*VLOOKUP('Données projet'!$B$10,Paramètres!$A$1:$I$89,3,0)*VLOOKUP('Données projet'!$B$10,Paramètres!$A$1:$I$89,5,0)</f>
        <v>-2.8642261895583942E-14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138.27364731587764</v>
      </c>
      <c r="AO70" s="59">
        <f t="shared" si="90"/>
        <v>372.50391467700013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33.422034971124923</v>
      </c>
      <c r="AV70" s="21">
        <f>EXP(-LN(2)/25)*AV69+(1-EXP(-LN(2)/25))/(LN(2)/25)*Calculateur!AQ70*Calculateur!AS70*VLOOKUP('Données projet'!$B$10,Paramètres!$A$1:$I$89,3,0)*0.475*44/12</f>
        <v>0</v>
      </c>
      <c r="AW70" s="21">
        <f>EXP(-LN(2)/2)*AW69+(1-EXP(-LN(2)/2))/(LN(2)/2)*AQ70*AT70*VLOOKUP('Données projet'!$B$10,Paramètres!$A$1:$I$89,3,0)*0.475*44/12</f>
        <v>6.5103587461022424E-6</v>
      </c>
      <c r="AX70" s="21">
        <f t="shared" si="60"/>
        <v>33.422041481483667</v>
      </c>
      <c r="AY70" s="7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8.5</v>
      </c>
      <c r="BD70" s="12">
        <f>IF('Données projet'!$A$88&gt;35,BD69+BC70-BL69,IF(A70&lt;'Données projet'!$A$88,$BA$205^A70,IF(A70='Données projet'!$A$88,'Données projet'!$B$88,BD69+BC70-BL69)))</f>
        <v>304.5</v>
      </c>
      <c r="BE70" s="13">
        <f>BD70*VLOOKUP('Données projet'!$B$11,Paramètres!$A$1:$I$89,3,0)*VLOOKUP('Données projet'!$B$11,Paramètres!$A$1:$I$89,5,0)</f>
        <v>318.26340000000005</v>
      </c>
      <c r="BF70" s="13">
        <f t="shared" si="91"/>
        <v>74.991905903602586</v>
      </c>
      <c r="BG70" s="20">
        <f t="shared" si="61"/>
        <v>684.91965778210795</v>
      </c>
      <c r="BH70" s="59">
        <f t="shared" si="62"/>
        <v>943.74380362889974</v>
      </c>
      <c r="BI70" s="59">
        <f ca="1">AVERAGE(OFFSET($BH$3,0,0,'Données projet'!$E$11+1,1))-AVERAGE(OFFSET($H$3,0,0,'Données projet'!$E$11+1,1))</f>
        <v>638.07304290599211</v>
      </c>
      <c r="BJ70" s="59">
        <f t="shared" si="92"/>
        <v>408.22196233793511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37.477216276755648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37.477216276755648</v>
      </c>
      <c r="BT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304.5</v>
      </c>
      <c r="BZ70" s="13">
        <f>BY70*VLOOKUP('Données projet'!$B$12,Paramètres!$A$1:$I$89,3,0)*VLOOKUP('Données projet'!$B$12,Paramètres!$A$1:$I$89,5,0)</f>
        <v>346.76460000000003</v>
      </c>
      <c r="CA70" s="13">
        <f t="shared" si="93"/>
        <v>80.895949120283788</v>
      </c>
      <c r="CB70" s="20">
        <f t="shared" si="64"/>
        <v>744.84212305116091</v>
      </c>
      <c r="CC70" s="59">
        <f t="shared" si="65"/>
        <v>1003.6662688979527</v>
      </c>
      <c r="CD70" s="59">
        <f ca="1">AVERAGE(OFFSET($CC$3,0,0,'Données projet'!$E$12+1,1))-AVERAGE(OFFSET($H$3,0,0,'Données projet'!$E$12+1,1))</f>
        <v>685.99951993586967</v>
      </c>
      <c r="CE70" s="59">
        <f t="shared" si="94"/>
        <v>437.98014017823095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40.833384898554669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40.833384898554669</v>
      </c>
      <c r="CO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8.5</v>
      </c>
      <c r="CT70" s="12">
        <f>IF('Données projet'!$A$140&gt;35,CT69+CS70-DB69,IF(A70&lt;'Données projet'!$A$140,$CQ$205^A70,IF(A70='Données projet'!$A$140,'Données projet'!$B$140,CT69+CS70-DB69)))</f>
        <v>304.5</v>
      </c>
      <c r="CU70" s="17">
        <f>CT70*VLOOKUP('Données projet'!$B$13,Paramètres!$A$1:$I$89,3,0)*VLOOKUP('Données projet'!$B$13,Paramètres!$A$1:$I$89,5,0)</f>
        <v>308.76300000000003</v>
      </c>
      <c r="CV70" s="13">
        <f t="shared" si="95"/>
        <v>73.010435253699583</v>
      </c>
      <c r="CW70" s="20">
        <f t="shared" si="67"/>
        <v>664.92206640019344</v>
      </c>
      <c r="CX70" s="59">
        <f t="shared" si="68"/>
        <v>923.74621224698512</v>
      </c>
      <c r="CY70" s="59">
        <f ca="1">AVERAGE(OFFSET($CX$3,0,0,'Données projet'!$E$13+1,1))-AVERAGE(OFFSET($H$3,0,0,'Données projet'!$E$13+1,1))</f>
        <v>622.07867348539082</v>
      </c>
      <c r="CZ70" s="59">
        <f t="shared" si="96"/>
        <v>398.29010684041634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36.358493402822646</v>
      </c>
      <c r="DG70" s="21">
        <f>EXP(-LN(2)/25)*DG69+(1-EXP(-LN(2)/25))/(LN(2)/25)*Calculateur!DB70*Calculateur!DD70*VLOOKUP('Données projet'!$B$13,Paramètres!$A$1:$I$89,3,0)*0.475*44/12</f>
        <v>0</v>
      </c>
      <c r="DH70" s="21">
        <f>EXP(-LN(2)/2)*DH69+(1-EXP(-LN(2)/2))/(LN(2)/2)*DB70*DE70*VLOOKUP('Données projet'!$B$13,Paramètres!$A$1:$I$89,3,0)*0.475*44/12</f>
        <v>0</v>
      </c>
      <c r="DI70" s="22">
        <f t="shared" si="69"/>
        <v>36.358493402822646</v>
      </c>
      <c r="DJ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8.5</v>
      </c>
      <c r="DO70" s="12">
        <f>IF('Données projet'!$A$166&gt;35,DO69+DN70-DW69,IF(A70&lt;'Données projet'!$A$166,$DL$205^A70,IF(A70='Données projet'!$A$166,'Données projet'!$B$166,DO69+DN70-DW69)))</f>
        <v>304.5</v>
      </c>
      <c r="DP70" s="17">
        <f>DO70*VLOOKUP('Données projet'!$B$14,Paramètres!$A$1:$I$89,3,0)*VLOOKUP('Données projet'!$B$14,Paramètres!$A$1:$I$89,5,0)</f>
        <v>289.76220000000001</v>
      </c>
      <c r="DQ70" s="13">
        <f t="shared" si="97"/>
        <v>69.025909513942764</v>
      </c>
      <c r="DR70" s="20">
        <f t="shared" si="70"/>
        <v>624.88929073678366</v>
      </c>
      <c r="DS70" s="59">
        <f t="shared" si="71"/>
        <v>883.71343658357546</v>
      </c>
      <c r="DT70" s="59">
        <f ca="1">AVERAGE(OFFSET($DS$3,0,0,'Données projet'!$E$14+1,1))-AVERAGE(OFFSET($H$3,0,0,'Données projet'!$E$14+1,1))</f>
        <v>590.05965493677377</v>
      </c>
      <c r="DU70" s="59">
        <f t="shared" si="98"/>
        <v>378.40640480134505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34.121047654956627</v>
      </c>
      <c r="EB70" s="21">
        <f>EXP(-LN(2)/25)*EB69+(1-EXP(-LN(2)/25))/(LN(2)/25)*Calculateur!DW70*Calculateur!DY70*VLOOKUP('Données projet'!$B$14,Paramètres!$A$1:$I$89,3,0)*0.475*44/12</f>
        <v>0</v>
      </c>
      <c r="EC70" s="21">
        <f>EXP(-LN(2)/2)*EC69+(1-EXP(-LN(2)/2))/(LN(2)/2)*DW70*DZ70*VLOOKUP('Données projet'!$B$14,Paramètres!$A$1:$I$89,3,0)*0.475*44/12</f>
        <v>0</v>
      </c>
      <c r="ED70" s="22">
        <f t="shared" si="72"/>
        <v>34.121047654956627</v>
      </c>
      <c r="EE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60.58840341276138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2">
        <f>'Scénario référence'!$B$16*5+'Scénario référence'!$B$17*0+'Scénario référence'!$B$18*5</f>
        <v>4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14.666666666666666</v>
      </c>
      <c r="H71" s="66">
        <f t="shared" si="56"/>
        <v>159.86666666666667</v>
      </c>
      <c r="I71" s="6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-2.9085640562698246E-14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140.03175887621094</v>
      </c>
      <c r="T71" s="59">
        <f t="shared" si="88"/>
        <v>377.29475975964954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33.273872923382157</v>
      </c>
      <c r="AA71" s="21">
        <f>EXP(-LN(2)/25)*AA70+(1-EXP(-LN(2)/25))/(LN(2)/25)*Calculateur!V71*Calculateur!X71*VLOOKUP('Données projet'!$B$9,Paramètres!$A$1:$I$89,3,0)*0.475*44/12</f>
        <v>0</v>
      </c>
      <c r="AB71" s="21">
        <f>EXP(-LN(2)/2)*AB70+(1-EXP(-LN(2)/2))/(LN(2)/2)*V71*Y71*VLOOKUP('Données projet'!$B$9,Paramètres!$A$1:$I$89,3,0)*0.475*44/12</f>
        <v>4.6747807185230465E-6</v>
      </c>
      <c r="AC71" s="22">
        <f t="shared" si="57"/>
        <v>33.273877598162876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-5.6843418860808015E-14</v>
      </c>
      <c r="AJ71" s="13">
        <f>AI71*VLOOKUP('Données projet'!$B$10,Paramètres!$A$1:$I$89,3,0)*VLOOKUP('Données projet'!$B$10,Paramètres!$A$1:$I$89,5,0)</f>
        <v>-2.8642261895583942E-14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138.27364731587764</v>
      </c>
      <c r="AO71" s="59">
        <f t="shared" si="90"/>
        <v>372.50391467700013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32.766649250769603</v>
      </c>
      <c r="AV71" s="21">
        <f>EXP(-LN(2)/25)*AV70+(1-EXP(-LN(2)/25))/(LN(2)/25)*Calculateur!AQ71*Calculateur!AS71*VLOOKUP('Données projet'!$B$10,Paramètres!$A$1:$I$89,3,0)*0.475*44/12</f>
        <v>0</v>
      </c>
      <c r="AW71" s="21">
        <f>EXP(-LN(2)/2)*AW70+(1-EXP(-LN(2)/2))/(LN(2)/2)*AQ71*AT71*VLOOKUP('Données projet'!$B$10,Paramètres!$A$1:$I$89,3,0)*0.475*44/12</f>
        <v>4.6035188173260442E-6</v>
      </c>
      <c r="AX71" s="21">
        <f t="shared" si="60"/>
        <v>32.766653854288421</v>
      </c>
      <c r="AY71" s="7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8.5</v>
      </c>
      <c r="BD71" s="12">
        <f>IF('Données projet'!$A$88&gt;35,BD70+BC71-BL70,IF(A71&lt;'Données projet'!$A$88,$BA$205^A71,IF(A71='Données projet'!$A$88,'Données projet'!$B$88,BD70+BC71-BL70)))</f>
        <v>313</v>
      </c>
      <c r="BE71" s="13">
        <f>BD71*VLOOKUP('Données projet'!$B$11,Paramètres!$A$1:$I$89,3,0)*VLOOKUP('Données projet'!$B$11,Paramètres!$A$1:$I$89,5,0)</f>
        <v>327.14760000000001</v>
      </c>
      <c r="BF71" s="13">
        <f t="shared" si="91"/>
        <v>76.838633419077581</v>
      </c>
      <c r="BG71" s="20">
        <f t="shared" si="61"/>
        <v>703.60935653822696</v>
      </c>
      <c r="BH71" s="59">
        <f t="shared" si="62"/>
        <v>963.03215963692503</v>
      </c>
      <c r="BI71" s="59">
        <f ca="1">AVERAGE(OFFSET($BH$3,0,0,'Données projet'!$E$11+1,1))-AVERAGE(OFFSET($H$3,0,0,'Données projet'!$E$11+1,1))</f>
        <v>638.07304290599211</v>
      </c>
      <c r="BJ71" s="59">
        <f t="shared" si="92"/>
        <v>408.22196233793511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36.742310924413275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36.742310924413275</v>
      </c>
      <c r="BT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313</v>
      </c>
      <c r="BZ71" s="13">
        <f>BY71*VLOOKUP('Données projet'!$B$12,Paramètres!$A$1:$I$89,3,0)*VLOOKUP('Données projet'!$B$12,Paramètres!$A$1:$I$89,5,0)</f>
        <v>356.44439999999997</v>
      </c>
      <c r="CA71" s="13">
        <f t="shared" si="93"/>
        <v>82.888067780701917</v>
      </c>
      <c r="CB71" s="20">
        <f t="shared" si="64"/>
        <v>765.17071471805582</v>
      </c>
      <c r="CC71" s="59">
        <f t="shared" si="65"/>
        <v>1024.5935178167538</v>
      </c>
      <c r="CD71" s="59">
        <f ca="1">AVERAGE(OFFSET($CC$3,0,0,'Données projet'!$E$12+1,1))-AVERAGE(OFFSET($H$3,0,0,'Données projet'!$E$12+1,1))</f>
        <v>685.99951993586967</v>
      </c>
      <c r="CE71" s="59">
        <f t="shared" si="94"/>
        <v>437.98014017823095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40.032667126599549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40.032667126599549</v>
      </c>
      <c r="CO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8.5</v>
      </c>
      <c r="CT71" s="12">
        <f>IF('Données projet'!$A$140&gt;35,CT70+CS71-DB70,IF(A71&lt;'Données projet'!$A$140,$CQ$205^A71,IF(A71='Données projet'!$A$140,'Données projet'!$B$140,CT70+CS71-DB70)))</f>
        <v>313</v>
      </c>
      <c r="CU71" s="17">
        <f>CT71*VLOOKUP('Données projet'!$B$13,Paramètres!$A$1:$I$89,3,0)*VLOOKUP('Données projet'!$B$13,Paramètres!$A$1:$I$89,5,0)</f>
        <v>317.38200000000006</v>
      </c>
      <c r="CV71" s="13">
        <f t="shared" si="95"/>
        <v>74.808367684875932</v>
      </c>
      <c r="CW71" s="20">
        <f t="shared" si="67"/>
        <v>683.06489038449229</v>
      </c>
      <c r="CX71" s="59">
        <f t="shared" si="68"/>
        <v>942.48769348319036</v>
      </c>
      <c r="CY71" s="59">
        <f ca="1">AVERAGE(OFFSET($CX$3,0,0,'Données projet'!$E$13+1,1))-AVERAGE(OFFSET($H$3,0,0,'Données projet'!$E$13+1,1))</f>
        <v>622.07867348539082</v>
      </c>
      <c r="CZ71" s="59">
        <f t="shared" si="96"/>
        <v>398.29010684041634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35.645525523684526</v>
      </c>
      <c r="DG71" s="21">
        <f>EXP(-LN(2)/25)*DG70+(1-EXP(-LN(2)/25))/(LN(2)/25)*Calculateur!DB71*Calculateur!DD71*VLOOKUP('Données projet'!$B$13,Paramètres!$A$1:$I$89,3,0)*0.475*44/12</f>
        <v>0</v>
      </c>
      <c r="DH71" s="21">
        <f>EXP(-LN(2)/2)*DH70+(1-EXP(-LN(2)/2))/(LN(2)/2)*DB71*DE71*VLOOKUP('Données projet'!$B$13,Paramètres!$A$1:$I$89,3,0)*0.475*44/12</f>
        <v>0</v>
      </c>
      <c r="DI71" s="22">
        <f t="shared" si="69"/>
        <v>35.645525523684526</v>
      </c>
      <c r="DJ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8.5</v>
      </c>
      <c r="DO71" s="12">
        <f>IF('Données projet'!$A$166&gt;35,DO70+DN71-DW70,IF(A71&lt;'Données projet'!$A$166,$DL$205^A71,IF(A71='Données projet'!$A$166,'Données projet'!$B$166,DO70+DN71-DW70)))</f>
        <v>313</v>
      </c>
      <c r="DP71" s="17">
        <f>DO71*VLOOKUP('Données projet'!$B$14,Paramètres!$A$1:$I$89,3,0)*VLOOKUP('Données projet'!$B$14,Paramètres!$A$1:$I$89,5,0)</f>
        <v>297.85079999999999</v>
      </c>
      <c r="DQ71" s="13">
        <f t="shared" si="97"/>
        <v>70.725720244769349</v>
      </c>
      <c r="DR71" s="20">
        <f t="shared" si="70"/>
        <v>641.93743942630658</v>
      </c>
      <c r="DS71" s="59">
        <f t="shared" si="71"/>
        <v>901.36024252500465</v>
      </c>
      <c r="DT71" s="59">
        <f ca="1">AVERAGE(OFFSET($DS$3,0,0,'Données projet'!$E$14+1,1))-AVERAGE(OFFSET($H$3,0,0,'Données projet'!$E$14+1,1))</f>
        <v>590.05965493677377</v>
      </c>
      <c r="DU71" s="59">
        <f t="shared" si="98"/>
        <v>378.40640480134505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33.451954722227001</v>
      </c>
      <c r="EB71" s="21">
        <f>EXP(-LN(2)/25)*EB70+(1-EXP(-LN(2)/25))/(LN(2)/25)*Calculateur!DW71*Calculateur!DY71*VLOOKUP('Données projet'!$B$14,Paramètres!$A$1:$I$89,3,0)*0.475*44/12</f>
        <v>0</v>
      </c>
      <c r="EC71" s="21">
        <f>EXP(-LN(2)/2)*EC70+(1-EXP(-LN(2)/2))/(LN(2)/2)*DW71*DZ71*VLOOKUP('Données projet'!$B$14,Paramètres!$A$1:$I$89,3,0)*0.475*44/12</f>
        <v>0</v>
      </c>
      <c r="ED71" s="22">
        <f t="shared" si="72"/>
        <v>33.451954722227001</v>
      </c>
      <c r="EE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60.751673572372198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2">
        <f>'Scénario référence'!$B$16*5+'Scénario référence'!$B$17*0+'Scénario référence'!$B$18*5</f>
        <v>4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14.666666666666666</v>
      </c>
      <c r="H72" s="66">
        <f t="shared" si="56"/>
        <v>159.86666666666667</v>
      </c>
      <c r="I72" s="6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-2.9085640562698246E-14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140.03175887621094</v>
      </c>
      <c r="T72" s="59">
        <f t="shared" si="88"/>
        <v>377.29475975964954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32.621392570413143</v>
      </c>
      <c r="AA72" s="21">
        <f>EXP(-LN(2)/25)*AA71+(1-EXP(-LN(2)/25))/(LN(2)/25)*Calculateur!V72*Calculateur!X72*VLOOKUP('Données projet'!$B$9,Paramètres!$A$1:$I$89,3,0)*0.475*44/12</f>
        <v>0</v>
      </c>
      <c r="AB72" s="21">
        <f>EXP(-LN(2)/2)*AB71+(1-EXP(-LN(2)/2))/(LN(2)/2)*V72*Y72*VLOOKUP('Données projet'!$B$9,Paramètres!$A$1:$I$89,3,0)*0.475*44/12</f>
        <v>3.3055691466277673E-6</v>
      </c>
      <c r="AC72" s="22">
        <f t="shared" si="57"/>
        <v>32.621395875982287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-5.6843418860808015E-14</v>
      </c>
      <c r="AJ72" s="13">
        <f>AI72*VLOOKUP('Données projet'!$B$10,Paramètres!$A$1:$I$89,3,0)*VLOOKUP('Données projet'!$B$10,Paramètres!$A$1:$I$89,5,0)</f>
        <v>-2.8642261895583942E-14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138.27364731587764</v>
      </c>
      <c r="AO72" s="59">
        <f t="shared" si="90"/>
        <v>372.50391467700013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32.124115244644635</v>
      </c>
      <c r="AV72" s="21">
        <f>EXP(-LN(2)/25)*AV71+(1-EXP(-LN(2)/25))/(LN(2)/25)*Calculateur!AQ72*Calculateur!AS72*VLOOKUP('Données projet'!$B$10,Paramètres!$A$1:$I$89,3,0)*0.475*44/12</f>
        <v>0</v>
      </c>
      <c r="AW72" s="21">
        <f>EXP(-LN(2)/2)*AW71+(1-EXP(-LN(2)/2))/(LN(2)/2)*AQ72*AT72*VLOOKUP('Données projet'!$B$10,Paramètres!$A$1:$I$89,3,0)*0.475*44/12</f>
        <v>3.2551793730511212E-6</v>
      </c>
      <c r="AX72" s="21">
        <f t="shared" si="60"/>
        <v>32.124118499824007</v>
      </c>
      <c r="AY72" s="7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8.5</v>
      </c>
      <c r="BD72" s="12">
        <f>IF('Données projet'!$A$88&gt;35,BD71+BC72-BL71,IF(A72&lt;'Données projet'!$A$88,$BA$205^A72,IF(A72='Données projet'!$A$88,'Données projet'!$B$88,BD71+BC72-BL71)))</f>
        <v>321.5</v>
      </c>
      <c r="BE72" s="13">
        <f>BD72*VLOOKUP('Données projet'!$B$11,Paramètres!$A$1:$I$89,3,0)*VLOOKUP('Données projet'!$B$11,Paramètres!$A$1:$I$89,5,0)</f>
        <v>336.03180000000003</v>
      </c>
      <c r="BF72" s="13">
        <f t="shared" si="91"/>
        <v>78.679531847062805</v>
      </c>
      <c r="BG72" s="20">
        <f t="shared" si="61"/>
        <v>722.28890296696773</v>
      </c>
      <c r="BH72" s="59">
        <f t="shared" si="62"/>
        <v>982.29997795264876</v>
      </c>
      <c r="BI72" s="59">
        <f ca="1">AVERAGE(OFFSET($BH$3,0,0,'Données projet'!$E$11+1,1))-AVERAGE(OFFSET($H$3,0,0,'Données projet'!$E$11+1,1))</f>
        <v>638.07304290599211</v>
      </c>
      <c r="BJ72" s="59">
        <f t="shared" si="92"/>
        <v>408.22196233793511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36.021816617782335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36.021816617782335</v>
      </c>
      <c r="BT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321.5</v>
      </c>
      <c r="BZ72" s="13">
        <f>BY72*VLOOKUP('Données projet'!$B$12,Paramètres!$A$1:$I$89,3,0)*VLOOKUP('Données projet'!$B$12,Paramètres!$A$1:$I$89,5,0)</f>
        <v>366.12419999999997</v>
      </c>
      <c r="CA72" s="13">
        <f t="shared" si="93"/>
        <v>84.873898434977221</v>
      </c>
      <c r="CB72" s="20">
        <f t="shared" si="64"/>
        <v>785.48835477425189</v>
      </c>
      <c r="CC72" s="59">
        <f t="shared" si="65"/>
        <v>1045.4994297599328</v>
      </c>
      <c r="CD72" s="59">
        <f ca="1">AVERAGE(OFFSET($CC$3,0,0,'Données projet'!$E$12+1,1))-AVERAGE(OFFSET($H$3,0,0,'Données projet'!$E$12+1,1))</f>
        <v>685.99951993586967</v>
      </c>
      <c r="CE72" s="59">
        <f t="shared" si="94"/>
        <v>437.98014017823095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39.247650941762849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39.247650941762849</v>
      </c>
      <c r="CO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8.5</v>
      </c>
      <c r="CT72" s="12">
        <f>IF('Données projet'!$A$140&gt;35,CT71+CS72-DB71,IF(A72&lt;'Données projet'!$A$140,$CQ$205^A72,IF(A72='Données projet'!$A$140,'Données projet'!$B$140,CT71+CS72-DB71)))</f>
        <v>321.5</v>
      </c>
      <c r="CU72" s="17">
        <f>CT72*VLOOKUP('Données projet'!$B$13,Paramètres!$A$1:$I$89,3,0)*VLOOKUP('Données projet'!$B$13,Paramètres!$A$1:$I$89,5,0)</f>
        <v>326.00099999999998</v>
      </c>
      <c r="CV72" s="13">
        <f t="shared" si="95"/>
        <v>76.600625047394786</v>
      </c>
      <c r="CW72" s="20">
        <f t="shared" si="67"/>
        <v>701.19783029087921</v>
      </c>
      <c r="CX72" s="59">
        <f t="shared" si="68"/>
        <v>961.20890527656024</v>
      </c>
      <c r="CY72" s="59">
        <f ca="1">AVERAGE(OFFSET($CX$3,0,0,'Données projet'!$E$13+1,1))-AVERAGE(OFFSET($H$3,0,0,'Données projet'!$E$13+1,1))</f>
        <v>622.07867348539082</v>
      </c>
      <c r="CZ72" s="59">
        <f t="shared" si="96"/>
        <v>398.29010684041634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34.946538509788837</v>
      </c>
      <c r="DG72" s="21">
        <f>EXP(-LN(2)/25)*DG71+(1-EXP(-LN(2)/25))/(LN(2)/25)*Calculateur!DB72*Calculateur!DD72*VLOOKUP('Données projet'!$B$13,Paramètres!$A$1:$I$89,3,0)*0.475*44/12</f>
        <v>0</v>
      </c>
      <c r="DH72" s="21">
        <f>EXP(-LN(2)/2)*DH71+(1-EXP(-LN(2)/2))/(LN(2)/2)*DB72*DE72*VLOOKUP('Données projet'!$B$13,Paramètres!$A$1:$I$89,3,0)*0.475*44/12</f>
        <v>0</v>
      </c>
      <c r="DI72" s="22">
        <f t="shared" si="69"/>
        <v>34.946538509788837</v>
      </c>
      <c r="DJ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8.5</v>
      </c>
      <c r="DO72" s="12">
        <f>IF('Données projet'!$A$166&gt;35,DO71+DN72-DW71,IF(A72&lt;'Données projet'!$A$166,$DL$205^A72,IF(A72='Données projet'!$A$166,'Données projet'!$B$166,DO71+DN72-DW71)))</f>
        <v>321.5</v>
      </c>
      <c r="DP72" s="17">
        <f>DO72*VLOOKUP('Données projet'!$B$14,Paramètres!$A$1:$I$89,3,0)*VLOOKUP('Données projet'!$B$14,Paramètres!$A$1:$I$89,5,0)</f>
        <v>305.93940000000003</v>
      </c>
      <c r="DQ72" s="13">
        <f t="shared" si="97"/>
        <v>72.420165622351931</v>
      </c>
      <c r="DR72" s="20">
        <f t="shared" si="70"/>
        <v>658.97624345892962</v>
      </c>
      <c r="DS72" s="59">
        <f t="shared" si="71"/>
        <v>918.98731844461054</v>
      </c>
      <c r="DT72" s="59">
        <f ca="1">AVERAGE(OFFSET($DS$3,0,0,'Données projet'!$E$14+1,1))-AVERAGE(OFFSET($H$3,0,0,'Données projet'!$E$14+1,1))</f>
        <v>590.05965493677377</v>
      </c>
      <c r="DU72" s="59">
        <f t="shared" si="98"/>
        <v>378.40640480134505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32.795982293801814</v>
      </c>
      <c r="EB72" s="21">
        <f>EXP(-LN(2)/25)*EB71+(1-EXP(-LN(2)/25))/(LN(2)/25)*Calculateur!DW72*Calculateur!DY72*VLOOKUP('Données projet'!$B$14,Paramètres!$A$1:$I$89,3,0)*0.475*44/12</f>
        <v>0</v>
      </c>
      <c r="EC72" s="21">
        <f>EXP(-LN(2)/2)*EC71+(1-EXP(-LN(2)/2))/(LN(2)/2)*DW72*DZ72*VLOOKUP('Données projet'!$B$14,Paramètres!$A$1:$I$89,3,0)*0.475*44/12</f>
        <v>0</v>
      </c>
      <c r="ED72" s="22">
        <f t="shared" si="72"/>
        <v>32.795982293801814</v>
      </c>
      <c r="EE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60.912111359731163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2">
        <f>'Scénario référence'!$B$16*5+'Scénario référence'!$B$17*0+'Scénario référence'!$B$18*5</f>
        <v>4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14.666666666666666</v>
      </c>
      <c r="H73" s="66">
        <f t="shared" si="56"/>
        <v>159.86666666666667</v>
      </c>
      <c r="I73" s="6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-2.9085640562698246E-14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140.03175887621094</v>
      </c>
      <c r="T73" s="59">
        <f t="shared" si="88"/>
        <v>377.29475975964954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31.981706959192135</v>
      </c>
      <c r="AA73" s="21">
        <f>EXP(-LN(2)/25)*AA72+(1-EXP(-LN(2)/25))/(LN(2)/25)*Calculateur!V73*Calculateur!X73*VLOOKUP('Données projet'!$B$9,Paramètres!$A$1:$I$89,3,0)*0.475*44/12</f>
        <v>0</v>
      </c>
      <c r="AB73" s="21">
        <f>EXP(-LN(2)/2)*AB72+(1-EXP(-LN(2)/2))/(LN(2)/2)*V73*Y73*VLOOKUP('Données projet'!$B$9,Paramètres!$A$1:$I$89,3,0)*0.475*44/12</f>
        <v>2.3373903592615232E-6</v>
      </c>
      <c r="AC73" s="22">
        <f t="shared" si="57"/>
        <v>31.981709296582494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-5.6843418860808015E-14</v>
      </c>
      <c r="AJ73" s="13">
        <f>AI73*VLOOKUP('Données projet'!$B$10,Paramètres!$A$1:$I$89,3,0)*VLOOKUP('Données projet'!$B$10,Paramètres!$A$1:$I$89,5,0)</f>
        <v>-2.8642261895583942E-14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138.27364731587764</v>
      </c>
      <c r="AO73" s="59">
        <f t="shared" si="90"/>
        <v>372.50391467700013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31.494180938472727</v>
      </c>
      <c r="AV73" s="21">
        <f>EXP(-LN(2)/25)*AV72+(1-EXP(-LN(2)/25))/(LN(2)/25)*Calculateur!AQ73*Calculateur!AS73*VLOOKUP('Données projet'!$B$10,Paramètres!$A$1:$I$89,3,0)*0.475*44/12</f>
        <v>0</v>
      </c>
      <c r="AW73" s="21">
        <f>EXP(-LN(2)/2)*AW72+(1-EXP(-LN(2)/2))/(LN(2)/2)*AQ73*AT73*VLOOKUP('Données projet'!$B$10,Paramètres!$A$1:$I$89,3,0)*0.475*44/12</f>
        <v>2.3017594086630221E-6</v>
      </c>
      <c r="AX73" s="21">
        <f t="shared" si="60"/>
        <v>31.494183240232136</v>
      </c>
      <c r="AY73" s="7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330</v>
      </c>
      <c r="BB73" s="12">
        <f>VLOOKUP(A73,'Données projet'!$A$87:$I$107,9,0)</f>
        <v>8.5</v>
      </c>
      <c r="BC73" s="12">
        <f t="array" ref="BC73">INDEX(BB:BB,MIN(IF(ISNUMBER(BB73:BB269),ROW(BB73:BB269),"")))</f>
        <v>8.5</v>
      </c>
      <c r="BD73" s="12">
        <f>IF('Données projet'!$A$88&gt;35,BD72+BC73-BL72,IF(A73&lt;'Données projet'!$A$88,$BA$205^A73,IF(A73='Données projet'!$A$88,'Données projet'!$B$88,BD72+BC73-BL72)))</f>
        <v>330</v>
      </c>
      <c r="BE73" s="13">
        <f>BD73*VLOOKUP('Données projet'!$B$11,Paramètres!$A$1:$I$89,3,0)*VLOOKUP('Données projet'!$B$11,Paramètres!$A$1:$I$89,5,0)</f>
        <v>344.91600000000005</v>
      </c>
      <c r="BF73" s="13">
        <f t="shared" si="91"/>
        <v>80.514773015069281</v>
      </c>
      <c r="BG73" s="20">
        <f t="shared" si="61"/>
        <v>740.95859633457906</v>
      </c>
      <c r="BH73" s="59">
        <f t="shared" si="62"/>
        <v>1001.5477380051826</v>
      </c>
      <c r="BI73" s="59">
        <f ca="1">AVERAGE(OFFSET($BH$3,0,0,'Données projet'!$E$11+1,1))-AVERAGE(OFFSET($H$3,0,0,'Données projet'!$E$11+1,1))</f>
        <v>638.07304290599211</v>
      </c>
      <c r="BJ73" s="59">
        <f t="shared" si="92"/>
        <v>408.22196233793511</v>
      </c>
      <c r="BK73" s="15">
        <f>IF(ISNA(VLOOKUP(A73,'Données projet'!$A$87:$I$107,3,0)),0,VLOOKUP(A73,'Données projet'!$A$87:$I$107,3,0))</f>
        <v>6</v>
      </c>
      <c r="BL73" s="15">
        <f>IF(ISNA(VLOOKUP(A73,'Données projet'!$A$87:$I$107,4,0)),0,VLOOKUP(A73,'Données projet'!$A$87:$I$107,4,0))</f>
        <v>56</v>
      </c>
      <c r="BM73" s="16">
        <f>IF(ISNA(VLOOKUP(A73,'Données projet'!$A$87:$I$107,5,0)),0%,VLOOKUP(A73,'Données projet'!$A$87:$I$107,5,0)*VLOOKUP('Données projet'!$B$11,Paramètres!$A$1:$I$89,7,0))</f>
        <v>0.36549999999999999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58.964948394644992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58.964948394644992</v>
      </c>
      <c r="BT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330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330</v>
      </c>
      <c r="BZ73" s="13">
        <f>BY73*VLOOKUP('Données projet'!$B$12,Paramètres!$A$1:$I$89,3,0)*VLOOKUP('Données projet'!$B$12,Paramètres!$A$1:$I$89,5,0)</f>
        <v>375.80400000000003</v>
      </c>
      <c r="CA73" s="13">
        <f t="shared" si="93"/>
        <v>86.853626438441253</v>
      </c>
      <c r="CB73" s="20">
        <f t="shared" si="64"/>
        <v>805.79536604695193</v>
      </c>
      <c r="CC73" s="59">
        <f t="shared" si="65"/>
        <v>1066.3845077175556</v>
      </c>
      <c r="CD73" s="59">
        <f ca="1">AVERAGE(OFFSET($CC$3,0,0,'Données projet'!$E$12+1,1))-AVERAGE(OFFSET($H$3,0,0,'Données projet'!$E$12+1,1))</f>
        <v>685.99951993586967</v>
      </c>
      <c r="CE73" s="59">
        <f t="shared" si="94"/>
        <v>437.98014017823095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56</v>
      </c>
      <c r="CH73" s="16">
        <f>IF(ISNA(VLOOKUP(A73,'Données projet'!$A$113:$I$133,5,0)),0%,VLOOKUP(A73,'Données projet'!$A$113:$I$133,5,0)*VLOOKUP('Données projet'!$B$12,Paramètres!$A$1:$I$89,7,0))</f>
        <v>0.36549999999999999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64.245391534463948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64.245391534463948</v>
      </c>
      <c r="CO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330</v>
      </c>
      <c r="CR73" s="12">
        <f>VLOOKUP(A73,'Données projet'!$A$139:$I$159,9,0)</f>
        <v>8.5</v>
      </c>
      <c r="CS73" s="12">
        <f t="array" ref="CS73">INDEX(CR:CR,MIN(IF(ISNUMBER(CR73:CR269),ROW(CR73:CR269),"")))</f>
        <v>8.5</v>
      </c>
      <c r="CT73" s="12">
        <f>IF('Données projet'!$A$140&gt;35,CT72+CS73-DB72,IF(A73&lt;'Données projet'!$A$140,$CQ$205^A73,IF(A73='Données projet'!$A$140,'Données projet'!$B$140,CT72+CS73-DB72)))</f>
        <v>330</v>
      </c>
      <c r="CU73" s="17">
        <f>CT73*VLOOKUP('Données projet'!$B$13,Paramètres!$A$1:$I$89,3,0)*VLOOKUP('Données projet'!$B$13,Paramètres!$A$1:$I$89,5,0)</f>
        <v>334.62</v>
      </c>
      <c r="CV73" s="13">
        <f t="shared" si="95"/>
        <v>78.387374628661505</v>
      </c>
      <c r="CW73" s="20">
        <f t="shared" si="67"/>
        <v>719.32117747825214</v>
      </c>
      <c r="CX73" s="59">
        <f t="shared" si="68"/>
        <v>979.91031914885571</v>
      </c>
      <c r="CY73" s="59">
        <f ca="1">AVERAGE(OFFSET($CX$3,0,0,'Données projet'!$E$13+1,1))-AVERAGE(OFFSET($H$3,0,0,'Données projet'!$E$13+1,1))</f>
        <v>622.07867348539082</v>
      </c>
      <c r="CZ73" s="59">
        <f t="shared" si="96"/>
        <v>398.29010684041634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56</v>
      </c>
      <c r="DC73" s="16">
        <f>IF(ISNA(VLOOKUP(A73,'Données projet'!$A$139:$I$159,5,0)),0%,VLOOKUP(A73,'Données projet'!$A$139:$I$159,5,0)*VLOOKUP('Données projet'!$B$13,Paramètres!$A$1:$I$89,7,0))</f>
        <v>0.36549999999999999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57.204800681372006</v>
      </c>
      <c r="DG73" s="21">
        <f>EXP(-LN(2)/25)*DG72+(1-EXP(-LN(2)/25))/(LN(2)/25)*Calculateur!DB73*Calculateur!DD73*VLOOKUP('Données projet'!$B$13,Paramètres!$A$1:$I$89,3,0)*0.475*44/12</f>
        <v>0</v>
      </c>
      <c r="DH73" s="21">
        <f>EXP(-LN(2)/2)*DH72+(1-EXP(-LN(2)/2))/(LN(2)/2)*DB73*DE73*VLOOKUP('Données projet'!$B$13,Paramètres!$A$1:$I$89,3,0)*0.475*44/12</f>
        <v>0</v>
      </c>
      <c r="DI73" s="22">
        <f t="shared" si="69"/>
        <v>57.204800681372006</v>
      </c>
      <c r="DJ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330</v>
      </c>
      <c r="DM73" s="12">
        <f>VLOOKUP(A73,'Données projet'!$A$165:$I$185,9,0)</f>
        <v>8.5</v>
      </c>
      <c r="DN73" s="12">
        <f t="array" ref="DN73">INDEX(DM:DM,MIN(IF(ISNUMBER(DM73:DM269),ROW(DM73:DM269),"")))</f>
        <v>8.5</v>
      </c>
      <c r="DO73" s="12">
        <f>IF('Données projet'!$A$166&gt;35,DO72+DN73-DW72,IF(A73&lt;'Données projet'!$A$166,$DL$205^A73,IF(A73='Données projet'!$A$166,'Données projet'!$B$166,DO72+DN73-DW72)))</f>
        <v>330</v>
      </c>
      <c r="DP73" s="17">
        <f>DO73*VLOOKUP('Données projet'!$B$14,Paramètres!$A$1:$I$89,3,0)*VLOOKUP('Données projet'!$B$14,Paramètres!$A$1:$I$89,5,0)</f>
        <v>314.02799999999996</v>
      </c>
      <c r="DQ73" s="13">
        <f t="shared" si="97"/>
        <v>74.109403804428752</v>
      </c>
      <c r="DR73" s="20">
        <f t="shared" si="70"/>
        <v>676.00597829271317</v>
      </c>
      <c r="DS73" s="59">
        <f t="shared" si="71"/>
        <v>936.59511996331673</v>
      </c>
      <c r="DT73" s="59">
        <f ca="1">AVERAGE(OFFSET($DS$3,0,0,'Données projet'!$E$14+1,1))-AVERAGE(OFFSET($H$3,0,0,'Données projet'!$E$14+1,1))</f>
        <v>590.05965493677377</v>
      </c>
      <c r="DU73" s="59">
        <f t="shared" si="98"/>
        <v>378.40640480134505</v>
      </c>
      <c r="DV73" s="15">
        <f>IF(ISNA(VLOOKUP(A73,'Données projet'!$A$165:$I$185,3,0)),0,VLOOKUP(A73,'Données projet'!$A$165:$I$185,3,0))</f>
        <v>6</v>
      </c>
      <c r="DW73" s="15">
        <f>IF(ISNA(VLOOKUP(A73,'Données projet'!$A$165:$I$185,4,0)),0,VLOOKUP(A73,'Données projet'!$A$165:$I$185,4,0))</f>
        <v>56</v>
      </c>
      <c r="DX73" s="16">
        <f>IF(ISNA(VLOOKUP(A73,'Données projet'!$A$165:$I$185,5,0)),0%,VLOOKUP(A73,'Données projet'!$A$165:$I$185,5,0)*VLOOKUP('Données projet'!$B$14,Paramètres!$A$1:$I$89,7,0))</f>
        <v>0.36549999999999999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53.684505254826021</v>
      </c>
      <c r="EB73" s="21">
        <f>EXP(-LN(2)/25)*EB72+(1-EXP(-LN(2)/25))/(LN(2)/25)*Calculateur!DW73*Calculateur!DY73*VLOOKUP('Données projet'!$B$14,Paramètres!$A$1:$I$89,3,0)*0.475*44/12</f>
        <v>0</v>
      </c>
      <c r="EC73" s="21">
        <f>EXP(-LN(2)/2)*EC72+(1-EXP(-LN(2)/2))/(LN(2)/2)*DW73*DZ73*VLOOKUP('Données projet'!$B$14,Paramètres!$A$1:$I$89,3,0)*0.475*44/12</f>
        <v>0</v>
      </c>
      <c r="ED73" s="22">
        <f t="shared" si="72"/>
        <v>53.684505254826021</v>
      </c>
      <c r="EE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61.069765910164605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2">
        <f>'Scénario référence'!$B$16*5+'Scénario référence'!$B$17*0+'Scénario référence'!$B$18*5</f>
        <v>4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14.666666666666666</v>
      </c>
      <c r="H74" s="66">
        <f t="shared" si="56"/>
        <v>159.86666666666667</v>
      </c>
      <c r="I74" s="6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-2.9085640562698246E-14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140.03175887621094</v>
      </c>
      <c r="T74" s="59">
        <f t="shared" si="88"/>
        <v>377.29475975964954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31.354565192637473</v>
      </c>
      <c r="AA74" s="21">
        <f>EXP(-LN(2)/25)*AA73+(1-EXP(-LN(2)/25))/(LN(2)/25)*Calculateur!V74*Calculateur!X74*VLOOKUP('Données projet'!$B$9,Paramètres!$A$1:$I$89,3,0)*0.475*44/12</f>
        <v>0</v>
      </c>
      <c r="AB74" s="21">
        <f>EXP(-LN(2)/2)*AB73+(1-EXP(-LN(2)/2))/(LN(2)/2)*V74*Y74*VLOOKUP('Données projet'!$B$9,Paramètres!$A$1:$I$89,3,0)*0.475*44/12</f>
        <v>1.6527845733138836E-6</v>
      </c>
      <c r="AC74" s="22">
        <f t="shared" si="57"/>
        <v>31.354566845422045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-5.6843418860808015E-14</v>
      </c>
      <c r="AJ74" s="13">
        <f>AI74*VLOOKUP('Données projet'!$B$10,Paramètres!$A$1:$I$89,3,0)*VLOOKUP('Données projet'!$B$10,Paramètres!$A$1:$I$89,5,0)</f>
        <v>-2.8642261895583942E-14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138.27364731587764</v>
      </c>
      <c r="AO74" s="59">
        <f t="shared" si="90"/>
        <v>372.50391467700013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30.876599259822864</v>
      </c>
      <c r="AV74" s="21">
        <f>EXP(-LN(2)/25)*AV73+(1-EXP(-LN(2)/25))/(LN(2)/25)*Calculateur!AQ74*Calculateur!AS74*VLOOKUP('Données projet'!$B$10,Paramètres!$A$1:$I$89,3,0)*0.475*44/12</f>
        <v>0</v>
      </c>
      <c r="AW74" s="21">
        <f>EXP(-LN(2)/2)*AW73+(1-EXP(-LN(2)/2))/(LN(2)/2)*AQ74*AT74*VLOOKUP('Données projet'!$B$10,Paramètres!$A$1:$I$89,3,0)*0.475*44/12</f>
        <v>1.6275896865255606E-6</v>
      </c>
      <c r="AX74" s="21">
        <f t="shared" si="60"/>
        <v>30.87660088741255</v>
      </c>
      <c r="AY74" s="7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7.4000000000000057</v>
      </c>
      <c r="BD74" s="12">
        <f>IF('Données projet'!$A$88&gt;35,BD73+BC74-BL73,IF(A74&lt;'Données projet'!$A$88,$BA$205^A74,IF(A74='Données projet'!$A$88,'Données projet'!$B$88,BD73+BC74-BL73)))</f>
        <v>281.39999999999998</v>
      </c>
      <c r="BE74" s="13">
        <f>BD74*VLOOKUP('Données projet'!$B$11,Paramètres!$A$1:$I$89,3,0)*VLOOKUP('Données projet'!$B$11,Paramètres!$A$1:$I$89,5,0)</f>
        <v>294.11928</v>
      </c>
      <c r="BF74" s="13">
        <f t="shared" si="91"/>
        <v>69.942221835053729</v>
      </c>
      <c r="BG74" s="20">
        <f t="shared" si="61"/>
        <v>634.07378236271859</v>
      </c>
      <c r="BH74" s="59">
        <f t="shared" si="62"/>
        <v>895.23096255362486</v>
      </c>
      <c r="BI74" s="59">
        <f ca="1">AVERAGE(OFFSET($BH$3,0,0,'Données projet'!$E$11+1,1))-AVERAGE(OFFSET($H$3,0,0,'Données projet'!$E$11+1,1))</f>
        <v>638.07304290599211</v>
      </c>
      <c r="BJ74" s="59">
        <f t="shared" si="92"/>
        <v>408.22196233793511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57.808681721693269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57.808681721693269</v>
      </c>
      <c r="BT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7.4000000000000057</v>
      </c>
      <c r="BY74" s="12">
        <f>IF('Données projet'!$A$114&gt;35,BY73+BX74-CG73,IF(A74&lt;'Données projet'!$A$114,$BV$205^A74,IF(A74='Données projet'!$A$114,'Données projet'!$B$114,BY73+BX74-CG73)))</f>
        <v>281.39999999999998</v>
      </c>
      <c r="BZ74" s="13">
        <f>BY74*VLOOKUP('Données projet'!$B$12,Paramètres!$A$1:$I$89,3,0)*VLOOKUP('Données projet'!$B$12,Paramètres!$A$1:$I$89,5,0)</f>
        <v>320.45831999999996</v>
      </c>
      <c r="CA74" s="13">
        <f t="shared" si="93"/>
        <v>75.448708107261183</v>
      </c>
      <c r="CB74" s="20">
        <f t="shared" si="64"/>
        <v>689.53807395347974</v>
      </c>
      <c r="CC74" s="59">
        <f t="shared" si="65"/>
        <v>950.69525414438601</v>
      </c>
      <c r="CD74" s="59">
        <f ca="1">AVERAGE(OFFSET($CC$3,0,0,'Données projet'!$E$12+1,1))-AVERAGE(OFFSET($H$3,0,0,'Données projet'!$E$12+1,1))</f>
        <v>685.99951993586967</v>
      </c>
      <c r="CE74" s="59">
        <f t="shared" si="94"/>
        <v>437.98014017823095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62.985578592292669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62.985578592292669</v>
      </c>
      <c r="CO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7.4000000000000057</v>
      </c>
      <c r="CT74" s="12">
        <f>IF('Données projet'!$A$140&gt;35,CT73+CS74-DB73,IF(A74&lt;'Données projet'!$A$140,$CQ$205^A74,IF(A74='Données projet'!$A$140,'Données projet'!$B$140,CT73+CS74-DB73)))</f>
        <v>281.39999999999998</v>
      </c>
      <c r="CU74" s="17">
        <f>CT74*VLOOKUP('Données projet'!$B$13,Paramètres!$A$1:$I$89,3,0)*VLOOKUP('Données projet'!$B$13,Paramètres!$A$1:$I$89,5,0)</f>
        <v>285.33960000000002</v>
      </c>
      <c r="CV74" s="13">
        <f t="shared" si="95"/>
        <v>68.094176261531288</v>
      </c>
      <c r="CW74" s="20">
        <f t="shared" si="67"/>
        <v>615.56382698883374</v>
      </c>
      <c r="CX74" s="59">
        <f t="shared" si="68"/>
        <v>876.72100717974001</v>
      </c>
      <c r="CY74" s="59">
        <f ca="1">AVERAGE(OFFSET($CX$3,0,0,'Données projet'!$E$13+1,1))-AVERAGE(OFFSET($H$3,0,0,'Données projet'!$E$13+1,1))</f>
        <v>622.07867348539082</v>
      </c>
      <c r="CZ74" s="59">
        <f t="shared" si="96"/>
        <v>398.29010684041634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56.083049431493471</v>
      </c>
      <c r="DG74" s="21">
        <f>EXP(-LN(2)/25)*DG73+(1-EXP(-LN(2)/25))/(LN(2)/25)*Calculateur!DB74*Calculateur!DD74*VLOOKUP('Données projet'!$B$13,Paramètres!$A$1:$I$89,3,0)*0.475*44/12</f>
        <v>0</v>
      </c>
      <c r="DH74" s="21">
        <f>EXP(-LN(2)/2)*DH73+(1-EXP(-LN(2)/2))/(LN(2)/2)*DB74*DE74*VLOOKUP('Données projet'!$B$13,Paramètres!$A$1:$I$89,3,0)*0.475*44/12</f>
        <v>0</v>
      </c>
      <c r="DI74" s="22">
        <f t="shared" si="69"/>
        <v>56.083049431493471</v>
      </c>
      <c r="DJ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7.4000000000000057</v>
      </c>
      <c r="DO74" s="12">
        <f>IF('Données projet'!$A$166&gt;35,DO73+DN74-DW73,IF(A74&lt;'Données projet'!$A$166,$DL$205^A74,IF(A74='Données projet'!$A$166,'Données projet'!$B$166,DO73+DN74-DW73)))</f>
        <v>281.39999999999998</v>
      </c>
      <c r="DP74" s="17">
        <f>DO74*VLOOKUP('Données projet'!$B$14,Paramètres!$A$1:$I$89,3,0)*VLOOKUP('Données projet'!$B$14,Paramètres!$A$1:$I$89,5,0)</f>
        <v>267.78023999999999</v>
      </c>
      <c r="DQ74" s="13">
        <f t="shared" si="97"/>
        <v>64.377954092757676</v>
      </c>
      <c r="DR74" s="20">
        <f t="shared" si="70"/>
        <v>578.50885471155289</v>
      </c>
      <c r="DS74" s="59">
        <f t="shared" si="71"/>
        <v>839.66603490245916</v>
      </c>
      <c r="DT74" s="59">
        <f ca="1">AVERAGE(OFFSET($DS$3,0,0,'Données projet'!$E$14+1,1))-AVERAGE(OFFSET($H$3,0,0,'Données projet'!$E$14+1,1))</f>
        <v>590.05965493677377</v>
      </c>
      <c r="DU74" s="59">
        <f t="shared" si="98"/>
        <v>378.40640480134505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52.631784851093855</v>
      </c>
      <c r="EB74" s="21">
        <f>EXP(-LN(2)/25)*EB73+(1-EXP(-LN(2)/25))/(LN(2)/25)*Calculateur!DW74*Calculateur!DY74*VLOOKUP('Données projet'!$B$14,Paramètres!$A$1:$I$89,3,0)*0.475*44/12</f>
        <v>0</v>
      </c>
      <c r="EC74" s="21">
        <f>EXP(-LN(2)/2)*EC73+(1-EXP(-LN(2)/2))/(LN(2)/2)*DW74*DZ74*VLOOKUP('Données projet'!$B$14,Paramètres!$A$1:$I$89,3,0)*0.475*44/12</f>
        <v>0</v>
      </c>
      <c r="ED74" s="22">
        <f t="shared" si="72"/>
        <v>52.631784851093855</v>
      </c>
      <c r="EE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61.224685506610797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2">
        <f>'Scénario référence'!$B$16*5+'Scénario référence'!$B$17*0+'Scénario référence'!$B$18*5</f>
        <v>4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14.666666666666666</v>
      </c>
      <c r="H75" s="66">
        <f t="shared" si="56"/>
        <v>159.86666666666667</v>
      </c>
      <c r="I75" s="6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-2.9085640562698246E-14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140.03175887621094</v>
      </c>
      <c r="T75" s="59">
        <f t="shared" si="88"/>
        <v>377.29475975964954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30.739721293606241</v>
      </c>
      <c r="AA75" s="21">
        <f>EXP(-LN(2)/25)*AA74+(1-EXP(-LN(2)/25))/(LN(2)/25)*Calculateur!V75*Calculateur!X75*VLOOKUP('Données projet'!$B$9,Paramètres!$A$1:$I$89,3,0)*0.475*44/12</f>
        <v>0</v>
      </c>
      <c r="AB75" s="21">
        <f>EXP(-LN(2)/2)*AB74+(1-EXP(-LN(2)/2))/(LN(2)/2)*V75*Y75*VLOOKUP('Données projet'!$B$9,Paramètres!$A$1:$I$89,3,0)*0.475*44/12</f>
        <v>1.1686951796307616E-6</v>
      </c>
      <c r="AC75" s="22">
        <f t="shared" si="57"/>
        <v>30.739722462301419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-5.6843418860808015E-14</v>
      </c>
      <c r="AJ75" s="13">
        <f>AI75*VLOOKUP('Données projet'!$B$10,Paramètres!$A$1:$I$89,3,0)*VLOOKUP('Données projet'!$B$10,Paramètres!$A$1:$I$89,5,0)</f>
        <v>-2.8642261895583942E-14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138.27364731587764</v>
      </c>
      <c r="AO75" s="59">
        <f t="shared" si="90"/>
        <v>372.50391467700013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30.271127981203694</v>
      </c>
      <c r="AV75" s="21">
        <f>EXP(-LN(2)/25)*AV74+(1-EXP(-LN(2)/25))/(LN(2)/25)*Calculateur!AQ75*Calculateur!AS75*VLOOKUP('Données projet'!$B$10,Paramètres!$A$1:$I$89,3,0)*0.475*44/12</f>
        <v>0</v>
      </c>
      <c r="AW75" s="21">
        <f>EXP(-LN(2)/2)*AW74+(1-EXP(-LN(2)/2))/(LN(2)/2)*AQ75*AT75*VLOOKUP('Données projet'!$B$10,Paramètres!$A$1:$I$89,3,0)*0.475*44/12</f>
        <v>1.150879704331511E-6</v>
      </c>
      <c r="AX75" s="21">
        <f t="shared" si="60"/>
        <v>30.271129132083399</v>
      </c>
      <c r="AY75" s="7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7.4000000000000057</v>
      </c>
      <c r="BD75" s="12">
        <f>IF('Données projet'!$A$88&gt;35,BD74+BC75-BL74,IF(A75&lt;'Données projet'!$A$88,$BA$205^A75,IF(A75='Données projet'!$A$88,'Données projet'!$B$88,BD74+BC75-BL74)))</f>
        <v>288.79999999999995</v>
      </c>
      <c r="BE75" s="13">
        <f>BD75*VLOOKUP('Données projet'!$B$11,Paramètres!$A$1:$I$89,3,0)*VLOOKUP('Données projet'!$B$11,Paramètres!$A$1:$I$89,5,0)</f>
        <v>301.85375999999997</v>
      </c>
      <c r="BF75" s="13">
        <f t="shared" si="91"/>
        <v>71.564943336781369</v>
      </c>
      <c r="BG75" s="20">
        <f t="shared" si="61"/>
        <v>650.37090831156081</v>
      </c>
      <c r="BH75" s="59">
        <f t="shared" si="62"/>
        <v>912.08627282438647</v>
      </c>
      <c r="BI75" s="59">
        <f ca="1">AVERAGE(OFFSET($BH$3,0,0,'Données projet'!$E$11+1,1))-AVERAGE(OFFSET($H$3,0,0,'Données projet'!$E$11+1,1))</f>
        <v>638.07304290599211</v>
      </c>
      <c r="BJ75" s="59">
        <f t="shared" si="92"/>
        <v>408.22196233793511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56.675088732945099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56.675088732945099</v>
      </c>
      <c r="BT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7.4000000000000057</v>
      </c>
      <c r="BY75" s="12">
        <f>IF('Données projet'!$A$114&gt;35,BY74+BX75-CG74,IF(A75&lt;'Données projet'!$A$114,$BV$205^A75,IF(A75='Données projet'!$A$114,'Données projet'!$B$114,BY74+BX75-CG74)))</f>
        <v>288.79999999999995</v>
      </c>
      <c r="BZ75" s="13">
        <f>BY75*VLOOKUP('Données projet'!$B$12,Paramètres!$A$1:$I$89,3,0)*VLOOKUP('Données projet'!$B$12,Paramètres!$A$1:$I$89,5,0)</f>
        <v>328.88543999999996</v>
      </c>
      <c r="CA75" s="13">
        <f t="shared" si="93"/>
        <v>77.199184968175828</v>
      </c>
      <c r="CB75" s="20">
        <f t="shared" si="64"/>
        <v>707.26405515290605</v>
      </c>
      <c r="CC75" s="59">
        <f t="shared" si="65"/>
        <v>968.97941966573171</v>
      </c>
      <c r="CD75" s="59">
        <f ca="1">AVERAGE(OFFSET($CC$3,0,0,'Données projet'!$E$12+1,1))-AVERAGE(OFFSET($H$3,0,0,'Données projet'!$E$12+1,1))</f>
        <v>685.99951993586967</v>
      </c>
      <c r="CE75" s="59">
        <f t="shared" si="94"/>
        <v>437.98014017823095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61.750469813507344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61.750469813507344</v>
      </c>
      <c r="CO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7.4000000000000057</v>
      </c>
      <c r="CT75" s="12">
        <f>IF('Données projet'!$A$140&gt;35,CT74+CS75-DB74,IF(A75&lt;'Données projet'!$A$140,$CQ$205^A75,IF(A75='Données projet'!$A$140,'Données projet'!$B$140,CT74+CS75-DB74)))</f>
        <v>288.79999999999995</v>
      </c>
      <c r="CU75" s="17">
        <f>CT75*VLOOKUP('Données projet'!$B$13,Paramètres!$A$1:$I$89,3,0)*VLOOKUP('Données projet'!$B$13,Paramètres!$A$1:$I$89,5,0)</f>
        <v>292.84319999999997</v>
      </c>
      <c r="CV75" s="13">
        <f t="shared" si="95"/>
        <v>69.674021468945611</v>
      </c>
      <c r="CW75" s="20">
        <f t="shared" si="67"/>
        <v>631.38416072508016</v>
      </c>
      <c r="CX75" s="59">
        <f t="shared" si="68"/>
        <v>893.09952523790571</v>
      </c>
      <c r="CY75" s="59">
        <f ca="1">AVERAGE(OFFSET($CX$3,0,0,'Données projet'!$E$13+1,1))-AVERAGE(OFFSET($H$3,0,0,'Données projet'!$E$13+1,1))</f>
        <v>622.07867348539082</v>
      </c>
      <c r="CZ75" s="59">
        <f t="shared" si="96"/>
        <v>398.29010684041634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54.983295039424348</v>
      </c>
      <c r="DG75" s="21">
        <f>EXP(-LN(2)/25)*DG74+(1-EXP(-LN(2)/25))/(LN(2)/25)*Calculateur!DB75*Calculateur!DD75*VLOOKUP('Données projet'!$B$13,Paramètres!$A$1:$I$89,3,0)*0.475*44/12</f>
        <v>0</v>
      </c>
      <c r="DH75" s="21">
        <f>EXP(-LN(2)/2)*DH74+(1-EXP(-LN(2)/2))/(LN(2)/2)*DB75*DE75*VLOOKUP('Données projet'!$B$13,Paramètres!$A$1:$I$89,3,0)*0.475*44/12</f>
        <v>0</v>
      </c>
      <c r="DI75" s="22">
        <f t="shared" si="69"/>
        <v>54.983295039424348</v>
      </c>
      <c r="DJ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7.4000000000000057</v>
      </c>
      <c r="DO75" s="12">
        <f>IF('Données projet'!$A$166&gt;35,DO74+DN75-DW74,IF(A75&lt;'Données projet'!$A$166,$DL$205^A75,IF(A75='Données projet'!$A$166,'Données projet'!$B$166,DO74+DN75-DW74)))</f>
        <v>288.79999999999995</v>
      </c>
      <c r="DP75" s="17">
        <f>DO75*VLOOKUP('Données projet'!$B$14,Paramètres!$A$1:$I$89,3,0)*VLOOKUP('Données projet'!$B$14,Paramètres!$A$1:$I$89,5,0)</f>
        <v>274.82207999999997</v>
      </c>
      <c r="DQ75" s="13">
        <f t="shared" si="97"/>
        <v>65.871579654009039</v>
      </c>
      <c r="DR75" s="20">
        <f t="shared" si="70"/>
        <v>593.37479056406562</v>
      </c>
      <c r="DS75" s="59">
        <f t="shared" si="71"/>
        <v>855.09015507689128</v>
      </c>
      <c r="DT75" s="59">
        <f ca="1">AVERAGE(OFFSET($DS$3,0,0,'Données projet'!$E$14+1,1))-AVERAGE(OFFSET($H$3,0,0,'Données projet'!$E$14+1,1))</f>
        <v>590.05965493677377</v>
      </c>
      <c r="DU75" s="59">
        <f t="shared" si="98"/>
        <v>378.40640480134505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51.599707652382833</v>
      </c>
      <c r="EB75" s="21">
        <f>EXP(-LN(2)/25)*EB74+(1-EXP(-LN(2)/25))/(LN(2)/25)*Calculateur!DW75*Calculateur!DY75*VLOOKUP('Données projet'!$B$14,Paramètres!$A$1:$I$89,3,0)*0.475*44/12</f>
        <v>0</v>
      </c>
      <c r="EC75" s="21">
        <f>EXP(-LN(2)/2)*EC74+(1-EXP(-LN(2)/2))/(LN(2)/2)*DW75*DZ75*VLOOKUP('Données projet'!$B$14,Paramètres!$A$1:$I$89,3,0)*0.475*44/12</f>
        <v>0</v>
      </c>
      <c r="ED75" s="22">
        <f t="shared" si="72"/>
        <v>51.599707652382833</v>
      </c>
      <c r="EE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61.37691759440699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2">
        <f>'Scénario référence'!$B$16*5+'Scénario référence'!$B$17*0+'Scénario référence'!$B$18*5</f>
        <v>4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14.666666666666666</v>
      </c>
      <c r="H76" s="66">
        <f t="shared" si="56"/>
        <v>159.86666666666667</v>
      </c>
      <c r="I76" s="6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-2.9085640562698246E-14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140.03175887621094</v>
      </c>
      <c r="T76" s="59">
        <f t="shared" si="88"/>
        <v>377.29475975964954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30.136934108417265</v>
      </c>
      <c r="AA76" s="21">
        <f>EXP(-LN(2)/25)*AA75+(1-EXP(-LN(2)/25))/(LN(2)/25)*Calculateur!V76*Calculateur!X76*VLOOKUP('Données projet'!$B$9,Paramètres!$A$1:$I$89,3,0)*0.475*44/12</f>
        <v>0</v>
      </c>
      <c r="AB76" s="21">
        <f>EXP(-LN(2)/2)*AB75+(1-EXP(-LN(2)/2))/(LN(2)/2)*V76*Y76*VLOOKUP('Données projet'!$B$9,Paramètres!$A$1:$I$89,3,0)*0.475*44/12</f>
        <v>8.2639228665694182E-7</v>
      </c>
      <c r="AC76" s="22">
        <f t="shared" si="57"/>
        <v>30.136934934809553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-5.6843418860808015E-14</v>
      </c>
      <c r="AJ76" s="13">
        <f>AI76*VLOOKUP('Données projet'!$B$10,Paramètres!$A$1:$I$89,3,0)*VLOOKUP('Données projet'!$B$10,Paramètres!$A$1:$I$89,5,0)</f>
        <v>-2.8642261895583942E-14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138.27364731587764</v>
      </c>
      <c r="AO76" s="59">
        <f t="shared" si="90"/>
        <v>372.50391467700013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29.677529625057232</v>
      </c>
      <c r="AV76" s="21">
        <f>EXP(-LN(2)/25)*AV75+(1-EXP(-LN(2)/25))/(LN(2)/25)*Calculateur!AQ76*Calculateur!AS76*VLOOKUP('Données projet'!$B$10,Paramètres!$A$1:$I$89,3,0)*0.475*44/12</f>
        <v>0</v>
      </c>
      <c r="AW76" s="21">
        <f>EXP(-LN(2)/2)*AW75+(1-EXP(-LN(2)/2))/(LN(2)/2)*AQ76*AT76*VLOOKUP('Données projet'!$B$10,Paramètres!$A$1:$I$89,3,0)*0.475*44/12</f>
        <v>8.137948432627803E-7</v>
      </c>
      <c r="AX76" s="21">
        <f t="shared" si="60"/>
        <v>29.677530438852077</v>
      </c>
      <c r="AY76" s="7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7.4000000000000057</v>
      </c>
      <c r="BD76" s="12">
        <f>IF('Données projet'!$A$88&gt;35,BD75+BC76-BL75,IF(A76&lt;'Données projet'!$A$88,$BA$205^A76,IF(A76='Données projet'!$A$88,'Données projet'!$B$88,BD75+BC76-BL75)))</f>
        <v>296.19999999999993</v>
      </c>
      <c r="BE76" s="13">
        <f>BD76*VLOOKUP('Données projet'!$B$11,Paramètres!$A$1:$I$89,3,0)*VLOOKUP('Données projet'!$B$11,Paramètres!$A$1:$I$89,5,0)</f>
        <v>309.58823999999998</v>
      </c>
      <c r="BF76" s="13">
        <f t="shared" si="91"/>
        <v>73.182831644424041</v>
      </c>
      <c r="BG76" s="20">
        <f t="shared" si="61"/>
        <v>666.65961644737183</v>
      </c>
      <c r="BH76" s="59">
        <f t="shared" si="62"/>
        <v>928.9234820320446</v>
      </c>
      <c r="BI76" s="59">
        <f ca="1">AVERAGE(OFFSET($BH$3,0,0,'Données projet'!$E$11+1,1))-AVERAGE(OFFSET($H$3,0,0,'Données projet'!$E$11+1,1))</f>
        <v>638.07304290599211</v>
      </c>
      <c r="BJ76" s="59">
        <f t="shared" si="92"/>
        <v>408.22196233793511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55.563724811282825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55.563724811282825</v>
      </c>
      <c r="BT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7.4000000000000057</v>
      </c>
      <c r="BY76" s="12">
        <f>IF('Données projet'!$A$114&gt;35,BY75+BX76-CG75,IF(A76&lt;'Données projet'!$A$114,$BV$205^A76,IF(A76='Données projet'!$A$114,'Données projet'!$B$114,BY75+BX76-CG75)))</f>
        <v>296.19999999999993</v>
      </c>
      <c r="BZ76" s="13">
        <f>BY76*VLOOKUP('Données projet'!$B$12,Paramètres!$A$1:$I$89,3,0)*VLOOKUP('Données projet'!$B$12,Paramètres!$A$1:$I$89,5,0)</f>
        <v>337.31255999999991</v>
      </c>
      <c r="CA76" s="13">
        <f t="shared" si="93"/>
        <v>78.944448122116839</v>
      </c>
      <c r="CB76" s="20">
        <f t="shared" si="64"/>
        <v>724.98095581268672</v>
      </c>
      <c r="CC76" s="59">
        <f t="shared" si="65"/>
        <v>987.2448213973596</v>
      </c>
      <c r="CD76" s="59">
        <f ca="1">AVERAGE(OFFSET($CC$3,0,0,'Données projet'!$E$12+1,1))-AVERAGE(OFFSET($H$3,0,0,'Données projet'!$E$12+1,1))</f>
        <v>685.99951993586967</v>
      </c>
      <c r="CE76" s="59">
        <f t="shared" si="94"/>
        <v>437.98014017823095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60.539580764532033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60.539580764532033</v>
      </c>
      <c r="CO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7.4000000000000057</v>
      </c>
      <c r="CT76" s="12">
        <f>IF('Données projet'!$A$140&gt;35,CT75+CS76-DB75,IF(A76&lt;'Données projet'!$A$140,$CQ$205^A76,IF(A76='Données projet'!$A$140,'Données projet'!$B$140,CT75+CS76-DB75)))</f>
        <v>296.19999999999993</v>
      </c>
      <c r="CU76" s="17">
        <f>CT76*VLOOKUP('Données projet'!$B$13,Paramètres!$A$1:$I$89,3,0)*VLOOKUP('Données projet'!$B$13,Paramètres!$A$1:$I$89,5,0)</f>
        <v>300.34679999999997</v>
      </c>
      <c r="CV76" s="13">
        <f t="shared" si="95"/>
        <v>71.249161187153362</v>
      </c>
      <c r="CW76" s="20">
        <f t="shared" si="67"/>
        <v>647.19629906762532</v>
      </c>
      <c r="CX76" s="59">
        <f t="shared" si="68"/>
        <v>909.46016465229809</v>
      </c>
      <c r="CY76" s="59">
        <f ca="1">AVERAGE(OFFSET($CX$3,0,0,'Données projet'!$E$13+1,1))-AVERAGE(OFFSET($H$3,0,0,'Données projet'!$E$13+1,1))</f>
        <v>622.07867348539082</v>
      </c>
      <c r="CZ76" s="59">
        <f t="shared" si="96"/>
        <v>398.29010684041634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53.905106160199757</v>
      </c>
      <c r="DG76" s="21">
        <f>EXP(-LN(2)/25)*DG75+(1-EXP(-LN(2)/25))/(LN(2)/25)*Calculateur!DB76*Calculateur!DD76*VLOOKUP('Données projet'!$B$13,Paramètres!$A$1:$I$89,3,0)*0.475*44/12</f>
        <v>0</v>
      </c>
      <c r="DH76" s="21">
        <f>EXP(-LN(2)/2)*DH75+(1-EXP(-LN(2)/2))/(LN(2)/2)*DB76*DE76*VLOOKUP('Données projet'!$B$13,Paramètres!$A$1:$I$89,3,0)*0.475*44/12</f>
        <v>0</v>
      </c>
      <c r="DI76" s="22">
        <f t="shared" si="69"/>
        <v>53.905106160199757</v>
      </c>
      <c r="DJ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7.4000000000000057</v>
      </c>
      <c r="DO76" s="12">
        <f>IF('Données projet'!$A$166&gt;35,DO75+DN76-DW75,IF(A76&lt;'Données projet'!$A$166,$DL$205^A76,IF(A76='Données projet'!$A$166,'Données projet'!$B$166,DO75+DN76-DW75)))</f>
        <v>296.19999999999993</v>
      </c>
      <c r="DP76" s="17">
        <f>DO76*VLOOKUP('Données projet'!$B$14,Paramètres!$A$1:$I$89,3,0)*VLOOKUP('Données projet'!$B$14,Paramètres!$A$1:$I$89,5,0)</f>
        <v>281.86391999999995</v>
      </c>
      <c r="DQ76" s="13">
        <f t="shared" si="97"/>
        <v>67.360756526917982</v>
      </c>
      <c r="DR76" s="20">
        <f t="shared" si="70"/>
        <v>608.23297828438206</v>
      </c>
      <c r="DS76" s="59">
        <f t="shared" si="71"/>
        <v>870.49684386905483</v>
      </c>
      <c r="DT76" s="59">
        <f ca="1">AVERAGE(OFFSET($DS$3,0,0,'Données projet'!$E$14+1,1))-AVERAGE(OFFSET($H$3,0,0,'Données projet'!$E$14+1,1))</f>
        <v>590.05965493677377</v>
      </c>
      <c r="DU76" s="59">
        <f t="shared" si="98"/>
        <v>378.40640480134505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50.587868858033602</v>
      </c>
      <c r="EB76" s="21">
        <f>EXP(-LN(2)/25)*EB75+(1-EXP(-LN(2)/25))/(LN(2)/25)*Calculateur!DW76*Calculateur!DY76*VLOOKUP('Données projet'!$B$14,Paramètres!$A$1:$I$89,3,0)*0.475*44/12</f>
        <v>0</v>
      </c>
      <c r="EC76" s="21">
        <f>EXP(-LN(2)/2)*EC75+(1-EXP(-LN(2)/2))/(LN(2)/2)*DW76*DZ76*VLOOKUP('Données projet'!$B$14,Paramètres!$A$1:$I$89,3,0)*0.475*44/12</f>
        <v>0</v>
      </c>
      <c r="ED76" s="22">
        <f t="shared" si="72"/>
        <v>50.587868858033602</v>
      </c>
      <c r="EE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61.526508795819865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2">
        <f>'Scénario référence'!$B$16*5+'Scénario référence'!$B$17*0+'Scénario référence'!$B$18*5</f>
        <v>4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14.666666666666666</v>
      </c>
      <c r="H77" s="66">
        <f t="shared" si="56"/>
        <v>159.86666666666667</v>
      </c>
      <c r="I77" s="6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-2.9085640562698246E-14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140.03175887621094</v>
      </c>
      <c r="T77" s="59">
        <f t="shared" si="88"/>
        <v>377.29475975964954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29.545967212265964</v>
      </c>
      <c r="AA77" s="21">
        <f>EXP(-LN(2)/25)*AA76+(1-EXP(-LN(2)/25))/(LN(2)/25)*Calculateur!V77*Calculateur!X77*VLOOKUP('Données projet'!$B$9,Paramètres!$A$1:$I$89,3,0)*0.475*44/12</f>
        <v>0</v>
      </c>
      <c r="AB77" s="21">
        <f>EXP(-LN(2)/2)*AB76+(1-EXP(-LN(2)/2))/(LN(2)/2)*V77*Y77*VLOOKUP('Données projet'!$B$9,Paramètres!$A$1:$I$89,3,0)*0.475*44/12</f>
        <v>5.8434758981538081E-7</v>
      </c>
      <c r="AC77" s="22">
        <f t="shared" si="57"/>
        <v>29.545967796613553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-5.6843418860808015E-14</v>
      </c>
      <c r="AJ77" s="13">
        <f>AI77*VLOOKUP('Données projet'!$B$10,Paramètres!$A$1:$I$89,3,0)*VLOOKUP('Données projet'!$B$10,Paramètres!$A$1:$I$89,5,0)</f>
        <v>-2.8642261895583942E-14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138.27364731587764</v>
      </c>
      <c r="AO77" s="59">
        <f t="shared" si="90"/>
        <v>372.50391467700013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29.095571370615556</v>
      </c>
      <c r="AV77" s="21">
        <f>EXP(-LN(2)/25)*AV76+(1-EXP(-LN(2)/25))/(LN(2)/25)*Calculateur!AQ77*Calculateur!AS77*VLOOKUP('Données projet'!$B$10,Paramètres!$A$1:$I$89,3,0)*0.475*44/12</f>
        <v>0</v>
      </c>
      <c r="AW77" s="21">
        <f>EXP(-LN(2)/2)*AW76+(1-EXP(-LN(2)/2))/(LN(2)/2)*AQ77*AT77*VLOOKUP('Données projet'!$B$10,Paramètres!$A$1:$I$89,3,0)*0.475*44/12</f>
        <v>5.7543985216575552E-7</v>
      </c>
      <c r="AX77" s="21">
        <f t="shared" si="60"/>
        <v>29.095571946055408</v>
      </c>
      <c r="AY77" s="7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7.4000000000000057</v>
      </c>
      <c r="BD77" s="12">
        <f>IF('Données projet'!$A$88&gt;35,BD76+BC77-BL76,IF(A77&lt;'Données projet'!$A$88,$BA$205^A77,IF(A77='Données projet'!$A$88,'Données projet'!$B$88,BD76+BC77-BL76)))</f>
        <v>303.59999999999991</v>
      </c>
      <c r="BE77" s="13">
        <f>BD77*VLOOKUP('Données projet'!$B$11,Paramètres!$A$1:$I$89,3,0)*VLOOKUP('Données projet'!$B$11,Paramètres!$A$1:$I$89,5,0)</f>
        <v>317.32271999999995</v>
      </c>
      <c r="BF77" s="13">
        <f t="shared" si="91"/>
        <v>74.796021393862191</v>
      </c>
      <c r="BG77" s="20">
        <f t="shared" si="61"/>
        <v>682.94014126097647</v>
      </c>
      <c r="BH77" s="59">
        <f t="shared" si="62"/>
        <v>945.74299265016464</v>
      </c>
      <c r="BI77" s="59">
        <f ca="1">AVERAGE(OFFSET($BH$3,0,0,'Données projet'!$E$11+1,1))-AVERAGE(OFFSET($H$3,0,0,'Données projet'!$E$11+1,1))</f>
        <v>638.07304290599211</v>
      </c>
      <c r="BJ77" s="59">
        <f t="shared" si="92"/>
        <v>408.22196233793511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54.474154058259295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54.474154058259295</v>
      </c>
      <c r="BT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7.4000000000000057</v>
      </c>
      <c r="BY77" s="12">
        <f>IF('Données projet'!$A$114&gt;35,BY76+BX77-CG76,IF(A77&lt;'Données projet'!$A$114,$BV$205^A77,IF(A77='Données projet'!$A$114,'Données projet'!$B$114,BY76+BX77-CG76)))</f>
        <v>303.59999999999991</v>
      </c>
      <c r="BZ77" s="13">
        <f>BY77*VLOOKUP('Données projet'!$B$12,Paramètres!$A$1:$I$89,3,0)*VLOOKUP('Données projet'!$B$12,Paramètres!$A$1:$I$89,5,0)</f>
        <v>345.73967999999991</v>
      </c>
      <c r="CA77" s="13">
        <f t="shared" si="93"/>
        <v>80.684642804722401</v>
      </c>
      <c r="CB77" s="20">
        <f t="shared" si="64"/>
        <v>742.68902888489129</v>
      </c>
      <c r="CC77" s="59">
        <f t="shared" si="65"/>
        <v>1005.4918802740794</v>
      </c>
      <c r="CD77" s="59">
        <f ca="1">AVERAGE(OFFSET($CC$3,0,0,'Données projet'!$E$12+1,1))-AVERAGE(OFFSET($H$3,0,0,'Données projet'!$E$12+1,1))</f>
        <v>685.99951993586967</v>
      </c>
      <c r="CE77" s="59">
        <f t="shared" si="94"/>
        <v>437.98014017823095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59.352436511237734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59.352436511237734</v>
      </c>
      <c r="CO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7.4000000000000057</v>
      </c>
      <c r="CT77" s="12">
        <f>IF('Données projet'!$A$140&gt;35,CT76+CS77-DB76,IF(A77&lt;'Données projet'!$A$140,$CQ$205^A77,IF(A77='Données projet'!$A$140,'Données projet'!$B$140,CT76+CS77-DB76)))</f>
        <v>303.59999999999991</v>
      </c>
      <c r="CU77" s="17">
        <f>CT77*VLOOKUP('Données projet'!$B$13,Paramètres!$A$1:$I$89,3,0)*VLOOKUP('Données projet'!$B$13,Paramètres!$A$1:$I$89,5,0)</f>
        <v>307.85039999999992</v>
      </c>
      <c r="CV77" s="13">
        <f t="shared" si="95"/>
        <v>72.819726494623794</v>
      </c>
      <c r="CW77" s="20">
        <f t="shared" si="67"/>
        <v>663.0004703114696</v>
      </c>
      <c r="CX77" s="59">
        <f t="shared" si="68"/>
        <v>925.80332170065776</v>
      </c>
      <c r="CY77" s="59">
        <f ca="1">AVERAGE(OFFSET($CX$3,0,0,'Données projet'!$E$13+1,1))-AVERAGE(OFFSET($H$3,0,0,'Données projet'!$E$13+1,1))</f>
        <v>622.07867348539082</v>
      </c>
      <c r="CZ77" s="59">
        <f t="shared" si="96"/>
        <v>398.29010684041634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52.848059907266482</v>
      </c>
      <c r="DG77" s="21">
        <f>EXP(-LN(2)/25)*DG76+(1-EXP(-LN(2)/25))/(LN(2)/25)*Calculateur!DB77*Calculateur!DD77*VLOOKUP('Données projet'!$B$13,Paramètres!$A$1:$I$89,3,0)*0.475*44/12</f>
        <v>0</v>
      </c>
      <c r="DH77" s="21">
        <f>EXP(-LN(2)/2)*DH76+(1-EXP(-LN(2)/2))/(LN(2)/2)*DB77*DE77*VLOOKUP('Données projet'!$B$13,Paramètres!$A$1:$I$89,3,0)*0.475*44/12</f>
        <v>0</v>
      </c>
      <c r="DI77" s="22">
        <f t="shared" si="69"/>
        <v>52.848059907266482</v>
      </c>
      <c r="DJ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7.4000000000000057</v>
      </c>
      <c r="DO77" s="12">
        <f>IF('Données projet'!$A$166&gt;35,DO76+DN77-DW76,IF(A77&lt;'Données projet'!$A$166,$DL$205^A77,IF(A77='Données projet'!$A$166,'Données projet'!$B$166,DO76+DN77-DW76)))</f>
        <v>303.59999999999991</v>
      </c>
      <c r="DP77" s="17">
        <f>DO77*VLOOKUP('Données projet'!$B$14,Paramètres!$A$1:$I$89,3,0)*VLOOKUP('Données projet'!$B$14,Paramètres!$A$1:$I$89,5,0)</f>
        <v>288.90575999999993</v>
      </c>
      <c r="DQ77" s="13">
        <f t="shared" si="97"/>
        <v>68.84560863637995</v>
      </c>
      <c r="DR77" s="20">
        <f t="shared" si="70"/>
        <v>623.08363370836162</v>
      </c>
      <c r="DS77" s="59">
        <f t="shared" si="71"/>
        <v>885.88648509754978</v>
      </c>
      <c r="DT77" s="59">
        <f ca="1">AVERAGE(OFFSET($DS$3,0,0,'Données projet'!$E$14+1,1))-AVERAGE(OFFSET($H$3,0,0,'Données projet'!$E$14+1,1))</f>
        <v>590.05965493677377</v>
      </c>
      <c r="DU77" s="59">
        <f t="shared" si="98"/>
        <v>378.40640480134505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49.595871605280834</v>
      </c>
      <c r="EB77" s="21">
        <f>EXP(-LN(2)/25)*EB76+(1-EXP(-LN(2)/25))/(LN(2)/25)*Calculateur!DW77*Calculateur!DY77*VLOOKUP('Données projet'!$B$14,Paramètres!$A$1:$I$89,3,0)*0.475*44/12</f>
        <v>0</v>
      </c>
      <c r="EC77" s="21">
        <f>EXP(-LN(2)/2)*EC76+(1-EXP(-LN(2)/2))/(LN(2)/2)*DW77*DZ77*VLOOKUP('Données projet'!$B$14,Paramètres!$A$1:$I$89,3,0)*0.475*44/12</f>
        <v>0</v>
      </c>
      <c r="ED77" s="22">
        <f t="shared" si="72"/>
        <v>49.595871605280834</v>
      </c>
      <c r="EE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61.673504924324057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2">
        <f>'Scénario référence'!$B$16*5+'Scénario référence'!$B$17*0+'Scénario référence'!$B$18*5</f>
        <v>4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14.666666666666666</v>
      </c>
      <c r="H78" s="66">
        <f t="shared" si="56"/>
        <v>159.86666666666667</v>
      </c>
      <c r="I78" s="6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-2.9085640562698246E-14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140.03175887621094</v>
      </c>
      <c r="T78" s="59">
        <f t="shared" si="88"/>
        <v>377.29475975964954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28.966588816493978</v>
      </c>
      <c r="AA78" s="21">
        <f>EXP(-LN(2)/25)*AA77+(1-EXP(-LN(2)/25))/(LN(2)/25)*Calculateur!V78*Calculateur!X78*VLOOKUP('Données projet'!$B$9,Paramètres!$A$1:$I$89,3,0)*0.475*44/12</f>
        <v>0</v>
      </c>
      <c r="AB78" s="21">
        <f>EXP(-LN(2)/2)*AB77+(1-EXP(-LN(2)/2))/(LN(2)/2)*V78*Y78*VLOOKUP('Données projet'!$B$9,Paramètres!$A$1:$I$89,3,0)*0.475*44/12</f>
        <v>4.1319614332847091E-7</v>
      </c>
      <c r="AC78" s="22">
        <f t="shared" si="57"/>
        <v>28.966589229690122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-5.6843418860808015E-14</v>
      </c>
      <c r="AJ78" s="13">
        <f>AI78*VLOOKUP('Données projet'!$B$10,Paramètres!$A$1:$I$89,3,0)*VLOOKUP('Données projet'!$B$10,Paramètres!$A$1:$I$89,5,0)</f>
        <v>-2.8642261895583942E-14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138.27364731587764</v>
      </c>
      <c r="AO78" s="59">
        <f t="shared" si="90"/>
        <v>372.50391467700013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28.525024962583995</v>
      </c>
      <c r="AV78" s="21">
        <f>EXP(-LN(2)/25)*AV77+(1-EXP(-LN(2)/25))/(LN(2)/25)*Calculateur!AQ78*Calculateur!AS78*VLOOKUP('Données projet'!$B$10,Paramètres!$A$1:$I$89,3,0)*0.475*44/12</f>
        <v>0</v>
      </c>
      <c r="AW78" s="21">
        <f>EXP(-LN(2)/2)*AW77+(1-EXP(-LN(2)/2))/(LN(2)/2)*AQ78*AT78*VLOOKUP('Données projet'!$B$10,Paramètres!$A$1:$I$89,3,0)*0.475*44/12</f>
        <v>4.0689742163139015E-7</v>
      </c>
      <c r="AX78" s="21">
        <f t="shared" si="60"/>
        <v>28.525025369481416</v>
      </c>
      <c r="AY78" s="7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7.4000000000000057</v>
      </c>
      <c r="BD78" s="12">
        <f>IF('Données projet'!$A$88&gt;35,BD77+BC78-BL77,IF(A78&lt;'Données projet'!$A$88,$BA$205^A78,IF(A78='Données projet'!$A$88,'Données projet'!$B$88,BD77+BC78-BL77)))</f>
        <v>310.99999999999989</v>
      </c>
      <c r="BE78" s="13">
        <f>BD78*VLOOKUP('Données projet'!$B$11,Paramètres!$A$1:$I$89,3,0)*VLOOKUP('Données projet'!$B$11,Paramètres!$A$1:$I$89,5,0)</f>
        <v>325.05719999999991</v>
      </c>
      <c r="BF78" s="13">
        <f t="shared" si="91"/>
        <v>76.404640283489414</v>
      </c>
      <c r="BG78" s="20">
        <f t="shared" si="61"/>
        <v>699.21270516041056</v>
      </c>
      <c r="BH78" s="59">
        <f t="shared" si="62"/>
        <v>962.54519215539744</v>
      </c>
      <c r="BI78" s="59">
        <f ca="1">AVERAGE(OFFSET($BH$3,0,0,'Données projet'!$E$11+1,1))-AVERAGE(OFFSET($H$3,0,0,'Données projet'!$E$11+1,1))</f>
        <v>638.07304290599211</v>
      </c>
      <c r="BJ78" s="59">
        <f t="shared" si="92"/>
        <v>408.22196233793511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53.405949123130014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53.405949123130014</v>
      </c>
      <c r="BT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7.4000000000000057</v>
      </c>
      <c r="BY78" s="12">
        <f>IF('Données projet'!$A$114&gt;35,BY77+BX78-CG77,IF(A78&lt;'Données projet'!$A$114,$BV$205^A78,IF(A78='Données projet'!$A$114,'Données projet'!$B$114,BY77+BX78-CG77)))</f>
        <v>310.99999999999989</v>
      </c>
      <c r="BZ78" s="13">
        <f>BY78*VLOOKUP('Données projet'!$B$12,Paramètres!$A$1:$I$89,3,0)*VLOOKUP('Données projet'!$B$12,Paramètres!$A$1:$I$89,5,0)</f>
        <v>354.16679999999985</v>
      </c>
      <c r="CA78" s="13">
        <f t="shared" si="93"/>
        <v>82.419906767962544</v>
      </c>
      <c r="CB78" s="20">
        <f t="shared" si="64"/>
        <v>760.38851428753435</v>
      </c>
      <c r="CC78" s="59">
        <f t="shared" si="65"/>
        <v>1023.7210012825212</v>
      </c>
      <c r="CD78" s="59">
        <f ca="1">AVERAGE(OFFSET($CC$3,0,0,'Données projet'!$E$12+1,1))-AVERAGE(OFFSET($H$3,0,0,'Données projet'!$E$12+1,1))</f>
        <v>685.99951993586967</v>
      </c>
      <c r="CE78" s="59">
        <f t="shared" si="94"/>
        <v>437.98014017823095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58.188571432664041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58.188571432664041</v>
      </c>
      <c r="CO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7.4000000000000057</v>
      </c>
      <c r="CT78" s="12">
        <f>IF('Données projet'!$A$140&gt;35,CT77+CS78-DB77,IF(A78&lt;'Données projet'!$A$140,$CQ$205^A78,IF(A78='Données projet'!$A$140,'Données projet'!$B$140,CT77+CS78-DB77)))</f>
        <v>310.99999999999989</v>
      </c>
      <c r="CU78" s="17">
        <f>CT78*VLOOKUP('Données projet'!$B$13,Paramètres!$A$1:$I$89,3,0)*VLOOKUP('Données projet'!$B$13,Paramètres!$A$1:$I$89,5,0)</f>
        <v>315.35399999999987</v>
      </c>
      <c r="CV78" s="13">
        <f t="shared" si="95"/>
        <v>74.385841715644801</v>
      </c>
      <c r="CW78" s="20">
        <f t="shared" si="67"/>
        <v>678.79689098808103</v>
      </c>
      <c r="CX78" s="59">
        <f t="shared" si="68"/>
        <v>942.12937798306803</v>
      </c>
      <c r="CY78" s="59">
        <f ca="1">AVERAGE(OFFSET($CX$3,0,0,'Données projet'!$E$13+1,1))-AVERAGE(OFFSET($H$3,0,0,'Données projet'!$E$13+1,1))</f>
        <v>622.07867348539082</v>
      </c>
      <c r="CZ78" s="59">
        <f t="shared" si="96"/>
        <v>398.29010684041634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51.811741686618674</v>
      </c>
      <c r="DG78" s="21">
        <f>EXP(-LN(2)/25)*DG77+(1-EXP(-LN(2)/25))/(LN(2)/25)*Calculateur!DB78*Calculateur!DD78*VLOOKUP('Données projet'!$B$13,Paramètres!$A$1:$I$89,3,0)*0.475*44/12</f>
        <v>0</v>
      </c>
      <c r="DH78" s="21">
        <f>EXP(-LN(2)/2)*DH77+(1-EXP(-LN(2)/2))/(LN(2)/2)*DB78*DE78*VLOOKUP('Données projet'!$B$13,Paramètres!$A$1:$I$89,3,0)*0.475*44/12</f>
        <v>0</v>
      </c>
      <c r="DI78" s="22">
        <f t="shared" si="69"/>
        <v>51.811741686618674</v>
      </c>
      <c r="DJ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7.4000000000000057</v>
      </c>
      <c r="DO78" s="12">
        <f>IF('Données projet'!$A$166&gt;35,DO77+DN78-DW77,IF(A78&lt;'Données projet'!$A$166,$DL$205^A78,IF(A78='Données projet'!$A$166,'Données projet'!$B$166,DO77+DN78-DW77)))</f>
        <v>310.99999999999989</v>
      </c>
      <c r="DP78" s="17">
        <f>DO78*VLOOKUP('Données projet'!$B$14,Paramètres!$A$1:$I$89,3,0)*VLOOKUP('Données projet'!$B$14,Paramètres!$A$1:$I$89,5,0)</f>
        <v>295.94759999999991</v>
      </c>
      <c r="DQ78" s="13">
        <f t="shared" si="97"/>
        <v>70.326253521716808</v>
      </c>
      <c r="DR78" s="20">
        <f t="shared" si="70"/>
        <v>637.9269615503232</v>
      </c>
      <c r="DS78" s="59">
        <f t="shared" si="71"/>
        <v>901.25944854531008</v>
      </c>
      <c r="DT78" s="59">
        <f ca="1">AVERAGE(OFFSET($DS$3,0,0,'Données projet'!$E$14+1,1))-AVERAGE(OFFSET($H$3,0,0,'Données projet'!$E$14+1,1))</f>
        <v>590.05965493677377</v>
      </c>
      <c r="DU78" s="59">
        <f t="shared" si="98"/>
        <v>378.40640480134505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48.623326813595966</v>
      </c>
      <c r="EB78" s="21">
        <f>EXP(-LN(2)/25)*EB77+(1-EXP(-LN(2)/25))/(LN(2)/25)*Calculateur!DW78*Calculateur!DY78*VLOOKUP('Données projet'!$B$14,Paramètres!$A$1:$I$89,3,0)*0.475*44/12</f>
        <v>0</v>
      </c>
      <c r="EC78" s="21">
        <f>EXP(-LN(2)/2)*EC77+(1-EXP(-LN(2)/2))/(LN(2)/2)*DW78*DZ78*VLOOKUP('Données projet'!$B$14,Paramètres!$A$1:$I$89,3,0)*0.475*44/12</f>
        <v>0</v>
      </c>
      <c r="ED78" s="22">
        <f t="shared" si="72"/>
        <v>48.623326813595966</v>
      </c>
      <c r="EE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61.81795099863281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2">
        <f>'Scénario référence'!$B$16*5+'Scénario référence'!$B$17*0+'Scénario référence'!$B$18*5</f>
        <v>4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14.666666666666666</v>
      </c>
      <c r="H79" s="66">
        <f t="shared" si="56"/>
        <v>159.86666666666667</v>
      </c>
      <c r="I79" s="6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-2.9085640562698246E-14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140.03175887621094</v>
      </c>
      <c r="T79" s="59">
        <f t="shared" si="88"/>
        <v>377.29475975964954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28.39857167767715</v>
      </c>
      <c r="AA79" s="21">
        <f>EXP(-LN(2)/25)*AA78+(1-EXP(-LN(2)/25))/(LN(2)/25)*Calculateur!V79*Calculateur!X79*VLOOKUP('Données projet'!$B$9,Paramètres!$A$1:$I$89,3,0)*0.475*44/12</f>
        <v>0</v>
      </c>
      <c r="AB79" s="21">
        <f>EXP(-LN(2)/2)*AB78+(1-EXP(-LN(2)/2))/(LN(2)/2)*V79*Y79*VLOOKUP('Données projet'!$B$9,Paramètres!$A$1:$I$89,3,0)*0.475*44/12</f>
        <v>2.9217379490769041E-7</v>
      </c>
      <c r="AC79" s="22">
        <f t="shared" si="57"/>
        <v>28.398571969850945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-5.6843418860808015E-14</v>
      </c>
      <c r="AJ79" s="13">
        <f>AI79*VLOOKUP('Données projet'!$B$10,Paramètres!$A$1:$I$89,3,0)*VLOOKUP('Données projet'!$B$10,Paramètres!$A$1:$I$89,5,0)</f>
        <v>-2.8642261895583942E-14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138.27364731587764</v>
      </c>
      <c r="AO79" s="59">
        <f t="shared" si="90"/>
        <v>372.50391467700013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27.965666621614986</v>
      </c>
      <c r="AV79" s="21">
        <f>EXP(-LN(2)/25)*AV78+(1-EXP(-LN(2)/25))/(LN(2)/25)*Calculateur!AQ79*Calculateur!AS79*VLOOKUP('Données projet'!$B$10,Paramètres!$A$1:$I$89,3,0)*0.475*44/12</f>
        <v>0</v>
      </c>
      <c r="AW79" s="21">
        <f>EXP(-LN(2)/2)*AW78+(1-EXP(-LN(2)/2))/(LN(2)/2)*AQ79*AT79*VLOOKUP('Données projet'!$B$10,Paramètres!$A$1:$I$89,3,0)*0.475*44/12</f>
        <v>2.8771992608287776E-7</v>
      </c>
      <c r="AX79" s="21">
        <f t="shared" si="60"/>
        <v>27.96566690933491</v>
      </c>
      <c r="AY79" s="7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7.4000000000000057</v>
      </c>
      <c r="BD79" s="12">
        <f>IF('Données projet'!$A$88&gt;35,BD78+BC79-BL78,IF(A79&lt;'Données projet'!$A$88,$BA$205^A79,IF(A79='Données projet'!$A$88,'Données projet'!$B$88,BD78+BC79-BL78)))</f>
        <v>318.39999999999986</v>
      </c>
      <c r="BE79" s="13">
        <f>BD79*VLOOKUP('Données projet'!$B$11,Paramètres!$A$1:$I$89,3,0)*VLOOKUP('Données projet'!$B$11,Paramètres!$A$1:$I$89,5,0)</f>
        <v>332.79167999999987</v>
      </c>
      <c r="BF79" s="13">
        <f t="shared" si="91"/>
        <v>78.008809588126937</v>
      </c>
      <c r="BG79" s="20">
        <f t="shared" si="61"/>
        <v>715.47751936598752</v>
      </c>
      <c r="BH79" s="59">
        <f t="shared" si="62"/>
        <v>979.33045397310048</v>
      </c>
      <c r="BI79" s="59">
        <f ca="1">AVERAGE(OFFSET($BH$3,0,0,'Données projet'!$E$11+1,1))-AVERAGE(OFFSET($H$3,0,0,'Données projet'!$E$11+1,1))</f>
        <v>638.07304290599211</v>
      </c>
      <c r="BJ79" s="59">
        <f t="shared" si="92"/>
        <v>408.22196233793511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52.358691035237946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52.358691035237946</v>
      </c>
      <c r="BT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7.4000000000000057</v>
      </c>
      <c r="BY79" s="12">
        <f>IF('Données projet'!$A$114&gt;35,BY78+BX79-CG78,IF(A79&lt;'Données projet'!$A$114,$BV$205^A79,IF(A79='Données projet'!$A$114,'Données projet'!$B$114,BY78+BX79-CG78)))</f>
        <v>318.39999999999986</v>
      </c>
      <c r="BZ79" s="13">
        <f>BY79*VLOOKUP('Données projet'!$B$12,Paramètres!$A$1:$I$89,3,0)*VLOOKUP('Données projet'!$B$12,Paramètres!$A$1:$I$89,5,0)</f>
        <v>362.59391999999986</v>
      </c>
      <c r="CA79" s="13">
        <f t="shared" si="93"/>
        <v>84.150370834512486</v>
      </c>
      <c r="CB79" s="20">
        <f t="shared" si="64"/>
        <v>778.07963987010896</v>
      </c>
      <c r="CC79" s="59">
        <f t="shared" si="65"/>
        <v>1041.9325744772218</v>
      </c>
      <c r="CD79" s="59">
        <f ca="1">AVERAGE(OFFSET($CC$3,0,0,'Données projet'!$E$12+1,1))-AVERAGE(OFFSET($H$3,0,0,'Données projet'!$E$12+1,1))</f>
        <v>685.99951993586967</v>
      </c>
      <c r="CE79" s="59">
        <f t="shared" si="94"/>
        <v>437.98014017823095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57.047529038393577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57.047529038393577</v>
      </c>
      <c r="CO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7.4000000000000057</v>
      </c>
      <c r="CT79" s="12">
        <f>IF('Données projet'!$A$140&gt;35,CT78+CS79-DB78,IF(A79&lt;'Données projet'!$A$140,$CQ$205^A79,IF(A79='Données projet'!$A$140,'Données projet'!$B$140,CT78+CS79-DB78)))</f>
        <v>318.39999999999986</v>
      </c>
      <c r="CU79" s="17">
        <f>CT79*VLOOKUP('Données projet'!$B$13,Paramètres!$A$1:$I$89,3,0)*VLOOKUP('Données projet'!$B$13,Paramètres!$A$1:$I$89,5,0)</f>
        <v>322.85759999999988</v>
      </c>
      <c r="CV79" s="13">
        <f t="shared" si="95"/>
        <v>75.947624920658441</v>
      </c>
      <c r="CW79" s="20">
        <f t="shared" si="67"/>
        <v>694.58576673681318</v>
      </c>
      <c r="CX79" s="59">
        <f t="shared" si="68"/>
        <v>958.43870134392614</v>
      </c>
      <c r="CY79" s="59">
        <f ca="1">AVERAGE(OFFSET($CX$3,0,0,'Données projet'!$E$13+1,1))-AVERAGE(OFFSET($H$3,0,0,'Données projet'!$E$13+1,1))</f>
        <v>622.07867348539082</v>
      </c>
      <c r="CZ79" s="59">
        <f t="shared" si="96"/>
        <v>398.29010684041634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50.795745034186069</v>
      </c>
      <c r="DG79" s="21">
        <f>EXP(-LN(2)/25)*DG78+(1-EXP(-LN(2)/25))/(LN(2)/25)*Calculateur!DB79*Calculateur!DD79*VLOOKUP('Données projet'!$B$13,Paramètres!$A$1:$I$89,3,0)*0.475*44/12</f>
        <v>0</v>
      </c>
      <c r="DH79" s="21">
        <f>EXP(-LN(2)/2)*DH78+(1-EXP(-LN(2)/2))/(LN(2)/2)*DB79*DE79*VLOOKUP('Données projet'!$B$13,Paramètres!$A$1:$I$89,3,0)*0.475*44/12</f>
        <v>0</v>
      </c>
      <c r="DI79" s="22">
        <f t="shared" si="69"/>
        <v>50.795745034186069</v>
      </c>
      <c r="DJ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7.4000000000000057</v>
      </c>
      <c r="DO79" s="12">
        <f>IF('Données projet'!$A$166&gt;35,DO78+DN79-DW78,IF(A79&lt;'Données projet'!$A$166,$DL$205^A79,IF(A79='Données projet'!$A$166,'Données projet'!$B$166,DO78+DN79-DW78)))</f>
        <v>318.39999999999986</v>
      </c>
      <c r="DP79" s="17">
        <f>DO79*VLOOKUP('Données projet'!$B$14,Paramètres!$A$1:$I$89,3,0)*VLOOKUP('Données projet'!$B$14,Paramètres!$A$1:$I$89,5,0)</f>
        <v>302.98943999999989</v>
      </c>
      <c r="DQ79" s="13">
        <f t="shared" si="97"/>
        <v>71.802802809706435</v>
      </c>
      <c r="DR79" s="20">
        <f t="shared" si="70"/>
        <v>652.76315622690504</v>
      </c>
      <c r="DS79" s="59">
        <f t="shared" si="71"/>
        <v>916.616090834018</v>
      </c>
      <c r="DT79" s="59">
        <f ca="1">AVERAGE(OFFSET($DS$3,0,0,'Données projet'!$E$14+1,1))-AVERAGE(OFFSET($H$3,0,0,'Données projet'!$E$14+1,1))</f>
        <v>590.05965493677377</v>
      </c>
      <c r="DU79" s="59">
        <f t="shared" si="98"/>
        <v>378.40640480134505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47.669853032082287</v>
      </c>
      <c r="EB79" s="21">
        <f>EXP(-LN(2)/25)*EB78+(1-EXP(-LN(2)/25))/(LN(2)/25)*Calculateur!DW79*Calculateur!DY79*VLOOKUP('Données projet'!$B$14,Paramètres!$A$1:$I$89,3,0)*0.475*44/12</f>
        <v>0</v>
      </c>
      <c r="EC79" s="21">
        <f>EXP(-LN(2)/2)*EC78+(1-EXP(-LN(2)/2))/(LN(2)/2)*DW79*DZ79*VLOOKUP('Données projet'!$B$14,Paramètres!$A$1:$I$89,3,0)*0.475*44/12</f>
        <v>0</v>
      </c>
      <c r="ED79" s="22">
        <f t="shared" si="72"/>
        <v>47.669853032082287</v>
      </c>
      <c r="EE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61.959891256485356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2">
        <f>'Scénario référence'!$B$16*5+'Scénario référence'!$B$17*0+'Scénario référence'!$B$18*5</f>
        <v>4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14.666666666666666</v>
      </c>
      <c r="H80" s="66">
        <f t="shared" si="56"/>
        <v>159.86666666666667</v>
      </c>
      <c r="I80" s="6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-2.9085640562698246E-14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140.03175887621094</v>
      </c>
      <c r="T80" s="59">
        <f t="shared" si="88"/>
        <v>377.29475975964954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27.841693008496279</v>
      </c>
      <c r="AA80" s="21">
        <f>EXP(-LN(2)/25)*AA79+(1-EXP(-LN(2)/25))/(LN(2)/25)*Calculateur!V80*Calculateur!X80*VLOOKUP('Données projet'!$B$9,Paramètres!$A$1:$I$89,3,0)*0.475*44/12</f>
        <v>0</v>
      </c>
      <c r="AB80" s="21">
        <f>EXP(-LN(2)/2)*AB79+(1-EXP(-LN(2)/2))/(LN(2)/2)*V80*Y80*VLOOKUP('Données projet'!$B$9,Paramètres!$A$1:$I$89,3,0)*0.475*44/12</f>
        <v>2.0659807166423546E-7</v>
      </c>
      <c r="AC80" s="22">
        <f t="shared" si="57"/>
        <v>27.841693215094349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-5.6843418860808015E-14</v>
      </c>
      <c r="AJ80" s="13">
        <f>AI80*VLOOKUP('Données projet'!$B$10,Paramètres!$A$1:$I$89,3,0)*VLOOKUP('Données projet'!$B$10,Paramètres!$A$1:$I$89,5,0)</f>
        <v>-2.8642261895583942E-14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138.27364731587764</v>
      </c>
      <c r="AO80" s="59">
        <f t="shared" si="90"/>
        <v>372.50391467700013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27.417276956537478</v>
      </c>
      <c r="AV80" s="21">
        <f>EXP(-LN(2)/25)*AV79+(1-EXP(-LN(2)/25))/(LN(2)/25)*Calculateur!AQ80*Calculateur!AS80*VLOOKUP('Données projet'!$B$10,Paramètres!$A$1:$I$89,3,0)*0.475*44/12</f>
        <v>0</v>
      </c>
      <c r="AW80" s="21">
        <f>EXP(-LN(2)/2)*AW79+(1-EXP(-LN(2)/2))/(LN(2)/2)*AQ80*AT80*VLOOKUP('Données projet'!$B$10,Paramètres!$A$1:$I$89,3,0)*0.475*44/12</f>
        <v>2.0344871081569508E-7</v>
      </c>
      <c r="AX80" s="21">
        <f t="shared" si="60"/>
        <v>27.417277159986188</v>
      </c>
      <c r="AY80" s="7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7.4000000000000057</v>
      </c>
      <c r="BD80" s="12">
        <f>IF('Données projet'!$A$88&gt;35,BD79+BC80-BL79,IF(A80&lt;'Données projet'!$A$88,$BA$205^A80,IF(A80='Données projet'!$A$88,'Données projet'!$B$88,BD79+BC80-BL79)))</f>
        <v>325.79999999999984</v>
      </c>
      <c r="BE80" s="13">
        <f>BD80*VLOOKUP('Données projet'!$B$11,Paramètres!$A$1:$I$89,3,0)*VLOOKUP('Données projet'!$B$11,Paramètres!$A$1:$I$89,5,0)</f>
        <v>340.52615999999989</v>
      </c>
      <c r="BF80" s="13">
        <f t="shared" si="91"/>
        <v>79.608644623814712</v>
      </c>
      <c r="BG80" s="20">
        <f t="shared" si="61"/>
        <v>731.73478471981036</v>
      </c>
      <c r="BH80" s="59">
        <f t="shared" si="62"/>
        <v>996.09913833652558</v>
      </c>
      <c r="BI80" s="59">
        <f ca="1">AVERAGE(OFFSET($BH$3,0,0,'Données projet'!$E$11+1,1))-AVERAGE(OFFSET($H$3,0,0,'Données projet'!$E$11+1,1))</f>
        <v>638.07304290599211</v>
      </c>
      <c r="BJ80" s="59">
        <f t="shared" si="92"/>
        <v>408.22196233793511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51.331969039685077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51.331969039685077</v>
      </c>
      <c r="BT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7.4000000000000057</v>
      </c>
      <c r="BY80" s="12">
        <f>IF('Données projet'!$A$114&gt;35,BY79+BX80-CG79,IF(A80&lt;'Données projet'!$A$114,$BV$205^A80,IF(A80='Données projet'!$A$114,'Données projet'!$B$114,BY79+BX80-CG79)))</f>
        <v>325.79999999999984</v>
      </c>
      <c r="BZ80" s="13">
        <f>BY80*VLOOKUP('Données projet'!$B$12,Paramètres!$A$1:$I$89,3,0)*VLOOKUP('Données projet'!$B$12,Paramètres!$A$1:$I$89,5,0)</f>
        <v>371.02103999999986</v>
      </c>
      <c r="CA80" s="13">
        <f t="shared" si="93"/>
        <v>85.876159399137123</v>
      </c>
      <c r="CB80" s="20">
        <f t="shared" si="64"/>
        <v>795.76262228683026</v>
      </c>
      <c r="CC80" s="59">
        <f t="shared" si="65"/>
        <v>1060.1269759035454</v>
      </c>
      <c r="CD80" s="59">
        <f ca="1">AVERAGE(OFFSET($CC$3,0,0,'Données projet'!$E$12+1,1))-AVERAGE(OFFSET($H$3,0,0,'Données projet'!$E$12+1,1))</f>
        <v>685.99951993586967</v>
      </c>
      <c r="CE80" s="59">
        <f t="shared" si="94"/>
        <v>437.98014017823095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55.928861789507614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55.928861789507614</v>
      </c>
      <c r="CO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7.4000000000000057</v>
      </c>
      <c r="CT80" s="12">
        <f>IF('Données projet'!$A$140&gt;35,CT79+CS80-DB79,IF(A80&lt;'Données projet'!$A$140,$CQ$205^A80,IF(A80='Données projet'!$A$140,'Données projet'!$B$140,CT79+CS80-DB79)))</f>
        <v>325.79999999999984</v>
      </c>
      <c r="CU80" s="17">
        <f>CT80*VLOOKUP('Données projet'!$B$13,Paramètres!$A$1:$I$89,3,0)*VLOOKUP('Données projet'!$B$13,Paramètres!$A$1:$I$89,5,0)</f>
        <v>330.36119999999983</v>
      </c>
      <c r="CV80" s="13">
        <f t="shared" si="95"/>
        <v>77.505188378771209</v>
      </c>
      <c r="CW80" s="20">
        <f t="shared" si="67"/>
        <v>710.36729309302621</v>
      </c>
      <c r="CX80" s="59">
        <f t="shared" si="68"/>
        <v>974.73164670974143</v>
      </c>
      <c r="CY80" s="59">
        <f ca="1">AVERAGE(OFFSET($CX$3,0,0,'Données projet'!$E$13+1,1))-AVERAGE(OFFSET($H$3,0,0,'Données projet'!$E$13+1,1))</f>
        <v>622.07867348539082</v>
      </c>
      <c r="CZ80" s="59">
        <f t="shared" si="96"/>
        <v>398.29010684041634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49.799671456410898</v>
      </c>
      <c r="DG80" s="21">
        <f>EXP(-LN(2)/25)*DG79+(1-EXP(-LN(2)/25))/(LN(2)/25)*Calculateur!DB80*Calculateur!DD80*VLOOKUP('Données projet'!$B$13,Paramètres!$A$1:$I$89,3,0)*0.475*44/12</f>
        <v>0</v>
      </c>
      <c r="DH80" s="21">
        <f>EXP(-LN(2)/2)*DH79+(1-EXP(-LN(2)/2))/(LN(2)/2)*DB80*DE80*VLOOKUP('Données projet'!$B$13,Paramètres!$A$1:$I$89,3,0)*0.475*44/12</f>
        <v>0</v>
      </c>
      <c r="DI80" s="22">
        <f t="shared" si="69"/>
        <v>49.799671456410898</v>
      </c>
      <c r="DJ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7.4000000000000057</v>
      </c>
      <c r="DO80" s="12">
        <f>IF('Données projet'!$A$166&gt;35,DO79+DN80-DW79,IF(A80&lt;'Données projet'!$A$166,$DL$205^A80,IF(A80='Données projet'!$A$166,'Données projet'!$B$166,DO79+DN80-DW79)))</f>
        <v>325.79999999999984</v>
      </c>
      <c r="DP80" s="17">
        <f>DO80*VLOOKUP('Données projet'!$B$14,Paramètres!$A$1:$I$89,3,0)*VLOOKUP('Données projet'!$B$14,Paramètres!$A$1:$I$89,5,0)</f>
        <v>310.03127999999981</v>
      </c>
      <c r="DQ80" s="13">
        <f t="shared" si="97"/>
        <v>73.275362642397852</v>
      </c>
      <c r="DR80" s="20">
        <f t="shared" si="70"/>
        <v>667.59240260217587</v>
      </c>
      <c r="DS80" s="59">
        <f t="shared" si="71"/>
        <v>931.95675621889109</v>
      </c>
      <c r="DT80" s="59">
        <f ca="1">AVERAGE(OFFSET($DS$3,0,0,'Données projet'!$E$14+1,1))-AVERAGE(OFFSET($H$3,0,0,'Données projet'!$E$14+1,1))</f>
        <v>590.05965493677377</v>
      </c>
      <c r="DU80" s="59">
        <f t="shared" si="98"/>
        <v>378.40640480134505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46.735076289862512</v>
      </c>
      <c r="EB80" s="21">
        <f>EXP(-LN(2)/25)*EB79+(1-EXP(-LN(2)/25))/(LN(2)/25)*Calculateur!DW80*Calculateur!DY80*VLOOKUP('Données projet'!$B$14,Paramètres!$A$1:$I$89,3,0)*0.475*44/12</f>
        <v>0</v>
      </c>
      <c r="EC80" s="21">
        <f>EXP(-LN(2)/2)*EC79+(1-EXP(-LN(2)/2))/(LN(2)/2)*DW80*DZ80*VLOOKUP('Données projet'!$B$14,Paramètres!$A$1:$I$89,3,0)*0.475*44/12</f>
        <v>0</v>
      </c>
      <c r="ED80" s="22">
        <f t="shared" si="72"/>
        <v>46.735076289862512</v>
      </c>
      <c r="EE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62.099369168195032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2">
        <f>'Scénario référence'!$B$16*5+'Scénario référence'!$B$17*0+'Scénario référence'!$B$18*5</f>
        <v>4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14.666666666666666</v>
      </c>
      <c r="H81" s="66">
        <f t="shared" si="56"/>
        <v>159.86666666666667</v>
      </c>
      <c r="I81" s="6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-2.9085640562698246E-14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140.03175887621094</v>
      </c>
      <c r="T81" s="59">
        <f t="shared" si="88"/>
        <v>377.29475975964954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27.295734390355591</v>
      </c>
      <c r="AA81" s="21">
        <f>EXP(-LN(2)/25)*AA80+(1-EXP(-LN(2)/25))/(LN(2)/25)*Calculateur!V81*Calculateur!X81*VLOOKUP('Données projet'!$B$9,Paramètres!$A$1:$I$89,3,0)*0.475*44/12</f>
        <v>0</v>
      </c>
      <c r="AB81" s="21">
        <f>EXP(-LN(2)/2)*AB80+(1-EXP(-LN(2)/2))/(LN(2)/2)*V81*Y81*VLOOKUP('Données projet'!$B$9,Paramètres!$A$1:$I$89,3,0)*0.475*44/12</f>
        <v>1.460868974538452E-7</v>
      </c>
      <c r="AC81" s="22">
        <f t="shared" si="57"/>
        <v>27.295734536442488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-5.6843418860808015E-14</v>
      </c>
      <c r="AJ81" s="13">
        <f>AI81*VLOOKUP('Données projet'!$B$10,Paramètres!$A$1:$I$89,3,0)*VLOOKUP('Données projet'!$B$10,Paramètres!$A$1:$I$89,5,0)</f>
        <v>-2.8642261895583942E-14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138.27364731587764</v>
      </c>
      <c r="AO81" s="59">
        <f t="shared" si="90"/>
        <v>372.50391467700013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26.879640878307473</v>
      </c>
      <c r="AV81" s="21">
        <f>EXP(-LN(2)/25)*AV80+(1-EXP(-LN(2)/25))/(LN(2)/25)*Calculateur!AQ81*Calculateur!AS81*VLOOKUP('Données projet'!$B$10,Paramètres!$A$1:$I$89,3,0)*0.475*44/12</f>
        <v>0</v>
      </c>
      <c r="AW81" s="21">
        <f>EXP(-LN(2)/2)*AW80+(1-EXP(-LN(2)/2))/(LN(2)/2)*AQ81*AT81*VLOOKUP('Données projet'!$B$10,Paramètres!$A$1:$I$89,3,0)*0.475*44/12</f>
        <v>1.4385996304143888E-7</v>
      </c>
      <c r="AX81" s="21">
        <f t="shared" si="60"/>
        <v>26.879641022167437</v>
      </c>
      <c r="AY81" s="7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7.4000000000000057</v>
      </c>
      <c r="BD81" s="12">
        <f>IF('Données projet'!$A$88&gt;35,BD80+BC81-BL80,IF(A81&lt;'Données projet'!$A$88,$BA$205^A81,IF(A81='Données projet'!$A$88,'Données projet'!$B$88,BD80+BC81-BL80)))</f>
        <v>333.19999999999982</v>
      </c>
      <c r="BE81" s="13">
        <f>BD81*VLOOKUP('Données projet'!$B$11,Paramètres!$A$1:$I$89,3,0)*VLOOKUP('Données projet'!$B$11,Paramètres!$A$1:$I$89,5,0)</f>
        <v>348.26063999999985</v>
      </c>
      <c r="BF81" s="13">
        <f t="shared" si="91"/>
        <v>81.204255169185529</v>
      </c>
      <c r="BG81" s="20">
        <f t="shared" si="61"/>
        <v>747.9846924196645</v>
      </c>
      <c r="BH81" s="59">
        <f t="shared" si="62"/>
        <v>1012.8515930695268</v>
      </c>
      <c r="BI81" s="59">
        <f ca="1">AVERAGE(OFFSET($BH$3,0,0,'Données projet'!$E$11+1,1))-AVERAGE(OFFSET($H$3,0,0,'Données projet'!$E$11+1,1))</f>
        <v>638.07304290599211</v>
      </c>
      <c r="BJ81" s="59">
        <f t="shared" si="92"/>
        <v>408.22196233793511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50.325380436226418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50.325380436226418</v>
      </c>
      <c r="BT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7.4000000000000057</v>
      </c>
      <c r="BY81" s="12">
        <f>IF('Données projet'!$A$114&gt;35,BY80+BX81-CG80,IF(A81&lt;'Données projet'!$A$114,$BV$205^A81,IF(A81='Données projet'!$A$114,'Données projet'!$B$114,BY80+BX81-CG80)))</f>
        <v>333.19999999999982</v>
      </c>
      <c r="BZ81" s="13">
        <f>BY81*VLOOKUP('Données projet'!$B$12,Paramètres!$A$1:$I$89,3,0)*VLOOKUP('Données projet'!$B$12,Paramètres!$A$1:$I$89,5,0)</f>
        <v>379.4481599999998</v>
      </c>
      <c r="CA81" s="13">
        <f t="shared" si="93"/>
        <v>87.597390883239271</v>
      </c>
      <c r="CB81" s="20">
        <f t="shared" si="64"/>
        <v>813.43766778830798</v>
      </c>
      <c r="CC81" s="59">
        <f t="shared" si="65"/>
        <v>1078.3045684381702</v>
      </c>
      <c r="CD81" s="59">
        <f ca="1">AVERAGE(OFFSET($CC$3,0,0,'Données projet'!$E$12+1,1))-AVERAGE(OFFSET($H$3,0,0,'Données projet'!$E$12+1,1))</f>
        <v>685.99951993586967</v>
      </c>
      <c r="CE81" s="59">
        <f t="shared" si="94"/>
        <v>437.98014017823095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54.832130923052659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54.832130923052659</v>
      </c>
      <c r="CO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7.4000000000000057</v>
      </c>
      <c r="CT81" s="12">
        <f>IF('Données projet'!$A$140&gt;35,CT80+CS81-DB80,IF(A81&lt;'Données projet'!$A$140,$CQ$205^A81,IF(A81='Données projet'!$A$140,'Données projet'!$B$140,CT80+CS81-DB80)))</f>
        <v>333.19999999999982</v>
      </c>
      <c r="CU81" s="17">
        <f>CT81*VLOOKUP('Données projet'!$B$13,Paramètres!$A$1:$I$89,3,0)*VLOOKUP('Données projet'!$B$13,Paramètres!$A$1:$I$89,5,0)</f>
        <v>337.86479999999983</v>
      </c>
      <c r="CV81" s="13">
        <f t="shared" si="95"/>
        <v>79.058638967994327</v>
      </c>
      <c r="CW81" s="20">
        <f t="shared" si="67"/>
        <v>726.14165620258984</v>
      </c>
      <c r="CX81" s="59">
        <f t="shared" si="68"/>
        <v>991.0085568524521</v>
      </c>
      <c r="CY81" s="59">
        <f ca="1">AVERAGE(OFFSET($CX$3,0,0,'Données projet'!$E$13+1,1))-AVERAGE(OFFSET($H$3,0,0,'Données projet'!$E$13+1,1))</f>
        <v>622.07867348539082</v>
      </c>
      <c r="CZ81" s="59">
        <f t="shared" si="96"/>
        <v>398.29010684041634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48.823130273951008</v>
      </c>
      <c r="DG81" s="21">
        <f>EXP(-LN(2)/25)*DG80+(1-EXP(-LN(2)/25))/(LN(2)/25)*Calculateur!DB81*Calculateur!DD81*VLOOKUP('Données projet'!$B$13,Paramètres!$A$1:$I$89,3,0)*0.475*44/12</f>
        <v>0</v>
      </c>
      <c r="DH81" s="21">
        <f>EXP(-LN(2)/2)*DH80+(1-EXP(-LN(2)/2))/(LN(2)/2)*DB81*DE81*VLOOKUP('Données projet'!$B$13,Paramètres!$A$1:$I$89,3,0)*0.475*44/12</f>
        <v>0</v>
      </c>
      <c r="DI81" s="22">
        <f t="shared" si="69"/>
        <v>48.823130273951008</v>
      </c>
      <c r="DJ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7.4000000000000057</v>
      </c>
      <c r="DO81" s="12">
        <f>IF('Données projet'!$A$166&gt;35,DO80+DN81-DW80,IF(A81&lt;'Données projet'!$A$166,$DL$205^A81,IF(A81='Données projet'!$A$166,'Données projet'!$B$166,DO80+DN81-DW80)))</f>
        <v>333.19999999999982</v>
      </c>
      <c r="DP81" s="17">
        <f>DO81*VLOOKUP('Données projet'!$B$14,Paramètres!$A$1:$I$89,3,0)*VLOOKUP('Données projet'!$B$14,Paramètres!$A$1:$I$89,5,0)</f>
        <v>317.07311999999985</v>
      </c>
      <c r="DQ81" s="13">
        <f t="shared" si="97"/>
        <v>74.744034064962307</v>
      </c>
      <c r="DR81" s="20">
        <f t="shared" si="70"/>
        <v>682.41487666314242</v>
      </c>
      <c r="DS81" s="59">
        <f t="shared" si="71"/>
        <v>947.28177731300468</v>
      </c>
      <c r="DT81" s="59">
        <f ca="1">AVERAGE(OFFSET($DS$3,0,0,'Données projet'!$E$14+1,1))-AVERAGE(OFFSET($H$3,0,0,'Données projet'!$E$14+1,1))</f>
        <v>590.05965493677377</v>
      </c>
      <c r="DU81" s="59">
        <f t="shared" si="98"/>
        <v>378.40640480134505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45.818629949400155</v>
      </c>
      <c r="EB81" s="21">
        <f>EXP(-LN(2)/25)*EB80+(1-EXP(-LN(2)/25))/(LN(2)/25)*Calculateur!DW81*Calculateur!DY81*VLOOKUP('Données projet'!$B$14,Paramètres!$A$1:$I$89,3,0)*0.475*44/12</f>
        <v>0</v>
      </c>
      <c r="EC81" s="21">
        <f>EXP(-LN(2)/2)*EC80+(1-EXP(-LN(2)/2))/(LN(2)/2)*DW81*DZ81*VLOOKUP('Données projet'!$B$14,Paramètres!$A$1:$I$89,3,0)*0.475*44/12</f>
        <v>0</v>
      </c>
      <c r="ED81" s="22">
        <f t="shared" si="72"/>
        <v>45.818629949400155</v>
      </c>
      <c r="EE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62.236427449962441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2">
        <f>'Scénario référence'!$B$16*5+'Scénario référence'!$B$17*0+'Scénario référence'!$B$18*5</f>
        <v>4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14.666666666666666</v>
      </c>
      <c r="H82" s="66">
        <f t="shared" si="56"/>
        <v>159.86666666666667</v>
      </c>
      <c r="I82" s="6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-2.9085640562698246E-14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140.03175887621094</v>
      </c>
      <c r="T82" s="59">
        <f t="shared" si="88"/>
        <v>377.29475975964954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26.760481687714769</v>
      </c>
      <c r="AA82" s="21">
        <f>EXP(-LN(2)/25)*AA81+(1-EXP(-LN(2)/25))/(LN(2)/25)*Calculateur!V82*Calculateur!X82*VLOOKUP('Données projet'!$B$9,Paramètres!$A$1:$I$89,3,0)*0.475*44/12</f>
        <v>0</v>
      </c>
      <c r="AB82" s="21">
        <f>EXP(-LN(2)/2)*AB81+(1-EXP(-LN(2)/2))/(LN(2)/2)*V82*Y82*VLOOKUP('Données projet'!$B$9,Paramètres!$A$1:$I$89,3,0)*0.475*44/12</f>
        <v>1.0329903583211773E-7</v>
      </c>
      <c r="AC82" s="22">
        <f t="shared" si="57"/>
        <v>26.760481791013806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-5.6843418860808015E-14</v>
      </c>
      <c r="AJ82" s="13">
        <f>AI82*VLOOKUP('Données projet'!$B$10,Paramètres!$A$1:$I$89,3,0)*VLOOKUP('Données projet'!$B$10,Paramètres!$A$1:$I$89,5,0)</f>
        <v>-2.8642261895583942E-14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138.27364731587764</v>
      </c>
      <c r="AO82" s="59">
        <f t="shared" si="90"/>
        <v>372.50391467700013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26.352547515645931</v>
      </c>
      <c r="AV82" s="21">
        <f>EXP(-LN(2)/25)*AV81+(1-EXP(-LN(2)/25))/(LN(2)/25)*Calculateur!AQ82*Calculateur!AS82*VLOOKUP('Données projet'!$B$10,Paramètres!$A$1:$I$89,3,0)*0.475*44/12</f>
        <v>0</v>
      </c>
      <c r="AW82" s="21">
        <f>EXP(-LN(2)/2)*AW81+(1-EXP(-LN(2)/2))/(LN(2)/2)*AQ82*AT82*VLOOKUP('Données projet'!$B$10,Paramètres!$A$1:$I$89,3,0)*0.475*44/12</f>
        <v>1.0172435540784754E-7</v>
      </c>
      <c r="AX82" s="21">
        <f t="shared" si="60"/>
        <v>26.352547617370288</v>
      </c>
      <c r="AY82" s="7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7.4000000000000057</v>
      </c>
      <c r="BD82" s="12">
        <f>IF('Données projet'!$A$88&gt;35,BD81+BC82-BL81,IF(A82&lt;'Données projet'!$A$88,$BA$205^A82,IF(A82='Données projet'!$A$88,'Données projet'!$B$88,BD81+BC82-BL81)))</f>
        <v>340.5999999999998</v>
      </c>
      <c r="BE82" s="13">
        <f>BD82*VLOOKUP('Données projet'!$B$11,Paramètres!$A$1:$I$89,3,0)*VLOOKUP('Données projet'!$B$11,Paramètres!$A$1:$I$89,5,0)</f>
        <v>355.99511999999982</v>
      </c>
      <c r="BF82" s="13">
        <f t="shared" si="91"/>
        <v>82.795745848350293</v>
      </c>
      <c r="BG82" s="20">
        <f t="shared" si="61"/>
        <v>764.22742468587649</v>
      </c>
      <c r="BH82" s="59">
        <f t="shared" si="62"/>
        <v>1029.5881543013877</v>
      </c>
      <c r="BI82" s="59">
        <f ca="1">AVERAGE(OFFSET($BH$3,0,0,'Données projet'!$E$11+1,1))-AVERAGE(OFFSET($H$3,0,0,'Données projet'!$E$11+1,1))</f>
        <v>638.07304290599211</v>
      </c>
      <c r="BJ82" s="59">
        <f t="shared" si="92"/>
        <v>408.22196233793511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49.338530421323156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49.338530421323156</v>
      </c>
      <c r="BT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7.4000000000000057</v>
      </c>
      <c r="BY82" s="12">
        <f>IF('Données projet'!$A$114&gt;35,BY81+BX82-CG81,IF(A82&lt;'Données projet'!$A$114,$BV$205^A82,IF(A82='Données projet'!$A$114,'Données projet'!$B$114,BY81+BX82-CG81)))</f>
        <v>340.5999999999998</v>
      </c>
      <c r="BZ82" s="13">
        <f>BY82*VLOOKUP('Données projet'!$B$12,Paramètres!$A$1:$I$89,3,0)*VLOOKUP('Données projet'!$B$12,Paramètres!$A$1:$I$89,5,0)</f>
        <v>387.87527999999975</v>
      </c>
      <c r="CA82" s="13">
        <f t="shared" si="93"/>
        <v>89.314178147888967</v>
      </c>
      <c r="CB82" s="20">
        <f t="shared" si="64"/>
        <v>831.10497294090612</v>
      </c>
      <c r="CC82" s="59">
        <f t="shared" si="65"/>
        <v>1096.4657025564172</v>
      </c>
      <c r="CD82" s="59">
        <f ca="1">AVERAGE(OFFSET($CC$3,0,0,'Données projet'!$E$12+1,1))-AVERAGE(OFFSET($H$3,0,0,'Données projet'!$E$12+1,1))</f>
        <v>685.99951993586967</v>
      </c>
      <c r="CE82" s="59">
        <f t="shared" si="94"/>
        <v>437.98014017823095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53.756906279949106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53.756906279949106</v>
      </c>
      <c r="CO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7.4000000000000057</v>
      </c>
      <c r="CT82" s="12">
        <f>IF('Données projet'!$A$140&gt;35,CT81+CS82-DB81,IF(A82&lt;'Données projet'!$A$140,$CQ$205^A82,IF(A82='Données projet'!$A$140,'Données projet'!$B$140,CT81+CS82-DB81)))</f>
        <v>340.5999999999998</v>
      </c>
      <c r="CU82" s="17">
        <f>CT82*VLOOKUP('Données projet'!$B$13,Paramètres!$A$1:$I$89,3,0)*VLOOKUP('Données projet'!$B$13,Paramètres!$A$1:$I$89,5,0)</f>
        <v>345.36839999999984</v>
      </c>
      <c r="CV82" s="13">
        <f t="shared" si="95"/>
        <v>80.60807854801223</v>
      </c>
      <c r="CW82" s="20">
        <f t="shared" si="67"/>
        <v>741.90903347112101</v>
      </c>
      <c r="CX82" s="59">
        <f t="shared" si="68"/>
        <v>1007.2697630866321</v>
      </c>
      <c r="CY82" s="59">
        <f ca="1">AVERAGE(OFFSET($CX$3,0,0,'Données projet'!$E$13+1,1))-AVERAGE(OFFSET($H$3,0,0,'Données projet'!$E$13+1,1))</f>
        <v>622.07867348539082</v>
      </c>
      <c r="CZ82" s="59">
        <f t="shared" si="96"/>
        <v>398.29010684041634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47.865738468447844</v>
      </c>
      <c r="DG82" s="21">
        <f>EXP(-LN(2)/25)*DG81+(1-EXP(-LN(2)/25))/(LN(2)/25)*Calculateur!DB82*Calculateur!DD82*VLOOKUP('Données projet'!$B$13,Paramètres!$A$1:$I$89,3,0)*0.475*44/12</f>
        <v>0</v>
      </c>
      <c r="DH82" s="21">
        <f>EXP(-LN(2)/2)*DH81+(1-EXP(-LN(2)/2))/(LN(2)/2)*DB82*DE82*VLOOKUP('Données projet'!$B$13,Paramètres!$A$1:$I$89,3,0)*0.475*44/12</f>
        <v>0</v>
      </c>
      <c r="DI82" s="22">
        <f t="shared" si="69"/>
        <v>47.865738468447844</v>
      </c>
      <c r="DJ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7.4000000000000057</v>
      </c>
      <c r="DO82" s="12">
        <f>IF('Données projet'!$A$166&gt;35,DO81+DN82-DW81,IF(A82&lt;'Données projet'!$A$166,$DL$205^A82,IF(A82='Données projet'!$A$166,'Données projet'!$B$166,DO81+DN82-DW81)))</f>
        <v>340.5999999999998</v>
      </c>
      <c r="DP82" s="17">
        <f>DO82*VLOOKUP('Données projet'!$B$14,Paramètres!$A$1:$I$89,3,0)*VLOOKUP('Données projet'!$B$14,Paramètres!$A$1:$I$89,5,0)</f>
        <v>324.11495999999983</v>
      </c>
      <c r="DQ82" s="13">
        <f t="shared" si="97"/>
        <v>76.208913378117998</v>
      </c>
      <c r="DR82" s="20">
        <f t="shared" si="70"/>
        <v>697.23074613355527</v>
      </c>
      <c r="DS82" s="59">
        <f t="shared" si="71"/>
        <v>962.59147574906638</v>
      </c>
      <c r="DT82" s="59">
        <f ca="1">AVERAGE(OFFSET($DS$3,0,0,'Données projet'!$E$14+1,1))-AVERAGE(OFFSET($H$3,0,0,'Données projet'!$E$14+1,1))</f>
        <v>590.05965493677377</v>
      </c>
      <c r="DU82" s="59">
        <f t="shared" si="98"/>
        <v>378.40640480134505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44.920154562697192</v>
      </c>
      <c r="EB82" s="21">
        <f>EXP(-LN(2)/25)*EB81+(1-EXP(-LN(2)/25))/(LN(2)/25)*Calculateur!DW82*Calculateur!DY82*VLOOKUP('Données projet'!$B$14,Paramètres!$A$1:$I$89,3,0)*0.475*44/12</f>
        <v>0</v>
      </c>
      <c r="EC82" s="21">
        <f>EXP(-LN(2)/2)*EC81+(1-EXP(-LN(2)/2))/(LN(2)/2)*DW82*DZ82*VLOOKUP('Données projet'!$B$14,Paramètres!$A$1:$I$89,3,0)*0.475*44/12</f>
        <v>0</v>
      </c>
      <c r="ED82" s="22">
        <f t="shared" si="72"/>
        <v>44.920154562697192</v>
      </c>
      <c r="EE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62.371108076957597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2">
        <f>'Scénario référence'!$B$16*5+'Scénario référence'!$B$17*0+'Scénario référence'!$B$18*5</f>
        <v>4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14.666666666666666</v>
      </c>
      <c r="H83" s="66">
        <f t="shared" si="56"/>
        <v>159.86666666666667</v>
      </c>
      <c r="I83" s="6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-2.9085640562698246E-14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140.03175887621094</v>
      </c>
      <c r="T83" s="59">
        <f t="shared" si="88"/>
        <v>377.29475975964954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26.235724964100822</v>
      </c>
      <c r="AA83" s="21">
        <f>EXP(-LN(2)/25)*AA82+(1-EXP(-LN(2)/25))/(LN(2)/25)*Calculateur!V83*Calculateur!X83*VLOOKUP('Données projet'!$B$9,Paramètres!$A$1:$I$89,3,0)*0.475*44/12</f>
        <v>0</v>
      </c>
      <c r="AB83" s="21">
        <f>EXP(-LN(2)/2)*AB82+(1-EXP(-LN(2)/2))/(LN(2)/2)*V83*Y83*VLOOKUP('Données projet'!$B$9,Paramètres!$A$1:$I$89,3,0)*0.475*44/12</f>
        <v>7.3043448726922602E-8</v>
      </c>
      <c r="AC83" s="22">
        <f t="shared" si="57"/>
        <v>26.23572503714427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-5.6843418860808015E-14</v>
      </c>
      <c r="AJ83" s="13">
        <f>AI83*VLOOKUP('Données projet'!$B$10,Paramètres!$A$1:$I$89,3,0)*VLOOKUP('Données projet'!$B$10,Paramètres!$A$1:$I$89,5,0)</f>
        <v>-2.8642261895583942E-14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138.27364731587764</v>
      </c>
      <c r="AO83" s="59">
        <f t="shared" si="90"/>
        <v>372.50391467700013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25.835790132330974</v>
      </c>
      <c r="AV83" s="21">
        <f>EXP(-LN(2)/25)*AV82+(1-EXP(-LN(2)/25))/(LN(2)/25)*Calculateur!AQ83*Calculateur!AS83*VLOOKUP('Données projet'!$B$10,Paramètres!$A$1:$I$89,3,0)*0.475*44/12</f>
        <v>0</v>
      </c>
      <c r="AW83" s="21">
        <f>EXP(-LN(2)/2)*AW82+(1-EXP(-LN(2)/2))/(LN(2)/2)*AQ83*AT83*VLOOKUP('Données projet'!$B$10,Paramètres!$A$1:$I$89,3,0)*0.475*44/12</f>
        <v>7.192998152071944E-8</v>
      </c>
      <c r="AX83" s="21">
        <f t="shared" si="60"/>
        <v>25.835790204260956</v>
      </c>
      <c r="AY83" s="7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348.00000000000006</v>
      </c>
      <c r="BB83" s="12">
        <f>VLOOKUP(A83,'Données projet'!$A$87:$I$107,9,0)</f>
        <v>7.4000000000000057</v>
      </c>
      <c r="BC83" s="12">
        <f t="array" ref="BC83">INDEX(BB:BB,MIN(IF(ISNUMBER(BB83:BB279),ROW(BB83:BB279),"")))</f>
        <v>7.4000000000000057</v>
      </c>
      <c r="BD83" s="12">
        <f>IF('Données projet'!$A$88&gt;35,BD82+BC83-BL82,IF(A83&lt;'Données projet'!$A$88,$BA$205^A83,IF(A83='Données projet'!$A$88,'Données projet'!$B$88,BD82+BC83-BL82)))</f>
        <v>347.99999999999977</v>
      </c>
      <c r="BE83" s="13">
        <f>BD83*VLOOKUP('Données projet'!$B$11,Paramètres!$A$1:$I$89,3,0)*VLOOKUP('Données projet'!$B$11,Paramètres!$A$1:$I$89,5,0)</f>
        <v>363.72959999999978</v>
      </c>
      <c r="BF83" s="13">
        <f t="shared" si="91"/>
        <v>84.383216479569171</v>
      </c>
      <c r="BG83" s="20">
        <f t="shared" si="61"/>
        <v>780.46315536858265</v>
      </c>
      <c r="BH83" s="59">
        <f t="shared" si="62"/>
        <v>1046.3091471212249</v>
      </c>
      <c r="BI83" s="59">
        <f ca="1">AVERAGE(OFFSET($BH$3,0,0,'Données projet'!$E$11+1,1))-AVERAGE(OFFSET($H$3,0,0,'Données projet'!$E$11+1,1))</f>
        <v>638.07304290599211</v>
      </c>
      <c r="BJ83" s="59">
        <f t="shared" si="92"/>
        <v>408.22196233793511</v>
      </c>
      <c r="BK83" s="15">
        <f>IF(ISNA(VLOOKUP(A83,'Données projet'!$A$87:$I$107,3,0)),0,VLOOKUP(A83,'Données projet'!$A$87:$I$107,3,0))</f>
        <v>7</v>
      </c>
      <c r="BL83" s="21">
        <f>IF(ISNA(VLOOKUP(A83,'Données projet'!$A$87:$I$107,4,0)),0,VLOOKUP(A83,'Données projet'!$A$87:$I$107,4,0))</f>
        <v>56</v>
      </c>
      <c r="BM83" s="16">
        <f>IF(ISNA(VLOOKUP(A83,'Données projet'!$A$87:$I$107,5,0)),0%,VLOOKUP(A83,'Données projet'!$A$87:$I$107,5,0)*VLOOKUP('Données projet'!$B$11,Paramètres!$A$1:$I$89,7,0))</f>
        <v>0.36549999999999999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72.020529562891767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72.020529562891767</v>
      </c>
      <c r="BT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348.00000000000006</v>
      </c>
      <c r="BW83" s="12">
        <f>VLOOKUP(A83,'Données projet'!$A$113:$I$133,9,0)</f>
        <v>7.4000000000000057</v>
      </c>
      <c r="BX83" s="12">
        <f t="array" ref="BX83">INDEX(BW:BW,MIN(IF(ISNUMBER(BW83:BW279),ROW(BW83:BW279),"")))</f>
        <v>7.4000000000000057</v>
      </c>
      <c r="BY83" s="12">
        <f>IF('Données projet'!$A$114&gt;35,BY82+BX83-CG82,IF(A83&lt;'Données projet'!$A$114,$BV$205^A83,IF(A83='Données projet'!$A$114,'Données projet'!$B$114,BY82+BX83-CG82)))</f>
        <v>347.99999999999977</v>
      </c>
      <c r="BZ83" s="13">
        <f>BY83*VLOOKUP('Données projet'!$B$12,Paramètres!$A$1:$I$89,3,0)*VLOOKUP('Données projet'!$B$12,Paramètres!$A$1:$I$89,5,0)</f>
        <v>396.30239999999975</v>
      </c>
      <c r="CA83" s="13">
        <f t="shared" si="93"/>
        <v>91.026628869945668</v>
      </c>
      <c r="CB83" s="20">
        <f t="shared" si="64"/>
        <v>848.7647252818216</v>
      </c>
      <c r="CC83" s="59">
        <f t="shared" si="65"/>
        <v>1114.610717034464</v>
      </c>
      <c r="CD83" s="59">
        <f ca="1">AVERAGE(OFFSET($CC$3,0,0,'Données projet'!$E$12+1,1))-AVERAGE(OFFSET($H$3,0,0,'Données projet'!$E$12+1,1))</f>
        <v>685.99951993586967</v>
      </c>
      <c r="CE83" s="59">
        <f t="shared" si="94"/>
        <v>437.98014017823095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56</v>
      </c>
      <c r="CH83" s="16">
        <f>IF(ISNA(VLOOKUP(A83,'Données projet'!$A$113:$I$133,5,0)),0%,VLOOKUP(A83,'Données projet'!$A$113:$I$133,5,0)*VLOOKUP('Données projet'!$B$12,Paramètres!$A$1:$I$89,7,0))</f>
        <v>0.36549999999999999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78.470129225240285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78.470129225240285</v>
      </c>
      <c r="CO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348.00000000000006</v>
      </c>
      <c r="CR83" s="12">
        <f>VLOOKUP(A83,'Données projet'!$A$139:$I$159,9,0)</f>
        <v>7.4000000000000057</v>
      </c>
      <c r="CS83" s="12">
        <f t="array" ref="CS83">INDEX(CR:CR,MIN(IF(ISNUMBER(CR83:CR279),ROW(CR83:CR279),"")))</f>
        <v>7.4000000000000057</v>
      </c>
      <c r="CT83" s="12">
        <f>IF('Données projet'!$A$140&gt;35,CT82+CS83-DB82,IF(A83&lt;'Données projet'!$A$140,$CQ$205^A83,IF(A83='Données projet'!$A$140,'Données projet'!$B$140,CT82+CS83-DB82)))</f>
        <v>347.99999999999977</v>
      </c>
      <c r="CU83" s="17">
        <f>CT83*VLOOKUP('Données projet'!$B$13,Paramètres!$A$1:$I$89,3,0)*VLOOKUP('Données projet'!$B$13,Paramètres!$A$1:$I$89,5,0)</f>
        <v>352.87199999999979</v>
      </c>
      <c r="CV83" s="13">
        <f t="shared" si="95"/>
        <v>82.153604299641287</v>
      </c>
      <c r="CW83" s="20">
        <f t="shared" si="67"/>
        <v>757.6695941552083</v>
      </c>
      <c r="CX83" s="59">
        <f t="shared" si="68"/>
        <v>1023.5155859078507</v>
      </c>
      <c r="CY83" s="59">
        <f ca="1">AVERAGE(OFFSET($CX$3,0,0,'Données projet'!$E$13+1,1))-AVERAGE(OFFSET($H$3,0,0,'Données projet'!$E$13+1,1))</f>
        <v>622.07867348539082</v>
      </c>
      <c r="CZ83" s="59">
        <f t="shared" si="96"/>
        <v>398.29010684041634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56</v>
      </c>
      <c r="DC83" s="16">
        <f>IF(ISNA(VLOOKUP(A83,'Données projet'!$A$139:$I$159,5,0)),0%,VLOOKUP(A83,'Données projet'!$A$139:$I$159,5,0)*VLOOKUP('Données projet'!$B$13,Paramètres!$A$1:$I$89,7,0))</f>
        <v>0.36549999999999999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69.870663008775608</v>
      </c>
      <c r="DG83" s="21">
        <f>EXP(-LN(2)/25)*DG82+(1-EXP(-LN(2)/25))/(LN(2)/25)*Calculateur!DB83*Calculateur!DD83*VLOOKUP('Données projet'!$B$13,Paramètres!$A$1:$I$89,3,0)*0.475*44/12</f>
        <v>0</v>
      </c>
      <c r="DH83" s="21">
        <f>EXP(-LN(2)/2)*DH82+(1-EXP(-LN(2)/2))/(LN(2)/2)*DB83*DE83*VLOOKUP('Données projet'!$B$13,Paramètres!$A$1:$I$89,3,0)*0.475*44/12</f>
        <v>0</v>
      </c>
      <c r="DI83" s="22">
        <f t="shared" si="69"/>
        <v>69.870663008775608</v>
      </c>
      <c r="DJ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348.00000000000006</v>
      </c>
      <c r="DM83" s="12">
        <f>VLOOKUP(A83,'Données projet'!$A$165:$I$185,9,0)</f>
        <v>7.4000000000000057</v>
      </c>
      <c r="DN83" s="12">
        <f t="array" ref="DN83">INDEX(DM:DM,MIN(IF(ISNUMBER(DM83:DM279),ROW(DM83:DM279),"")))</f>
        <v>7.4000000000000057</v>
      </c>
      <c r="DO83" s="12">
        <f>IF('Données projet'!$A$166&gt;35,DO82+DN83-DW82,IF(A83&lt;'Données projet'!$A$166,$DL$205^A83,IF(A83='Données projet'!$A$166,'Données projet'!$B$166,DO82+DN83-DW82)))</f>
        <v>347.99999999999977</v>
      </c>
      <c r="DP83" s="17">
        <f>DO83*VLOOKUP('Données projet'!$B$14,Paramètres!$A$1:$I$89,3,0)*VLOOKUP('Données projet'!$B$14,Paramètres!$A$1:$I$89,5,0)</f>
        <v>331.15679999999981</v>
      </c>
      <c r="DQ83" s="13">
        <f t="shared" si="97"/>
        <v>77.67009245906327</v>
      </c>
      <c r="DR83" s="20">
        <f t="shared" si="70"/>
        <v>712.04017103286822</v>
      </c>
      <c r="DS83" s="59">
        <f t="shared" si="71"/>
        <v>977.88616278551058</v>
      </c>
      <c r="DT83" s="59">
        <f ca="1">AVERAGE(OFFSET($DS$3,0,0,'Données projet'!$E$14+1,1))-AVERAGE(OFFSET($H$3,0,0,'Données projet'!$E$14+1,1))</f>
        <v>590.05965493677377</v>
      </c>
      <c r="DU83" s="59">
        <f t="shared" si="98"/>
        <v>378.40640480134505</v>
      </c>
      <c r="DV83" s="15">
        <f>IF(ISNA(VLOOKUP(A83,'Données projet'!$A$165:$I$185,3,0)),0,VLOOKUP(A83,'Données projet'!$A$165:$I$185,3,0))</f>
        <v>7</v>
      </c>
      <c r="DW83" s="15">
        <f>IF(ISNA(VLOOKUP(A83,'Données projet'!$A$165:$I$185,4,0)),0,VLOOKUP(A83,'Données projet'!$A$165:$I$185,4,0))</f>
        <v>56</v>
      </c>
      <c r="DX83" s="16">
        <f>IF(ISNA(VLOOKUP(A83,'Données projet'!$A$165:$I$185,5,0)),0%,VLOOKUP(A83,'Données projet'!$A$165:$I$185,5,0)*VLOOKUP('Données projet'!$B$14,Paramètres!$A$1:$I$89,7,0))</f>
        <v>0.36549999999999999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65.570929900543248</v>
      </c>
      <c r="EB83" s="21">
        <f>EXP(-LN(2)/25)*EB82+(1-EXP(-LN(2)/25))/(LN(2)/25)*Calculateur!DW83*Calculateur!DY83*VLOOKUP('Données projet'!$B$14,Paramètres!$A$1:$I$89,3,0)*0.475*44/12</f>
        <v>0</v>
      </c>
      <c r="EC83" s="21">
        <f>EXP(-LN(2)/2)*EC82+(1-EXP(-LN(2)/2))/(LN(2)/2)*DW83*DZ83*VLOOKUP('Données projet'!$B$14,Paramètres!$A$1:$I$89,3,0)*0.475*44/12</f>
        <v>0</v>
      </c>
      <c r="ED83" s="22">
        <f t="shared" si="72"/>
        <v>65.570929900543248</v>
      </c>
      <c r="EE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62.503452296175169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2">
        <f>'Scénario référence'!$B$16*5+'Scénario référence'!$B$17*0+'Scénario référence'!$B$18*5</f>
        <v>4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14.666666666666666</v>
      </c>
      <c r="H84" s="66">
        <f t="shared" si="56"/>
        <v>159.86666666666667</v>
      </c>
      <c r="I84" s="6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-2.9085640562698246E-14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140.03175887621094</v>
      </c>
      <c r="T84" s="59">
        <f t="shared" si="88"/>
        <v>377.29475975964954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25.721258399766946</v>
      </c>
      <c r="AA84" s="21">
        <f>EXP(-LN(2)/25)*AA83+(1-EXP(-LN(2)/25))/(LN(2)/25)*Calculateur!V84*Calculateur!X84*VLOOKUP('Données projet'!$B$9,Paramètres!$A$1:$I$89,3,0)*0.475*44/12</f>
        <v>0</v>
      </c>
      <c r="AB84" s="21">
        <f>EXP(-LN(2)/2)*AB83+(1-EXP(-LN(2)/2))/(LN(2)/2)*V84*Y84*VLOOKUP('Données projet'!$B$9,Paramètres!$A$1:$I$89,3,0)*0.475*44/12</f>
        <v>5.1649517916058864E-8</v>
      </c>
      <c r="AC84" s="22">
        <f t="shared" si="57"/>
        <v>25.721258451416464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-5.6843418860808015E-14</v>
      </c>
      <c r="AJ84" s="13">
        <f>AI84*VLOOKUP('Données projet'!$B$10,Paramètres!$A$1:$I$89,3,0)*VLOOKUP('Données projet'!$B$10,Paramètres!$A$1:$I$89,5,0)</f>
        <v>-2.8642261895583942E-14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138.27364731587764</v>
      </c>
      <c r="AO84" s="59">
        <f t="shared" si="90"/>
        <v>372.50391467700013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25.329166046111943</v>
      </c>
      <c r="AV84" s="21">
        <f>EXP(-LN(2)/25)*AV83+(1-EXP(-LN(2)/25))/(LN(2)/25)*Calculateur!AQ84*Calculateur!AS84*VLOOKUP('Données projet'!$B$10,Paramètres!$A$1:$I$89,3,0)*0.475*44/12</f>
        <v>0</v>
      </c>
      <c r="AW84" s="21">
        <f>EXP(-LN(2)/2)*AW83+(1-EXP(-LN(2)/2))/(LN(2)/2)*AQ84*AT84*VLOOKUP('Données projet'!$B$10,Paramètres!$A$1:$I$89,3,0)*0.475*44/12</f>
        <v>5.0862177703923769E-8</v>
      </c>
      <c r="AX84" s="21">
        <f t="shared" si="60"/>
        <v>25.32916609697412</v>
      </c>
      <c r="AY84" s="7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6.6</v>
      </c>
      <c r="BD84" s="12">
        <f>IF('Données projet'!$A$88&gt;35,BD83+BC84-BL83,IF(A84&lt;'Données projet'!$A$88,$BA$205^A84,IF(A84='Données projet'!$A$88,'Données projet'!$B$88,BD83+BC84-BL83)))</f>
        <v>298.5999999999998</v>
      </c>
      <c r="BE84" s="13">
        <f>BD84*VLOOKUP('Données projet'!$B$11,Paramètres!$A$1:$I$89,3,0)*VLOOKUP('Données projet'!$B$11,Paramètres!$A$1:$I$89,5,0)</f>
        <v>312.09671999999983</v>
      </c>
      <c r="BF84" s="13">
        <f t="shared" si="91"/>
        <v>73.706536824310376</v>
      </c>
      <c r="BG84" s="20">
        <f t="shared" si="61"/>
        <v>671.9406723023402</v>
      </c>
      <c r="BH84" s="59">
        <f t="shared" si="62"/>
        <v>938.26350797891791</v>
      </c>
      <c r="BI84" s="59">
        <f ca="1">AVERAGE(OFFSET($BH$3,0,0,'Données projet'!$E$11+1,1))-AVERAGE(OFFSET($H$3,0,0,'Données projet'!$E$11+1,1))</f>
        <v>638.07304290599211</v>
      </c>
      <c r="BJ84" s="59">
        <f t="shared" si="92"/>
        <v>408.22196233793511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70.608250906348943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70.608250906348943</v>
      </c>
      <c r="BT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298.5999999999998</v>
      </c>
      <c r="BZ84" s="13">
        <f>BY84*VLOOKUP('Données projet'!$B$12,Paramètres!$A$1:$I$89,3,0)*VLOOKUP('Données projet'!$B$12,Paramètres!$A$1:$I$89,5,0)</f>
        <v>340.04567999999978</v>
      </c>
      <c r="CA84" s="13">
        <f t="shared" si="93"/>
        <v>79.50938412521792</v>
      </c>
      <c r="CB84" s="20">
        <f t="shared" si="64"/>
        <v>730.72507001808754</v>
      </c>
      <c r="CC84" s="59">
        <f t="shared" si="65"/>
        <v>997.04790569466536</v>
      </c>
      <c r="CD84" s="59">
        <f ca="1">AVERAGE(OFFSET($CC$3,0,0,'Données projet'!$E$12+1,1))-AVERAGE(OFFSET($H$3,0,0,'Données projet'!$E$12+1,1))</f>
        <v>685.99951993586967</v>
      </c>
      <c r="CE84" s="59">
        <f t="shared" si="94"/>
        <v>437.98014017823095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76.931377853186163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76.931377853186163</v>
      </c>
      <c r="CO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6.6</v>
      </c>
      <c r="CT84" s="12">
        <f>IF('Données projet'!$A$140&gt;35,CT83+CS84-DB83,IF(A84&lt;'Données projet'!$A$140,$CQ$205^A84,IF(A84='Données projet'!$A$140,'Données projet'!$B$140,CT83+CS84-DB83)))</f>
        <v>298.5999999999998</v>
      </c>
      <c r="CU84" s="17">
        <f>CT84*VLOOKUP('Données projet'!$B$13,Paramètres!$A$1:$I$89,3,0)*VLOOKUP('Données projet'!$B$13,Paramètres!$A$1:$I$89,5,0)</f>
        <v>302.78039999999982</v>
      </c>
      <c r="CV84" s="13">
        <f t="shared" si="95"/>
        <v>71.75902878776165</v>
      </c>
      <c r="CW84" s="20">
        <f t="shared" si="67"/>
        <v>652.32283847201791</v>
      </c>
      <c r="CX84" s="59">
        <f t="shared" si="68"/>
        <v>918.64567414859562</v>
      </c>
      <c r="CY84" s="59">
        <f ca="1">AVERAGE(OFFSET($CX$3,0,0,'Données projet'!$E$13+1,1))-AVERAGE(OFFSET($H$3,0,0,'Données projet'!$E$13+1,1))</f>
        <v>622.07867348539082</v>
      </c>
      <c r="CZ84" s="59">
        <f t="shared" si="96"/>
        <v>398.29010684041634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68.500541924069879</v>
      </c>
      <c r="DG84" s="21">
        <f>EXP(-LN(2)/25)*DG83+(1-EXP(-LN(2)/25))/(LN(2)/25)*Calculateur!DB84*Calculateur!DD84*VLOOKUP('Données projet'!$B$13,Paramètres!$A$1:$I$89,3,0)*0.475*44/12</f>
        <v>0</v>
      </c>
      <c r="DH84" s="21">
        <f>EXP(-LN(2)/2)*DH83+(1-EXP(-LN(2)/2))/(LN(2)/2)*DB84*DE84*VLOOKUP('Données projet'!$B$13,Paramètres!$A$1:$I$89,3,0)*0.475*44/12</f>
        <v>0</v>
      </c>
      <c r="DI84" s="22">
        <f t="shared" si="69"/>
        <v>68.500541924069879</v>
      </c>
      <c r="DJ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6.6</v>
      </c>
      <c r="DO84" s="12">
        <f>IF('Données projet'!$A$166&gt;35,DO83+DN84-DW83,IF(A84&lt;'Données projet'!$A$166,$DL$205^A84,IF(A84='Données projet'!$A$166,'Données projet'!$B$166,DO83+DN84-DW83)))</f>
        <v>298.5999999999998</v>
      </c>
      <c r="DP84" s="17">
        <f>DO84*VLOOKUP('Données projet'!$B$14,Paramètres!$A$1:$I$89,3,0)*VLOOKUP('Données projet'!$B$14,Paramètres!$A$1:$I$89,5,0)</f>
        <v>284.14775999999983</v>
      </c>
      <c r="DQ84" s="13">
        <f t="shared" si="97"/>
        <v>67.84279823426283</v>
      </c>
      <c r="DR84" s="20">
        <f t="shared" si="70"/>
        <v>613.05022225800747</v>
      </c>
      <c r="DS84" s="59">
        <f t="shared" si="71"/>
        <v>879.37305793458518</v>
      </c>
      <c r="DT84" s="59">
        <f ca="1">AVERAGE(OFFSET($DS$3,0,0,'Données projet'!$E$14+1,1))-AVERAGE(OFFSET($H$3,0,0,'Données projet'!$E$14+1,1))</f>
        <v>590.05965493677377</v>
      </c>
      <c r="DU84" s="59">
        <f t="shared" si="98"/>
        <v>378.40640480134505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64.285123959511722</v>
      </c>
      <c r="EB84" s="21">
        <f>EXP(-LN(2)/25)*EB83+(1-EXP(-LN(2)/25))/(LN(2)/25)*Calculateur!DW84*Calculateur!DY84*VLOOKUP('Données projet'!$B$14,Paramètres!$A$1:$I$89,3,0)*0.475*44/12</f>
        <v>0</v>
      </c>
      <c r="EC84" s="21">
        <f>EXP(-LN(2)/2)*EC83+(1-EXP(-LN(2)/2))/(LN(2)/2)*DW84*DZ84*VLOOKUP('Données projet'!$B$14,Paramètres!$A$1:$I$89,3,0)*0.475*44/12</f>
        <v>0</v>
      </c>
      <c r="ED84" s="22">
        <f t="shared" si="72"/>
        <v>64.285123959511722</v>
      </c>
      <c r="EE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62.633500639066654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2">
        <f>'Scénario référence'!$B$16*5+'Scénario référence'!$B$17*0+'Scénario référence'!$B$18*5</f>
        <v>4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14.666666666666666</v>
      </c>
      <c r="H85" s="66">
        <f t="shared" si="56"/>
        <v>159.86666666666667</v>
      </c>
      <c r="I85" s="6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-2.9085640562698246E-14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140.03175887621094</v>
      </c>
      <c r="T85" s="59">
        <f t="shared" si="88"/>
        <v>377.29475975964954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25.216880210966035</v>
      </c>
      <c r="AA85" s="21">
        <f>EXP(-LN(2)/25)*AA84+(1-EXP(-LN(2)/25))/(LN(2)/25)*Calculateur!V85*Calculateur!X85*VLOOKUP('Données projet'!$B$9,Paramètres!$A$1:$I$89,3,0)*0.475*44/12</f>
        <v>0</v>
      </c>
      <c r="AB85" s="21">
        <f>EXP(-LN(2)/2)*AB84+(1-EXP(-LN(2)/2))/(LN(2)/2)*V85*Y85*VLOOKUP('Données projet'!$B$9,Paramètres!$A$1:$I$89,3,0)*0.475*44/12</f>
        <v>3.6521724363461301E-8</v>
      </c>
      <c r="AC85" s="22">
        <f t="shared" si="57"/>
        <v>25.216880247487762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-5.6843418860808015E-14</v>
      </c>
      <c r="AJ85" s="13">
        <f>AI85*VLOOKUP('Données projet'!$B$10,Paramètres!$A$1:$I$89,3,0)*VLOOKUP('Données projet'!$B$10,Paramètres!$A$1:$I$89,5,0)</f>
        <v>-2.8642261895583942E-14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138.27364731587764</v>
      </c>
      <c r="AO85" s="59">
        <f t="shared" si="90"/>
        <v>372.50391467700013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24.832476549213489</v>
      </c>
      <c r="AV85" s="21">
        <f>EXP(-LN(2)/25)*AV84+(1-EXP(-LN(2)/25))/(LN(2)/25)*Calculateur!AQ85*Calculateur!AS85*VLOOKUP('Données projet'!$B$10,Paramètres!$A$1:$I$89,3,0)*0.475*44/12</f>
        <v>0</v>
      </c>
      <c r="AW85" s="21">
        <f>EXP(-LN(2)/2)*AW84+(1-EXP(-LN(2)/2))/(LN(2)/2)*AQ85*AT85*VLOOKUP('Données projet'!$B$10,Paramètres!$A$1:$I$89,3,0)*0.475*44/12</f>
        <v>3.596499076035972E-8</v>
      </c>
      <c r="AX85" s="21">
        <f t="shared" si="60"/>
        <v>24.83247658517848</v>
      </c>
      <c r="AY85" s="7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6.6</v>
      </c>
      <c r="BD85" s="12">
        <f>IF('Données projet'!$A$88&gt;35,BD84+BC85-BL84,IF(A85&lt;'Données projet'!$A$88,$BA$205^A85,IF(A85='Données projet'!$A$88,'Données projet'!$B$88,BD84+BC85-BL84)))</f>
        <v>305.19999999999982</v>
      </c>
      <c r="BE85" s="13">
        <f>BD85*VLOOKUP('Données projet'!$B$11,Paramètres!$A$1:$I$89,3,0)*VLOOKUP('Données projet'!$B$11,Paramètres!$A$1:$I$89,5,0)</f>
        <v>318.99503999999985</v>
      </c>
      <c r="BF85" s="13">
        <f t="shared" si="91"/>
        <v>75.144213926865547</v>
      </c>
      <c r="BG85" s="20">
        <f t="shared" si="61"/>
        <v>686.45920058929062</v>
      </c>
      <c r="BH85" s="59">
        <f t="shared" si="62"/>
        <v>953.25060801378686</v>
      </c>
      <c r="BI85" s="59">
        <f ca="1">AVERAGE(OFFSET($BH$3,0,0,'Données projet'!$E$11+1,1))-AVERAGE(OFFSET($H$3,0,0,'Données projet'!$E$11+1,1))</f>
        <v>638.07304290599211</v>
      </c>
      <c r="BJ85" s="59">
        <f t="shared" si="92"/>
        <v>408.22196233793511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69.223666172855999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69.223666172855999</v>
      </c>
      <c r="BT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305.19999999999982</v>
      </c>
      <c r="BZ85" s="13">
        <f>BY85*VLOOKUP('Données projet'!$B$12,Paramètres!$A$1:$I$89,3,0)*VLOOKUP('Données projet'!$B$12,Paramètres!$A$1:$I$89,5,0)</f>
        <v>347.56175999999977</v>
      </c>
      <c r="CA85" s="13">
        <f t="shared" si="93"/>
        <v>81.060248212992931</v>
      </c>
      <c r="CB85" s="20">
        <f t="shared" si="64"/>
        <v>746.51666430429543</v>
      </c>
      <c r="CC85" s="59">
        <f t="shared" si="65"/>
        <v>1013.3080717287917</v>
      </c>
      <c r="CD85" s="59">
        <f ca="1">AVERAGE(OFFSET($CC$3,0,0,'Données projet'!$E$12+1,1))-AVERAGE(OFFSET($H$3,0,0,'Données projet'!$E$12+1,1))</f>
        <v>685.99951993586967</v>
      </c>
      <c r="CE85" s="59">
        <f t="shared" si="94"/>
        <v>437.98014017823095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75.422800456992363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75.422800456992363</v>
      </c>
      <c r="CO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6.6</v>
      </c>
      <c r="CT85" s="12">
        <f>IF('Données projet'!$A$140&gt;35,CT84+CS85-DB84,IF(A85&lt;'Données projet'!$A$140,$CQ$205^A85,IF(A85='Données projet'!$A$140,'Données projet'!$B$140,CT84+CS85-DB84)))</f>
        <v>305.19999999999982</v>
      </c>
      <c r="CU85" s="17">
        <f>CT85*VLOOKUP('Données projet'!$B$13,Paramètres!$A$1:$I$89,3,0)*VLOOKUP('Données projet'!$B$13,Paramètres!$A$1:$I$89,5,0)</f>
        <v>309.47279999999984</v>
      </c>
      <c r="CV85" s="13">
        <f t="shared" si="95"/>
        <v>73.15871892427802</v>
      </c>
      <c r="CW85" s="20">
        <f t="shared" si="67"/>
        <v>666.41656212645069</v>
      </c>
      <c r="CX85" s="59">
        <f t="shared" si="68"/>
        <v>933.20796955094693</v>
      </c>
      <c r="CY85" s="59">
        <f ca="1">AVERAGE(OFFSET($CX$3,0,0,'Données projet'!$E$13+1,1))-AVERAGE(OFFSET($H$3,0,0,'Données projet'!$E$13+1,1))</f>
        <v>622.07867348539082</v>
      </c>
      <c r="CZ85" s="59">
        <f t="shared" si="96"/>
        <v>398.29010684041634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67.157288078143893</v>
      </c>
      <c r="DG85" s="21">
        <f>EXP(-LN(2)/25)*DG84+(1-EXP(-LN(2)/25))/(LN(2)/25)*Calculateur!DB85*Calculateur!DD85*VLOOKUP('Données projet'!$B$13,Paramètres!$A$1:$I$89,3,0)*0.475*44/12</f>
        <v>0</v>
      </c>
      <c r="DH85" s="21">
        <f>EXP(-LN(2)/2)*DH84+(1-EXP(-LN(2)/2))/(LN(2)/2)*DB85*DE85*VLOOKUP('Données projet'!$B$13,Paramètres!$A$1:$I$89,3,0)*0.475*44/12</f>
        <v>0</v>
      </c>
      <c r="DI85" s="22">
        <f t="shared" si="69"/>
        <v>67.157288078143893</v>
      </c>
      <c r="DJ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6.6</v>
      </c>
      <c r="DO85" s="12">
        <f>IF('Données projet'!$A$166&gt;35,DO84+DN85-DW84,IF(A85&lt;'Données projet'!$A$166,$DL$205^A85,IF(A85='Données projet'!$A$166,'Données projet'!$B$166,DO84+DN85-DW84)))</f>
        <v>305.19999999999982</v>
      </c>
      <c r="DP85" s="17">
        <f>DO85*VLOOKUP('Données projet'!$B$14,Paramètres!$A$1:$I$89,3,0)*VLOOKUP('Données projet'!$B$14,Paramètres!$A$1:$I$89,5,0)</f>
        <v>290.42831999999981</v>
      </c>
      <c r="DQ85" s="13">
        <f t="shared" si="97"/>
        <v>69.166100641309313</v>
      </c>
      <c r="DR85" s="20">
        <f t="shared" si="70"/>
        <v>626.29361595028001</v>
      </c>
      <c r="DS85" s="59">
        <f t="shared" si="71"/>
        <v>893.08502337477626</v>
      </c>
      <c r="DT85" s="59">
        <f ca="1">AVERAGE(OFFSET($DS$3,0,0,'Données projet'!$E$14+1,1))-AVERAGE(OFFSET($H$3,0,0,'Données projet'!$E$14+1,1))</f>
        <v>590.05965493677377</v>
      </c>
      <c r="DU85" s="59">
        <f t="shared" si="98"/>
        <v>378.40640480134505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63.024531888719643</v>
      </c>
      <c r="EB85" s="21">
        <f>EXP(-LN(2)/25)*EB84+(1-EXP(-LN(2)/25))/(LN(2)/25)*Calculateur!DW85*Calculateur!DY85*VLOOKUP('Données projet'!$B$14,Paramètres!$A$1:$I$89,3,0)*0.475*44/12</f>
        <v>0</v>
      </c>
      <c r="EC85" s="21">
        <f>EXP(-LN(2)/2)*EC84+(1-EXP(-LN(2)/2))/(LN(2)/2)*DW85*DZ85*VLOOKUP('Données projet'!$B$14,Paramètres!$A$1:$I$89,3,0)*0.475*44/12</f>
        <v>0</v>
      </c>
      <c r="ED85" s="22">
        <f t="shared" si="72"/>
        <v>63.024531888719643</v>
      </c>
      <c r="EE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62.76129293395352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2">
        <f>'Scénario référence'!$B$16*5+'Scénario référence'!$B$17*0+'Scénario référence'!$B$18*5</f>
        <v>4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14.666666666666666</v>
      </c>
      <c r="H86" s="66">
        <f t="shared" si="56"/>
        <v>159.86666666666667</v>
      </c>
      <c r="I86" s="6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-2.9085640562698246E-14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140.03175887621094</v>
      </c>
      <c r="T86" s="59">
        <f t="shared" si="88"/>
        <v>377.29475975964954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24.722392570807195</v>
      </c>
      <c r="AA86" s="21">
        <f>EXP(-LN(2)/25)*AA85+(1-EXP(-LN(2)/25))/(LN(2)/25)*Calculateur!V86*Calculateur!X86*VLOOKUP('Données projet'!$B$9,Paramètres!$A$1:$I$89,3,0)*0.475*44/12</f>
        <v>0</v>
      </c>
      <c r="AB86" s="21">
        <f>EXP(-LN(2)/2)*AB85+(1-EXP(-LN(2)/2))/(LN(2)/2)*V86*Y86*VLOOKUP('Données projet'!$B$9,Paramètres!$A$1:$I$89,3,0)*0.475*44/12</f>
        <v>2.5824758958029432E-8</v>
      </c>
      <c r="AC86" s="22">
        <f t="shared" si="57"/>
        <v>24.722392596631952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-5.6843418860808015E-14</v>
      </c>
      <c r="AJ86" s="13">
        <f>AI86*VLOOKUP('Données projet'!$B$10,Paramètres!$A$1:$I$89,3,0)*VLOOKUP('Données projet'!$B$10,Paramètres!$A$1:$I$89,5,0)</f>
        <v>-2.8642261895583942E-14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138.27364731587764</v>
      </c>
      <c r="AO86" s="59">
        <f t="shared" si="90"/>
        <v>372.50391467700013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24.345526830398533</v>
      </c>
      <c r="AV86" s="21">
        <f>EXP(-LN(2)/25)*AV85+(1-EXP(-LN(2)/25))/(LN(2)/25)*Calculateur!AQ86*Calculateur!AS86*VLOOKUP('Données projet'!$B$10,Paramètres!$A$1:$I$89,3,0)*0.475*44/12</f>
        <v>0</v>
      </c>
      <c r="AW86" s="21">
        <f>EXP(-LN(2)/2)*AW85+(1-EXP(-LN(2)/2))/(LN(2)/2)*AQ86*AT86*VLOOKUP('Données projet'!$B$10,Paramètres!$A$1:$I$89,3,0)*0.475*44/12</f>
        <v>2.5431088851961884E-8</v>
      </c>
      <c r="AX86" s="21">
        <f t="shared" si="60"/>
        <v>24.345526855829622</v>
      </c>
      <c r="AY86" s="7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6.6</v>
      </c>
      <c r="BD86" s="12">
        <f>IF('Données projet'!$A$88&gt;35,BD85+BC86-BL85,IF(A86&lt;'Données projet'!$A$88,$BA$205^A86,IF(A86='Données projet'!$A$88,'Données projet'!$B$88,BD85+BC86-BL85)))</f>
        <v>311.79999999999984</v>
      </c>
      <c r="BE86" s="13">
        <f>BD86*VLOOKUP('Données projet'!$B$11,Paramètres!$A$1:$I$89,3,0)*VLOOKUP('Données projet'!$B$11,Paramètres!$A$1:$I$89,5,0)</f>
        <v>325.89335999999986</v>
      </c>
      <c r="BF86" s="13">
        <f t="shared" si="91"/>
        <v>76.578276406145193</v>
      </c>
      <c r="BG86" s="20">
        <f t="shared" si="61"/>
        <v>700.97143340736932</v>
      </c>
      <c r="BH86" s="59">
        <f t="shared" si="62"/>
        <v>968.22328390752705</v>
      </c>
      <c r="BI86" s="59">
        <f ca="1">AVERAGE(OFFSET($BH$3,0,0,'Données projet'!$E$11+1,1))-AVERAGE(OFFSET($H$3,0,0,'Données projet'!$E$11+1,1))</f>
        <v>638.07304290599211</v>
      </c>
      <c r="BJ86" s="59">
        <f t="shared" si="92"/>
        <v>408.22196233793511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67.866232301473559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67.866232301473559</v>
      </c>
      <c r="BT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311.79999999999984</v>
      </c>
      <c r="BZ86" s="13">
        <f>BY86*VLOOKUP('Données projet'!$B$12,Paramètres!$A$1:$I$89,3,0)*VLOOKUP('Données projet'!$B$12,Paramètres!$A$1:$I$89,5,0)</f>
        <v>355.07783999999987</v>
      </c>
      <c r="CA86" s="13">
        <f t="shared" si="93"/>
        <v>82.60721310155354</v>
      </c>
      <c r="CB86" s="20">
        <f t="shared" si="64"/>
        <v>762.30146748520554</v>
      </c>
      <c r="CC86" s="59">
        <f t="shared" si="65"/>
        <v>1029.5533179853633</v>
      </c>
      <c r="CD86" s="59">
        <f ca="1">AVERAGE(OFFSET($CC$3,0,0,'Données projet'!$E$12+1,1))-AVERAGE(OFFSET($H$3,0,0,'Données projet'!$E$12+1,1))</f>
        <v>685.99951993586967</v>
      </c>
      <c r="CE86" s="59">
        <f t="shared" si="94"/>
        <v>437.98014017823095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73.943805343396562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73.943805343396562</v>
      </c>
      <c r="CO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6.6</v>
      </c>
      <c r="CT86" s="12">
        <f>IF('Données projet'!$A$140&gt;35,CT85+CS86-DB85,IF(A86&lt;'Données projet'!$A$140,$CQ$205^A86,IF(A86='Données projet'!$A$140,'Données projet'!$B$140,CT85+CS86-DB85)))</f>
        <v>311.79999999999984</v>
      </c>
      <c r="CU86" s="17">
        <f>CT86*VLOOKUP('Données projet'!$B$13,Paramètres!$A$1:$I$89,3,0)*VLOOKUP('Données projet'!$B$13,Paramètres!$A$1:$I$89,5,0)</f>
        <v>316.16519999999986</v>
      </c>
      <c r="CV86" s="13">
        <f t="shared" si="95"/>
        <v>74.554889944758472</v>
      </c>
      <c r="CW86" s="20">
        <f t="shared" si="67"/>
        <v>680.50415665378739</v>
      </c>
      <c r="CX86" s="59">
        <f t="shared" si="68"/>
        <v>947.75600715394512</v>
      </c>
      <c r="CY86" s="59">
        <f ca="1">AVERAGE(OFFSET($CX$3,0,0,'Données projet'!$E$13+1,1))-AVERAGE(OFFSET($H$3,0,0,'Données projet'!$E$13+1,1))</f>
        <v>622.07867348539082</v>
      </c>
      <c r="CZ86" s="59">
        <f t="shared" si="96"/>
        <v>398.29010684041634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65.840374620832563</v>
      </c>
      <c r="DG86" s="21">
        <f>EXP(-LN(2)/25)*DG85+(1-EXP(-LN(2)/25))/(LN(2)/25)*Calculateur!DB86*Calculateur!DD86*VLOOKUP('Données projet'!$B$13,Paramètres!$A$1:$I$89,3,0)*0.475*44/12</f>
        <v>0</v>
      </c>
      <c r="DH86" s="21">
        <f>EXP(-LN(2)/2)*DH85+(1-EXP(-LN(2)/2))/(LN(2)/2)*DB86*DE86*VLOOKUP('Données projet'!$B$13,Paramètres!$A$1:$I$89,3,0)*0.475*44/12</f>
        <v>0</v>
      </c>
      <c r="DI86" s="22">
        <f t="shared" si="69"/>
        <v>65.840374620832563</v>
      </c>
      <c r="DJ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6.6</v>
      </c>
      <c r="DO86" s="12">
        <f>IF('Données projet'!$A$166&gt;35,DO85+DN86-DW85,IF(A86&lt;'Données projet'!$A$166,$DL$205^A86,IF(A86='Données projet'!$A$166,'Données projet'!$B$166,DO85+DN86-DW85)))</f>
        <v>311.79999999999984</v>
      </c>
      <c r="DP86" s="17">
        <f>DO86*VLOOKUP('Données projet'!$B$14,Paramètres!$A$1:$I$89,3,0)*VLOOKUP('Données projet'!$B$14,Paramètres!$A$1:$I$89,5,0)</f>
        <v>296.70887999999985</v>
      </c>
      <c r="DQ86" s="13">
        <f t="shared" si="97"/>
        <v>70.486075987173166</v>
      </c>
      <c r="DR86" s="20">
        <f t="shared" si="70"/>
        <v>639.53121501099292</v>
      </c>
      <c r="DS86" s="59">
        <f t="shared" si="71"/>
        <v>906.78306551115065</v>
      </c>
      <c r="DT86" s="59">
        <f ca="1">AVERAGE(OFFSET($DS$3,0,0,'Données projet'!$E$14+1,1))-AVERAGE(OFFSET($H$3,0,0,'Données projet'!$E$14+1,1))</f>
        <v>590.05965493677377</v>
      </c>
      <c r="DU86" s="59">
        <f t="shared" si="98"/>
        <v>378.40640480134505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61.788659259550556</v>
      </c>
      <c r="EB86" s="21">
        <f>EXP(-LN(2)/25)*EB85+(1-EXP(-LN(2)/25))/(LN(2)/25)*Calculateur!DW86*Calculateur!DY86*VLOOKUP('Données projet'!$B$14,Paramètres!$A$1:$I$89,3,0)*0.475*44/12</f>
        <v>0</v>
      </c>
      <c r="EC86" s="21">
        <f>EXP(-LN(2)/2)*EC85+(1-EXP(-LN(2)/2))/(LN(2)/2)*DW86*DZ86*VLOOKUP('Données projet'!$B$14,Paramètres!$A$1:$I$89,3,0)*0.475*44/12</f>
        <v>0</v>
      </c>
      <c r="ED86" s="22">
        <f t="shared" si="72"/>
        <v>61.788659259550556</v>
      </c>
      <c r="EE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62.886868318224856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2">
        <f>'Scénario référence'!$B$16*5+'Scénario référence'!$B$17*0+'Scénario référence'!$B$18*5</f>
        <v>4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14.666666666666666</v>
      </c>
      <c r="H87" s="66">
        <f t="shared" si="56"/>
        <v>159.86666666666667</v>
      </c>
      <c r="I87" s="6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-2.9085640562698246E-14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140.03175887621094</v>
      </c>
      <c r="T87" s="59">
        <f t="shared" si="88"/>
        <v>377.29475975964954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24.23760153166419</v>
      </c>
      <c r="AA87" s="21">
        <f>EXP(-LN(2)/25)*AA86+(1-EXP(-LN(2)/25))/(LN(2)/25)*Calculateur!V87*Calculateur!X87*VLOOKUP('Données projet'!$B$9,Paramètres!$A$1:$I$89,3,0)*0.475*44/12</f>
        <v>0</v>
      </c>
      <c r="AB87" s="21">
        <f>EXP(-LN(2)/2)*AB86+(1-EXP(-LN(2)/2))/(LN(2)/2)*V87*Y87*VLOOKUP('Données projet'!$B$9,Paramètres!$A$1:$I$89,3,0)*0.475*44/12</f>
        <v>1.826086218173065E-8</v>
      </c>
      <c r="AC87" s="22">
        <f t="shared" si="57"/>
        <v>24.237601549925053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-5.6843418860808015E-14</v>
      </c>
      <c r="AJ87" s="13">
        <f>AI87*VLOOKUP('Données projet'!$B$10,Paramètres!$A$1:$I$89,3,0)*VLOOKUP('Données projet'!$B$10,Paramètres!$A$1:$I$89,5,0)</f>
        <v>-2.8642261895583942E-14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138.27364731587764</v>
      </c>
      <c r="AO87" s="59">
        <f t="shared" si="90"/>
        <v>372.50391467700013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23.868125898559537</v>
      </c>
      <c r="AV87" s="21">
        <f>EXP(-LN(2)/25)*AV86+(1-EXP(-LN(2)/25))/(LN(2)/25)*Calculateur!AQ87*Calculateur!AS87*VLOOKUP('Données projet'!$B$10,Paramètres!$A$1:$I$89,3,0)*0.475*44/12</f>
        <v>0</v>
      </c>
      <c r="AW87" s="21">
        <f>EXP(-LN(2)/2)*AW86+(1-EXP(-LN(2)/2))/(LN(2)/2)*AQ87*AT87*VLOOKUP('Données projet'!$B$10,Paramètres!$A$1:$I$89,3,0)*0.475*44/12</f>
        <v>1.798249538017986E-8</v>
      </c>
      <c r="AX87" s="21">
        <f t="shared" si="60"/>
        <v>23.868125916542031</v>
      </c>
      <c r="AY87" s="7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6.6</v>
      </c>
      <c r="BD87" s="12">
        <f>IF('Données projet'!$A$88&gt;35,BD86+BC87-BL86,IF(A87&lt;'Données projet'!$A$88,$BA$205^A87,IF(A87='Données projet'!$A$88,'Données projet'!$B$88,BD86+BC87-BL86)))</f>
        <v>318.39999999999986</v>
      </c>
      <c r="BE87" s="13">
        <f>BD87*VLOOKUP('Données projet'!$B$11,Paramètres!$A$1:$I$89,3,0)*VLOOKUP('Données projet'!$B$11,Paramètres!$A$1:$I$89,5,0)</f>
        <v>332.79167999999987</v>
      </c>
      <c r="BF87" s="13">
        <f t="shared" si="91"/>
        <v>78.008809588126937</v>
      </c>
      <c r="BG87" s="20">
        <f t="shared" si="61"/>
        <v>715.47751936598752</v>
      </c>
      <c r="BH87" s="59">
        <f t="shared" si="62"/>
        <v>983.18182528384068</v>
      </c>
      <c r="BI87" s="59">
        <f ca="1">AVERAGE(OFFSET($BH$3,0,0,'Données projet'!$E$11+1,1))-AVERAGE(OFFSET($H$3,0,0,'Données projet'!$E$11+1,1))</f>
        <v>638.07304290599211</v>
      </c>
      <c r="BJ87" s="59">
        <f t="shared" si="92"/>
        <v>408.22196233793511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66.535416880356024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66.535416880356024</v>
      </c>
      <c r="BT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318.39999999999986</v>
      </c>
      <c r="BZ87" s="13">
        <f>BY87*VLOOKUP('Données projet'!$B$12,Paramètres!$A$1:$I$89,3,0)*VLOOKUP('Données projet'!$B$12,Paramètres!$A$1:$I$89,5,0)</f>
        <v>362.59391999999986</v>
      </c>
      <c r="CA87" s="13">
        <f t="shared" si="93"/>
        <v>84.150370834512486</v>
      </c>
      <c r="CB87" s="20">
        <f t="shared" si="64"/>
        <v>778.07963987010896</v>
      </c>
      <c r="CC87" s="59">
        <f t="shared" si="65"/>
        <v>1045.7839457879622</v>
      </c>
      <c r="CD87" s="59">
        <f ca="1">AVERAGE(OFFSET($CC$3,0,0,'Données projet'!$E$12+1,1))-AVERAGE(OFFSET($H$3,0,0,'Données projet'!$E$12+1,1))</f>
        <v>685.99951993586967</v>
      </c>
      <c r="CE87" s="59">
        <f t="shared" si="94"/>
        <v>437.98014017823095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72.493812421880435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72.493812421880435</v>
      </c>
      <c r="CO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6.6</v>
      </c>
      <c r="CT87" s="12">
        <f>IF('Données projet'!$A$140&gt;35,CT86+CS87-DB86,IF(A87&lt;'Données projet'!$A$140,$CQ$205^A87,IF(A87='Données projet'!$A$140,'Données projet'!$B$140,CT86+CS87-DB86)))</f>
        <v>318.39999999999986</v>
      </c>
      <c r="CU87" s="17">
        <f>CT87*VLOOKUP('Données projet'!$B$13,Paramètres!$A$1:$I$89,3,0)*VLOOKUP('Données projet'!$B$13,Paramètres!$A$1:$I$89,5,0)</f>
        <v>322.85759999999988</v>
      </c>
      <c r="CV87" s="13">
        <f t="shared" si="95"/>
        <v>75.947624920658441</v>
      </c>
      <c r="CW87" s="20">
        <f t="shared" si="67"/>
        <v>694.58576673681318</v>
      </c>
      <c r="CX87" s="59">
        <f t="shared" si="68"/>
        <v>962.29007265466635</v>
      </c>
      <c r="CY87" s="59">
        <f ca="1">AVERAGE(OFFSET($CX$3,0,0,'Données projet'!$E$13+1,1))-AVERAGE(OFFSET($H$3,0,0,'Données projet'!$E$13+1,1))</f>
        <v>622.07867348539082</v>
      </c>
      <c r="CZ87" s="59">
        <f t="shared" si="96"/>
        <v>398.29010684041634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64.549285033181221</v>
      </c>
      <c r="DG87" s="21">
        <f>EXP(-LN(2)/25)*DG86+(1-EXP(-LN(2)/25))/(LN(2)/25)*Calculateur!DB87*Calculateur!DD87*VLOOKUP('Données projet'!$B$13,Paramètres!$A$1:$I$89,3,0)*0.475*44/12</f>
        <v>0</v>
      </c>
      <c r="DH87" s="21">
        <f>EXP(-LN(2)/2)*DH86+(1-EXP(-LN(2)/2))/(LN(2)/2)*DB87*DE87*VLOOKUP('Données projet'!$B$13,Paramètres!$A$1:$I$89,3,0)*0.475*44/12</f>
        <v>0</v>
      </c>
      <c r="DI87" s="22">
        <f t="shared" si="69"/>
        <v>64.549285033181221</v>
      </c>
      <c r="DJ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6.6</v>
      </c>
      <c r="DO87" s="12">
        <f>IF('Données projet'!$A$166&gt;35,DO86+DN87-DW86,IF(A87&lt;'Données projet'!$A$166,$DL$205^A87,IF(A87='Données projet'!$A$166,'Données projet'!$B$166,DO86+DN87-DW86)))</f>
        <v>318.39999999999986</v>
      </c>
      <c r="DP87" s="17">
        <f>DO87*VLOOKUP('Données projet'!$B$14,Paramètres!$A$1:$I$89,3,0)*VLOOKUP('Données projet'!$B$14,Paramètres!$A$1:$I$89,5,0)</f>
        <v>302.98943999999989</v>
      </c>
      <c r="DQ87" s="13">
        <f t="shared" si="97"/>
        <v>71.802802809706435</v>
      </c>
      <c r="DR87" s="20">
        <f t="shared" si="70"/>
        <v>652.76315622690504</v>
      </c>
      <c r="DS87" s="59">
        <f t="shared" si="71"/>
        <v>920.4674621447582</v>
      </c>
      <c r="DT87" s="59">
        <f ca="1">AVERAGE(OFFSET($DS$3,0,0,'Données projet'!$E$14+1,1))-AVERAGE(OFFSET($H$3,0,0,'Données projet'!$E$14+1,1))</f>
        <v>590.05965493677377</v>
      </c>
      <c r="DU87" s="59">
        <f t="shared" si="98"/>
        <v>378.40640480134505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60.577021338831599</v>
      </c>
      <c r="EB87" s="21">
        <f>EXP(-LN(2)/25)*EB86+(1-EXP(-LN(2)/25))/(LN(2)/25)*Calculateur!DW87*Calculateur!DY87*VLOOKUP('Données projet'!$B$14,Paramètres!$A$1:$I$89,3,0)*0.475*44/12</f>
        <v>0</v>
      </c>
      <c r="EC87" s="21">
        <f>EXP(-LN(2)/2)*EC86+(1-EXP(-LN(2)/2))/(LN(2)/2)*DW87*DZ87*VLOOKUP('Données projet'!$B$14,Paramètres!$A$1:$I$89,3,0)*0.475*44/12</f>
        <v>0</v>
      </c>
      <c r="ED87" s="22">
        <f t="shared" si="72"/>
        <v>60.577021338831599</v>
      </c>
      <c r="EE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63.010265250323599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2">
        <f>'Scénario référence'!$B$16*5+'Scénario référence'!$B$17*0+'Scénario référence'!$B$18*5</f>
        <v>4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14.666666666666666</v>
      </c>
      <c r="H88" s="66">
        <f t="shared" si="56"/>
        <v>159.86666666666667</v>
      </c>
      <c r="I88" s="6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-2.9085640562698246E-14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140.03175887621094</v>
      </c>
      <c r="T88" s="59">
        <f t="shared" si="88"/>
        <v>377.29475975964954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23.762316949105443</v>
      </c>
      <c r="AA88" s="21">
        <f>EXP(-LN(2)/25)*AA87+(1-EXP(-LN(2)/25))/(LN(2)/25)*Calculateur!V88*Calculateur!X88*VLOOKUP('Données projet'!$B$9,Paramètres!$A$1:$I$89,3,0)*0.475*44/12</f>
        <v>0</v>
      </c>
      <c r="AB88" s="21">
        <f>EXP(-LN(2)/2)*AB87+(1-EXP(-LN(2)/2))/(LN(2)/2)*V88*Y88*VLOOKUP('Données projet'!$B$9,Paramètres!$A$1:$I$89,3,0)*0.475*44/12</f>
        <v>1.2912379479014716E-8</v>
      </c>
      <c r="AC88" s="22">
        <f t="shared" si="57"/>
        <v>23.762316962017824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-5.6843418860808015E-14</v>
      </c>
      <c r="AJ88" s="13">
        <f>AI88*VLOOKUP('Données projet'!$B$10,Paramètres!$A$1:$I$89,3,0)*VLOOKUP('Données projet'!$B$10,Paramètres!$A$1:$I$89,5,0)</f>
        <v>-2.8642261895583942E-14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138.27364731587764</v>
      </c>
      <c r="AO88" s="59">
        <f t="shared" si="90"/>
        <v>372.50391467700013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23.400086507808087</v>
      </c>
      <c r="AV88" s="21">
        <f>EXP(-LN(2)/25)*AV87+(1-EXP(-LN(2)/25))/(LN(2)/25)*Calculateur!AQ88*Calculateur!AS88*VLOOKUP('Données projet'!$B$10,Paramètres!$A$1:$I$89,3,0)*0.475*44/12</f>
        <v>0</v>
      </c>
      <c r="AW88" s="21">
        <f>EXP(-LN(2)/2)*AW87+(1-EXP(-LN(2)/2))/(LN(2)/2)*AQ88*AT88*VLOOKUP('Données projet'!$B$10,Paramètres!$A$1:$I$89,3,0)*0.475*44/12</f>
        <v>1.2715544425980942E-8</v>
      </c>
      <c r="AX88" s="21">
        <f t="shared" si="60"/>
        <v>23.400086520523633</v>
      </c>
      <c r="AY88" s="7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6.6</v>
      </c>
      <c r="BD88" s="12">
        <f>IF('Données projet'!$A$88&gt;35,BD87+BC88-BL87,IF(A88&lt;'Données projet'!$A$88,$BA$205^A88,IF(A88='Données projet'!$A$88,'Données projet'!$B$88,BD87+BC88-BL87)))</f>
        <v>324.99999999999989</v>
      </c>
      <c r="BE88" s="13">
        <f>BD88*VLOOKUP('Données projet'!$B$11,Paramètres!$A$1:$I$89,3,0)*VLOOKUP('Données projet'!$B$11,Paramètres!$A$1:$I$89,5,0)</f>
        <v>339.68999999999994</v>
      </c>
      <c r="BF88" s="13">
        <f t="shared" si="91"/>
        <v>79.435895059237538</v>
      </c>
      <c r="BG88" s="20">
        <f t="shared" si="61"/>
        <v>729.97760056150526</v>
      </c>
      <c r="BH88" s="59">
        <f t="shared" si="62"/>
        <v>998.12651280709565</v>
      </c>
      <c r="BI88" s="59">
        <f ca="1">AVERAGE(OFFSET($BH$3,0,0,'Données projet'!$E$11+1,1))-AVERAGE(OFFSET($H$3,0,0,'Données projet'!$E$11+1,1))</f>
        <v>638.07304290599211</v>
      </c>
      <c r="BJ88" s="59">
        <f t="shared" si="92"/>
        <v>408.22196233793511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65.230697937929335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65.230697937929335</v>
      </c>
      <c r="BT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324.99999999999989</v>
      </c>
      <c r="BZ88" s="13">
        <f>BY88*VLOOKUP('Données projet'!$B$12,Paramètres!$A$1:$I$89,3,0)*VLOOKUP('Données projet'!$B$12,Paramètres!$A$1:$I$89,5,0)</f>
        <v>370.1099999999999</v>
      </c>
      <c r="CA88" s="13">
        <f t="shared" si="93"/>
        <v>85.689809421520209</v>
      </c>
      <c r="CB88" s="20">
        <f t="shared" si="64"/>
        <v>793.85133474248084</v>
      </c>
      <c r="CC88" s="59">
        <f t="shared" si="65"/>
        <v>1062.0002469880712</v>
      </c>
      <c r="CD88" s="59">
        <f ca="1">AVERAGE(OFFSET($CC$3,0,0,'Données projet'!$E$12+1,1))-AVERAGE(OFFSET($H$3,0,0,'Données projet'!$E$12+1,1))</f>
        <v>685.99951993586967</v>
      </c>
      <c r="CE88" s="59">
        <f t="shared" si="94"/>
        <v>437.98014017823095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71.072252977146888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71.072252977146888</v>
      </c>
      <c r="CO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6.6</v>
      </c>
      <c r="CT88" s="12">
        <f>IF('Données projet'!$A$140&gt;35,CT87+CS88-DB87,IF(A88&lt;'Données projet'!$A$140,$CQ$205^A88,IF(A88='Données projet'!$A$140,'Données projet'!$B$140,CT87+CS88-DB87)))</f>
        <v>324.99999999999989</v>
      </c>
      <c r="CU88" s="17">
        <f>CT88*VLOOKUP('Données projet'!$B$13,Paramètres!$A$1:$I$89,3,0)*VLOOKUP('Données projet'!$B$13,Paramètres!$A$1:$I$89,5,0)</f>
        <v>329.5499999999999</v>
      </c>
      <c r="CV88" s="13">
        <f t="shared" si="95"/>
        <v>77.337003282690574</v>
      </c>
      <c r="CW88" s="20">
        <f t="shared" si="67"/>
        <v>708.66153071735243</v>
      </c>
      <c r="CX88" s="59">
        <f t="shared" si="68"/>
        <v>976.81044296294272</v>
      </c>
      <c r="CY88" s="59">
        <f ca="1">AVERAGE(OFFSET($CX$3,0,0,'Données projet'!$E$13+1,1))-AVERAGE(OFFSET($H$3,0,0,'Données projet'!$E$13+1,1))</f>
        <v>622.07867348539082</v>
      </c>
      <c r="CZ88" s="59">
        <f t="shared" si="96"/>
        <v>398.29010684041634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63.283512924856829</v>
      </c>
      <c r="DG88" s="21">
        <f>EXP(-LN(2)/25)*DG87+(1-EXP(-LN(2)/25))/(LN(2)/25)*Calculateur!DB88*Calculateur!DD88*VLOOKUP('Données projet'!$B$13,Paramètres!$A$1:$I$89,3,0)*0.475*44/12</f>
        <v>0</v>
      </c>
      <c r="DH88" s="21">
        <f>EXP(-LN(2)/2)*DH87+(1-EXP(-LN(2)/2))/(LN(2)/2)*DB88*DE88*VLOOKUP('Données projet'!$B$13,Paramètres!$A$1:$I$89,3,0)*0.475*44/12</f>
        <v>0</v>
      </c>
      <c r="DI88" s="22">
        <f t="shared" si="69"/>
        <v>63.283512924856829</v>
      </c>
      <c r="DJ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6.6</v>
      </c>
      <c r="DO88" s="12">
        <f>IF('Données projet'!$A$166&gt;35,DO87+DN88-DW87,IF(A88&lt;'Données projet'!$A$166,$DL$205^A88,IF(A88='Données projet'!$A$166,'Données projet'!$B$166,DO87+DN88-DW87)))</f>
        <v>324.99999999999989</v>
      </c>
      <c r="DP88" s="17">
        <f>DO88*VLOOKUP('Données projet'!$B$14,Paramètres!$A$1:$I$89,3,0)*VLOOKUP('Données projet'!$B$14,Paramètres!$A$1:$I$89,5,0)</f>
        <v>309.26999999999987</v>
      </c>
      <c r="DQ88" s="13">
        <f t="shared" si="97"/>
        <v>73.116356204711096</v>
      </c>
      <c r="DR88" s="20">
        <f t="shared" si="70"/>
        <v>665.98957038987157</v>
      </c>
      <c r="DS88" s="59">
        <f t="shared" si="71"/>
        <v>934.13848263546197</v>
      </c>
      <c r="DT88" s="59">
        <f ca="1">AVERAGE(OFFSET($DS$3,0,0,'Données projet'!$E$14+1,1))-AVERAGE(OFFSET($H$3,0,0,'Données projet'!$E$14+1,1))</f>
        <v>590.05965493677377</v>
      </c>
      <c r="DU88" s="59">
        <f t="shared" si="98"/>
        <v>378.40640480134505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59.389142898711782</v>
      </c>
      <c r="EB88" s="21">
        <f>EXP(-LN(2)/25)*EB87+(1-EXP(-LN(2)/25))/(LN(2)/25)*Calculateur!DW88*Calculateur!DY88*VLOOKUP('Données projet'!$B$14,Paramètres!$A$1:$I$89,3,0)*0.475*44/12</f>
        <v>0</v>
      </c>
      <c r="EC88" s="21">
        <f>EXP(-LN(2)/2)*EC87+(1-EXP(-LN(2)/2))/(LN(2)/2)*DW88*DZ88*VLOOKUP('Données projet'!$B$14,Paramètres!$A$1:$I$89,3,0)*0.475*44/12</f>
        <v>0</v>
      </c>
      <c r="ED88" s="22">
        <f t="shared" si="72"/>
        <v>59.389142898711782</v>
      </c>
      <c r="EE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63.131521521524633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2">
        <f>'Scénario référence'!$B$16*5+'Scénario référence'!$B$17*0+'Scénario référence'!$B$18*5</f>
        <v>4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14.666666666666666</v>
      </c>
      <c r="H89" s="66">
        <f t="shared" si="56"/>
        <v>159.86666666666667</v>
      </c>
      <c r="I89" s="6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-2.9085640562698246E-14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140.03175887621094</v>
      </c>
      <c r="T89" s="59">
        <f t="shared" si="88"/>
        <v>377.29475975964954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23.296352407315702</v>
      </c>
      <c r="AA89" s="21">
        <f>EXP(-LN(2)/25)*AA88+(1-EXP(-LN(2)/25))/(LN(2)/25)*Calculateur!V89*Calculateur!X89*VLOOKUP('Données projet'!$B$9,Paramètres!$A$1:$I$89,3,0)*0.475*44/12</f>
        <v>0</v>
      </c>
      <c r="AB89" s="21">
        <f>EXP(-LN(2)/2)*AB88+(1-EXP(-LN(2)/2))/(LN(2)/2)*V89*Y89*VLOOKUP('Données projet'!$B$9,Paramètres!$A$1:$I$89,3,0)*0.475*44/12</f>
        <v>9.1304310908653252E-9</v>
      </c>
      <c r="AC89" s="22">
        <f t="shared" si="57"/>
        <v>23.296352416446133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-5.6843418860808015E-14</v>
      </c>
      <c r="AJ89" s="13">
        <f>AI89*VLOOKUP('Données projet'!$B$10,Paramètres!$A$1:$I$89,3,0)*VLOOKUP('Données projet'!$B$10,Paramètres!$A$1:$I$89,5,0)</f>
        <v>-2.8642261895583942E-14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138.27364731587764</v>
      </c>
      <c r="AO89" s="59">
        <f t="shared" si="90"/>
        <v>372.50391467700013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22.941225084033434</v>
      </c>
      <c r="AV89" s="21">
        <f>EXP(-LN(2)/25)*AV88+(1-EXP(-LN(2)/25))/(LN(2)/25)*Calculateur!AQ89*Calculateur!AS89*VLOOKUP('Données projet'!$B$10,Paramètres!$A$1:$I$89,3,0)*0.475*44/12</f>
        <v>0</v>
      </c>
      <c r="AW89" s="21">
        <f>EXP(-LN(2)/2)*AW88+(1-EXP(-LN(2)/2))/(LN(2)/2)*AQ89*AT89*VLOOKUP('Données projet'!$B$10,Paramètres!$A$1:$I$89,3,0)*0.475*44/12</f>
        <v>8.99124769008993E-9</v>
      </c>
      <c r="AX89" s="21">
        <f t="shared" si="60"/>
        <v>22.941225093024681</v>
      </c>
      <c r="AY89" s="7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6.6</v>
      </c>
      <c r="BD89" s="12">
        <f>IF('Données projet'!$A$88&gt;35,BD88+BC89-BL88,IF(A89&lt;'Données projet'!$A$88,$BA$205^A89,IF(A89='Données projet'!$A$88,'Données projet'!$B$88,BD88+BC89-BL88)))</f>
        <v>331.59999999999991</v>
      </c>
      <c r="BE89" s="13">
        <f>BD89*VLOOKUP('Données projet'!$B$11,Paramètres!$A$1:$I$89,3,0)*VLOOKUP('Données projet'!$B$11,Paramètres!$A$1:$I$89,5,0)</f>
        <v>346.5883199999999</v>
      </c>
      <c r="BF89" s="13">
        <f t="shared" si="91"/>
        <v>80.859610902803084</v>
      </c>
      <c r="BG89" s="20">
        <f t="shared" si="61"/>
        <v>744.47181298904843</v>
      </c>
      <c r="BH89" s="59">
        <f t="shared" si="62"/>
        <v>1013.0576186365804</v>
      </c>
      <c r="BI89" s="59">
        <f ca="1">AVERAGE(OFFSET($BH$3,0,0,'Données projet'!$E$11+1,1))-AVERAGE(OFFSET($H$3,0,0,'Données projet'!$E$11+1,1))</f>
        <v>638.07304290599211</v>
      </c>
      <c r="BJ89" s="59">
        <f t="shared" si="92"/>
        <v>408.22196233793511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63.951563738163664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63.951563738163664</v>
      </c>
      <c r="BT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331.59999999999991</v>
      </c>
      <c r="BZ89" s="13">
        <f>BY89*VLOOKUP('Données projet'!$B$12,Paramètres!$A$1:$I$89,3,0)*VLOOKUP('Données projet'!$B$12,Paramètres!$A$1:$I$89,5,0)</f>
        <v>377.62607999999989</v>
      </c>
      <c r="CA89" s="13">
        <f t="shared" si="93"/>
        <v>87.225613093330708</v>
      </c>
      <c r="CB89" s="20">
        <f t="shared" si="64"/>
        <v>809.61669880421744</v>
      </c>
      <c r="CC89" s="59">
        <f t="shared" si="65"/>
        <v>1078.2025044517495</v>
      </c>
      <c r="CD89" s="59">
        <f ca="1">AVERAGE(OFFSET($CC$3,0,0,'Données projet'!$E$12+1,1))-AVERAGE(OFFSET($H$3,0,0,'Données projet'!$E$12+1,1))</f>
        <v>685.99951993586967</v>
      </c>
      <c r="CE89" s="59">
        <f t="shared" si="94"/>
        <v>437.98014017823095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69.678569446058916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69.678569446058916</v>
      </c>
      <c r="CO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6.6</v>
      </c>
      <c r="CT89" s="12">
        <f>IF('Données projet'!$A$140&gt;35,CT88+CS89-DB88,IF(A89&lt;'Données projet'!$A$140,$CQ$205^A89,IF(A89='Données projet'!$A$140,'Données projet'!$B$140,CT88+CS89-DB88)))</f>
        <v>331.59999999999991</v>
      </c>
      <c r="CU89" s="17">
        <f>CT89*VLOOKUP('Données projet'!$B$13,Paramètres!$A$1:$I$89,3,0)*VLOOKUP('Données projet'!$B$13,Paramètres!$A$1:$I$89,5,0)</f>
        <v>336.24239999999992</v>
      </c>
      <c r="CV89" s="13">
        <f t="shared" si="95"/>
        <v>78.723101051027399</v>
      </c>
      <c r="CW89" s="20">
        <f t="shared" si="67"/>
        <v>722.73158099720592</v>
      </c>
      <c r="CX89" s="59">
        <f t="shared" si="68"/>
        <v>991.31738664473801</v>
      </c>
      <c r="CY89" s="59">
        <f ca="1">AVERAGE(OFFSET($CX$3,0,0,'Données projet'!$E$13+1,1))-AVERAGE(OFFSET($H$3,0,0,'Données projet'!$E$13+1,1))</f>
        <v>622.07867348539082</v>
      </c>
      <c r="CZ89" s="59">
        <f t="shared" si="96"/>
        <v>398.29010684041634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62.04256183553192</v>
      </c>
      <c r="DG89" s="21">
        <f>EXP(-LN(2)/25)*DG88+(1-EXP(-LN(2)/25))/(LN(2)/25)*Calculateur!DB89*Calculateur!DD89*VLOOKUP('Données projet'!$B$13,Paramètres!$A$1:$I$89,3,0)*0.475*44/12</f>
        <v>0</v>
      </c>
      <c r="DH89" s="21">
        <f>EXP(-LN(2)/2)*DH88+(1-EXP(-LN(2)/2))/(LN(2)/2)*DB89*DE89*VLOOKUP('Données projet'!$B$13,Paramètres!$A$1:$I$89,3,0)*0.475*44/12</f>
        <v>0</v>
      </c>
      <c r="DI89" s="22">
        <f t="shared" si="69"/>
        <v>62.04256183553192</v>
      </c>
      <c r="DJ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6.6</v>
      </c>
      <c r="DO89" s="12">
        <f>IF('Données projet'!$A$166&gt;35,DO88+DN89-DW88,IF(A89&lt;'Données projet'!$A$166,$DL$205^A89,IF(A89='Données projet'!$A$166,'Données projet'!$B$166,DO88+DN89-DW88)))</f>
        <v>331.59999999999991</v>
      </c>
      <c r="DP89" s="17">
        <f>DO89*VLOOKUP('Données projet'!$B$14,Paramètres!$A$1:$I$89,3,0)*VLOOKUP('Données projet'!$B$14,Paramètres!$A$1:$I$89,5,0)</f>
        <v>315.55055999999996</v>
      </c>
      <c r="DQ89" s="13">
        <f t="shared" si="97"/>
        <v>74.426808043578163</v>
      </c>
      <c r="DR89" s="20">
        <f t="shared" si="70"/>
        <v>679.21058267589854</v>
      </c>
      <c r="DS89" s="59">
        <f t="shared" si="71"/>
        <v>947.79638832343062</v>
      </c>
      <c r="DT89" s="59">
        <f ca="1">AVERAGE(OFFSET($DS$3,0,0,'Données projet'!$E$14+1,1))-AVERAGE(OFFSET($H$3,0,0,'Données projet'!$E$14+1,1))</f>
        <v>590.05965493677377</v>
      </c>
      <c r="DU89" s="59">
        <f t="shared" si="98"/>
        <v>378.40640480134505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58.224558030268412</v>
      </c>
      <c r="EB89" s="21">
        <f>EXP(-LN(2)/25)*EB88+(1-EXP(-LN(2)/25))/(LN(2)/25)*Calculateur!DW89*Calculateur!DY89*VLOOKUP('Données projet'!$B$14,Paramètres!$A$1:$I$89,3,0)*0.475*44/12</f>
        <v>0</v>
      </c>
      <c r="EC89" s="21">
        <f>EXP(-LN(2)/2)*EC88+(1-EXP(-LN(2)/2))/(LN(2)/2)*DW89*DZ89*VLOOKUP('Données projet'!$B$14,Paramètres!$A$1:$I$89,3,0)*0.475*44/12</f>
        <v>0</v>
      </c>
      <c r="ED89" s="22">
        <f t="shared" si="72"/>
        <v>58.224558030268412</v>
      </c>
      <c r="EE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63.250674267508742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2">
        <f>'Scénario référence'!$B$16*5+'Scénario référence'!$B$17*0+'Scénario référence'!$B$18*5</f>
        <v>4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14.666666666666666</v>
      </c>
      <c r="H90" s="66">
        <f t="shared" si="56"/>
        <v>159.86666666666667</v>
      </c>
      <c r="I90" s="6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-2.9085640562698246E-14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140.03175887621094</v>
      </c>
      <c r="T90" s="59">
        <f t="shared" si="88"/>
        <v>377.29475975964954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22.839525145980151</v>
      </c>
      <c r="AA90" s="21">
        <f>EXP(-LN(2)/25)*AA89+(1-EXP(-LN(2)/25))/(LN(2)/25)*Calculateur!V90*Calculateur!X90*VLOOKUP('Données projet'!$B$9,Paramètres!$A$1:$I$89,3,0)*0.475*44/12</f>
        <v>0</v>
      </c>
      <c r="AB90" s="21">
        <f>EXP(-LN(2)/2)*AB89+(1-EXP(-LN(2)/2))/(LN(2)/2)*V90*Y90*VLOOKUP('Données projet'!$B$9,Paramètres!$A$1:$I$89,3,0)*0.475*44/12</f>
        <v>6.456189739507358E-9</v>
      </c>
      <c r="AC90" s="22">
        <f t="shared" si="57"/>
        <v>22.839525152436341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-5.6843418860808015E-14</v>
      </c>
      <c r="AJ90" s="13">
        <f>AI90*VLOOKUP('Données projet'!$B$10,Paramètres!$A$1:$I$89,3,0)*VLOOKUP('Données projet'!$B$10,Paramètres!$A$1:$I$89,5,0)</f>
        <v>-2.8642261895583942E-14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138.27364731587764</v>
      </c>
      <c r="AO90" s="59">
        <f t="shared" si="90"/>
        <v>372.50391467700013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22.491361652901169</v>
      </c>
      <c r="AV90" s="21">
        <f>EXP(-LN(2)/25)*AV89+(1-EXP(-LN(2)/25))/(LN(2)/25)*Calculateur!AQ90*Calculateur!AS90*VLOOKUP('Données projet'!$B$10,Paramètres!$A$1:$I$89,3,0)*0.475*44/12</f>
        <v>0</v>
      </c>
      <c r="AW90" s="21">
        <f>EXP(-LN(2)/2)*AW89+(1-EXP(-LN(2)/2))/(LN(2)/2)*AQ90*AT90*VLOOKUP('Données projet'!$B$10,Paramètres!$A$1:$I$89,3,0)*0.475*44/12</f>
        <v>6.3577722129904711E-9</v>
      </c>
      <c r="AX90" s="21">
        <f t="shared" si="60"/>
        <v>22.491361659258942</v>
      </c>
      <c r="AY90" s="7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6.6</v>
      </c>
      <c r="BD90" s="12">
        <f>IF('Données projet'!$A$88&gt;35,BD89+BC90-BL89,IF(A90&lt;'Données projet'!$A$88,$BA$205^A90,IF(A90='Données projet'!$A$88,'Données projet'!$B$88,BD89+BC90-BL89)))</f>
        <v>338.19999999999993</v>
      </c>
      <c r="BE90" s="13">
        <f>BD90*VLOOKUP('Données projet'!$B$11,Paramètres!$A$1:$I$89,3,0)*VLOOKUP('Données projet'!$B$11,Paramètres!$A$1:$I$89,5,0)</f>
        <v>353.48663999999997</v>
      </c>
      <c r="BF90" s="13">
        <f t="shared" si="91"/>
        <v>82.280031916142704</v>
      </c>
      <c r="BG90" s="20">
        <f t="shared" si="61"/>
        <v>758.96028692061509</v>
      </c>
      <c r="BH90" s="59">
        <f t="shared" si="62"/>
        <v>1027.9754068463126</v>
      </c>
      <c r="BI90" s="59">
        <f ca="1">AVERAGE(OFFSET($BH$3,0,0,'Données projet'!$E$11+1,1))-AVERAGE(OFFSET($H$3,0,0,'Données projet'!$E$11+1,1))</f>
        <v>638.07304290599211</v>
      </c>
      <c r="BJ90" s="59">
        <f t="shared" si="92"/>
        <v>408.22196233793511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62.697512579860572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62.697512579860572</v>
      </c>
      <c r="BT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338.19999999999993</v>
      </c>
      <c r="BZ90" s="13">
        <f>BY90*VLOOKUP('Données projet'!$B$12,Paramètres!$A$1:$I$89,3,0)*VLOOKUP('Données projet'!$B$12,Paramètres!$A$1:$I$89,5,0)</f>
        <v>385.14215999999993</v>
      </c>
      <c r="CA90" s="13">
        <f t="shared" si="93"/>
        <v>88.757862535986675</v>
      </c>
      <c r="CB90" s="20">
        <f t="shared" si="64"/>
        <v>825.37587258351004</v>
      </c>
      <c r="CC90" s="59">
        <f t="shared" si="65"/>
        <v>1094.3909925092075</v>
      </c>
      <c r="CD90" s="59">
        <f ca="1">AVERAGE(OFFSET($CC$3,0,0,'Données projet'!$E$12+1,1))-AVERAGE(OFFSET($H$3,0,0,'Données projet'!$E$12+1,1))</f>
        <v>685.99951993586967</v>
      </c>
      <c r="CE90" s="59">
        <f t="shared" si="94"/>
        <v>437.98014017823095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68.312215198952558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68.312215198952558</v>
      </c>
      <c r="CO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6.6</v>
      </c>
      <c r="CT90" s="12">
        <f>IF('Données projet'!$A$140&gt;35,CT89+CS90-DB89,IF(A90&lt;'Données projet'!$A$140,$CQ$205^A90,IF(A90='Données projet'!$A$140,'Données projet'!$B$140,CT89+CS90-DB89)))</f>
        <v>338.19999999999993</v>
      </c>
      <c r="CU90" s="17">
        <f>CT90*VLOOKUP('Données projet'!$B$13,Paramètres!$A$1:$I$89,3,0)*VLOOKUP('Données projet'!$B$13,Paramètres!$A$1:$I$89,5,0)</f>
        <v>342.93479999999994</v>
      </c>
      <c r="CV90" s="13">
        <f t="shared" si="95"/>
        <v>80.105991046658843</v>
      </c>
      <c r="CW90" s="20">
        <f t="shared" si="67"/>
        <v>736.79604440626406</v>
      </c>
      <c r="CX90" s="59">
        <f t="shared" si="68"/>
        <v>1005.8111643319614</v>
      </c>
      <c r="CY90" s="59">
        <f ca="1">AVERAGE(OFFSET($CX$3,0,0,'Données projet'!$E$13+1,1))-AVERAGE(OFFSET($H$3,0,0,'Données projet'!$E$13+1,1))</f>
        <v>622.07867348539082</v>
      </c>
      <c r="CZ90" s="59">
        <f t="shared" si="96"/>
        <v>398.29010684041634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60.825945040163248</v>
      </c>
      <c r="DG90" s="21">
        <f>EXP(-LN(2)/25)*DG89+(1-EXP(-LN(2)/25))/(LN(2)/25)*Calculateur!DB90*Calculateur!DD90*VLOOKUP('Données projet'!$B$13,Paramètres!$A$1:$I$89,3,0)*0.475*44/12</f>
        <v>0</v>
      </c>
      <c r="DH90" s="21">
        <f>EXP(-LN(2)/2)*DH89+(1-EXP(-LN(2)/2))/(LN(2)/2)*DB90*DE90*VLOOKUP('Données projet'!$B$13,Paramètres!$A$1:$I$89,3,0)*0.475*44/12</f>
        <v>0</v>
      </c>
      <c r="DI90" s="22">
        <f t="shared" si="69"/>
        <v>60.825945040163248</v>
      </c>
      <c r="DJ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6.6</v>
      </c>
      <c r="DO90" s="12">
        <f>IF('Données projet'!$A$166&gt;35,DO89+DN90-DW89,IF(A90&lt;'Données projet'!$A$166,$DL$205^A90,IF(A90='Données projet'!$A$166,'Données projet'!$B$166,DO89+DN90-DW89)))</f>
        <v>338.19999999999993</v>
      </c>
      <c r="DP90" s="17">
        <f>DO90*VLOOKUP('Données projet'!$B$14,Paramètres!$A$1:$I$89,3,0)*VLOOKUP('Données projet'!$B$14,Paramètres!$A$1:$I$89,5,0)</f>
        <v>321.83111999999994</v>
      </c>
      <c r="DQ90" s="13">
        <f t="shared" si="97"/>
        <v>75.734227173110753</v>
      </c>
      <c r="DR90" s="20">
        <f t="shared" si="70"/>
        <v>692.42631299316781</v>
      </c>
      <c r="DS90" s="59">
        <f t="shared" si="71"/>
        <v>961.4414329188653</v>
      </c>
      <c r="DT90" s="59">
        <f ca="1">AVERAGE(OFFSET($DS$3,0,0,'Données projet'!$E$14+1,1))-AVERAGE(OFFSET($H$3,0,0,'Données projet'!$E$14+1,1))</f>
        <v>590.05965493677377</v>
      </c>
      <c r="DU90" s="59">
        <f t="shared" si="98"/>
        <v>378.40640480134505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57.082809960768586</v>
      </c>
      <c r="EB90" s="21">
        <f>EXP(-LN(2)/25)*EB89+(1-EXP(-LN(2)/25))/(LN(2)/25)*Calculateur!DW90*Calculateur!DY90*VLOOKUP('Données projet'!$B$14,Paramètres!$A$1:$I$89,3,0)*0.475*44/12</f>
        <v>0</v>
      </c>
      <c r="EC90" s="21">
        <f>EXP(-LN(2)/2)*EC89+(1-EXP(-LN(2)/2))/(LN(2)/2)*DW90*DZ90*VLOOKUP('Données projet'!$B$14,Paramètres!$A$1:$I$89,3,0)*0.475*44/12</f>
        <v>0</v>
      </c>
      <c r="ED90" s="22">
        <f t="shared" si="72"/>
        <v>57.082809960768586</v>
      </c>
      <c r="EE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63.367759979735659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2">
        <f>'Scénario référence'!$B$16*5+'Scénario référence'!$B$17*0+'Scénario référence'!$B$18*5</f>
        <v>4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14.666666666666666</v>
      </c>
      <c r="H91" s="66">
        <f t="shared" si="56"/>
        <v>159.86666666666667</v>
      </c>
      <c r="I91" s="6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-2.9085640562698246E-14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140.03175887621094</v>
      </c>
      <c r="T91" s="59">
        <f t="shared" si="88"/>
        <v>377.29475975964954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22.391655988602274</v>
      </c>
      <c r="AA91" s="21">
        <f>EXP(-LN(2)/25)*AA90+(1-EXP(-LN(2)/25))/(LN(2)/25)*Calculateur!V91*Calculateur!X91*VLOOKUP('Données projet'!$B$9,Paramètres!$A$1:$I$89,3,0)*0.475*44/12</f>
        <v>0</v>
      </c>
      <c r="AB91" s="21">
        <f>EXP(-LN(2)/2)*AB90+(1-EXP(-LN(2)/2))/(LN(2)/2)*V91*Y91*VLOOKUP('Données projet'!$B$9,Paramètres!$A$1:$I$89,3,0)*0.475*44/12</f>
        <v>4.5652155454326626E-9</v>
      </c>
      <c r="AC91" s="22">
        <f t="shared" si="57"/>
        <v>22.39165599316749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-5.6843418860808015E-14</v>
      </c>
      <c r="AJ91" s="13">
        <f>AI91*VLOOKUP('Données projet'!$B$10,Paramètres!$A$1:$I$89,3,0)*VLOOKUP('Données projet'!$B$10,Paramètres!$A$1:$I$89,5,0)</f>
        <v>-2.8642261895583942E-14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138.27364731587764</v>
      </c>
      <c r="AO91" s="59">
        <f t="shared" si="90"/>
        <v>372.50391467700013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22.050319769263808</v>
      </c>
      <c r="AV91" s="21">
        <f>EXP(-LN(2)/25)*AV90+(1-EXP(-LN(2)/25))/(LN(2)/25)*Calculateur!AQ91*Calculateur!AS91*VLOOKUP('Données projet'!$B$10,Paramètres!$A$1:$I$89,3,0)*0.475*44/12</f>
        <v>0</v>
      </c>
      <c r="AW91" s="21">
        <f>EXP(-LN(2)/2)*AW90+(1-EXP(-LN(2)/2))/(LN(2)/2)*AQ91*AT91*VLOOKUP('Données projet'!$B$10,Paramètres!$A$1:$I$89,3,0)*0.475*44/12</f>
        <v>4.495623845044965E-9</v>
      </c>
      <c r="AX91" s="21">
        <f t="shared" si="60"/>
        <v>22.050319773759433</v>
      </c>
      <c r="AY91" s="7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6.6</v>
      </c>
      <c r="BD91" s="12">
        <f>IF('Données projet'!$A$88&gt;35,BD90+BC91-BL90,IF(A91&lt;'Données projet'!$A$88,$BA$205^A91,IF(A91='Données projet'!$A$88,'Données projet'!$B$88,BD90+BC91-BL90)))</f>
        <v>344.79999999999995</v>
      </c>
      <c r="BE91" s="13">
        <f>BD91*VLOOKUP('Données projet'!$B$11,Paramètres!$A$1:$I$89,3,0)*VLOOKUP('Données projet'!$B$11,Paramètres!$A$1:$I$89,5,0)</f>
        <v>360.38495999999998</v>
      </c>
      <c r="BF91" s="13">
        <f t="shared" si="91"/>
        <v>83.697229810236507</v>
      </c>
      <c r="BG91" s="20">
        <f t="shared" si="61"/>
        <v>773.44314725282857</v>
      </c>
      <c r="BH91" s="59">
        <f t="shared" si="62"/>
        <v>1042.880133813768</v>
      </c>
      <c r="BI91" s="59">
        <f ca="1">AVERAGE(OFFSET($BH$3,0,0,'Données projet'!$E$11+1,1))-AVERAGE(OFFSET($H$3,0,0,'Données projet'!$E$11+1,1))</f>
        <v>638.07304290599211</v>
      </c>
      <c r="BJ91" s="59">
        <f t="shared" si="92"/>
        <v>408.22196233793511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61.468052599876124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61.468052599876124</v>
      </c>
      <c r="BT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344.79999999999995</v>
      </c>
      <c r="BZ91" s="13">
        <f>BY91*VLOOKUP('Données projet'!$B$12,Paramètres!$A$1:$I$89,3,0)*VLOOKUP('Données projet'!$B$12,Paramètres!$A$1:$I$89,5,0)</f>
        <v>392.65823999999992</v>
      </c>
      <c r="CA91" s="13">
        <f t="shared" si="93"/>
        <v>90.286635106207129</v>
      </c>
      <c r="CB91" s="20">
        <f t="shared" si="64"/>
        <v>841.12899080997715</v>
      </c>
      <c r="CC91" s="59">
        <f t="shared" si="65"/>
        <v>1110.5659773709167</v>
      </c>
      <c r="CD91" s="59">
        <f ca="1">AVERAGE(OFFSET($CC$3,0,0,'Données projet'!$E$12+1,1))-AVERAGE(OFFSET($H$3,0,0,'Données projet'!$E$12+1,1))</f>
        <v>685.99951993586967</v>
      </c>
      <c r="CE91" s="59">
        <f t="shared" si="94"/>
        <v>437.98014017823095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66.972654325238153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66.972654325238153</v>
      </c>
      <c r="CO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6.6</v>
      </c>
      <c r="CT91" s="12">
        <f>IF('Données projet'!$A$140&gt;35,CT90+CS91-DB90,IF(A91&lt;'Données projet'!$A$140,$CQ$205^A91,IF(A91='Données projet'!$A$140,'Données projet'!$B$140,CT90+CS91-DB90)))</f>
        <v>344.79999999999995</v>
      </c>
      <c r="CU91" s="17">
        <f>CT91*VLOOKUP('Données projet'!$B$13,Paramètres!$A$1:$I$89,3,0)*VLOOKUP('Données projet'!$B$13,Paramètres!$A$1:$I$89,5,0)</f>
        <v>349.62719999999996</v>
      </c>
      <c r="CV91" s="13">
        <f t="shared" si="95"/>
        <v>81.485743085784506</v>
      </c>
      <c r="CW91" s="20">
        <f t="shared" si="67"/>
        <v>750.85504254107457</v>
      </c>
      <c r="CX91" s="59">
        <f t="shared" si="68"/>
        <v>1020.2920291020141</v>
      </c>
      <c r="CY91" s="59">
        <f ca="1">AVERAGE(OFFSET($CX$3,0,0,'Données projet'!$E$13+1,1))-AVERAGE(OFFSET($H$3,0,0,'Données projet'!$E$13+1,1))</f>
        <v>622.07867348539082</v>
      </c>
      <c r="CZ91" s="59">
        <f t="shared" si="96"/>
        <v>398.29010684041634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59.633185358088781</v>
      </c>
      <c r="DG91" s="21">
        <f>EXP(-LN(2)/25)*DG90+(1-EXP(-LN(2)/25))/(LN(2)/25)*Calculateur!DB91*Calculateur!DD91*VLOOKUP('Données projet'!$B$13,Paramètres!$A$1:$I$89,3,0)*0.475*44/12</f>
        <v>0</v>
      </c>
      <c r="DH91" s="21">
        <f>EXP(-LN(2)/2)*DH90+(1-EXP(-LN(2)/2))/(LN(2)/2)*DB91*DE91*VLOOKUP('Données projet'!$B$13,Paramètres!$A$1:$I$89,3,0)*0.475*44/12</f>
        <v>0</v>
      </c>
      <c r="DI91" s="22">
        <f t="shared" si="69"/>
        <v>59.633185358088781</v>
      </c>
      <c r="DJ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6.6</v>
      </c>
      <c r="DO91" s="12">
        <f>IF('Données projet'!$A$166&gt;35,DO90+DN91-DW90,IF(A91&lt;'Données projet'!$A$166,$DL$205^A91,IF(A91='Données projet'!$A$166,'Données projet'!$B$166,DO90+DN91-DW90)))</f>
        <v>344.79999999999995</v>
      </c>
      <c r="DP91" s="17">
        <f>DO91*VLOOKUP('Données projet'!$B$14,Paramètres!$A$1:$I$89,3,0)*VLOOKUP('Données projet'!$B$14,Paramètres!$A$1:$I$89,5,0)</f>
        <v>328.11167999999998</v>
      </c>
      <c r="DQ91" s="13">
        <f t="shared" si="97"/>
        <v>77.038679599307471</v>
      </c>
      <c r="DR91" s="20">
        <f t="shared" si="70"/>
        <v>705.63687630212701</v>
      </c>
      <c r="DS91" s="59">
        <f t="shared" si="71"/>
        <v>975.07386286306655</v>
      </c>
      <c r="DT91" s="59">
        <f ca="1">AVERAGE(OFFSET($DS$3,0,0,'Données projet'!$E$14+1,1))-AVERAGE(OFFSET($H$3,0,0,'Données projet'!$E$14+1,1))</f>
        <v>590.05965493677377</v>
      </c>
      <c r="DU91" s="59">
        <f t="shared" si="98"/>
        <v>378.40640480134505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55.963450874514088</v>
      </c>
      <c r="EB91" s="21">
        <f>EXP(-LN(2)/25)*EB90+(1-EXP(-LN(2)/25))/(LN(2)/25)*Calculateur!DW91*Calculateur!DY91*VLOOKUP('Données projet'!$B$14,Paramètres!$A$1:$I$89,3,0)*0.475*44/12</f>
        <v>0</v>
      </c>
      <c r="EC91" s="21">
        <f>EXP(-LN(2)/2)*EC90+(1-EXP(-LN(2)/2))/(LN(2)/2)*DW91*DZ91*VLOOKUP('Données projet'!$B$14,Paramètres!$A$1:$I$89,3,0)*0.475*44/12</f>
        <v>0</v>
      </c>
      <c r="ED91" s="22">
        <f t="shared" si="72"/>
        <v>55.963450874514088</v>
      </c>
      <c r="EE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63.482814516619875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2">
        <f>'Scénario référence'!$B$16*5+'Scénario référence'!$B$17*0+'Scénario référence'!$B$18*5</f>
        <v>4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14.666666666666666</v>
      </c>
      <c r="H92" s="66">
        <f t="shared" si="56"/>
        <v>159.86666666666667</v>
      </c>
      <c r="I92" s="6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-2.9085640562698246E-14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140.03175887621094</v>
      </c>
      <c r="T92" s="59">
        <f t="shared" si="88"/>
        <v>377.29475975964954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21.952569272227365</v>
      </c>
      <c r="AA92" s="21">
        <f>EXP(-LN(2)/25)*AA91+(1-EXP(-LN(2)/25))/(LN(2)/25)*Calculateur!V92*Calculateur!X92*VLOOKUP('Données projet'!$B$9,Paramètres!$A$1:$I$89,3,0)*0.475*44/12</f>
        <v>0</v>
      </c>
      <c r="AB92" s="21">
        <f>EXP(-LN(2)/2)*AB91+(1-EXP(-LN(2)/2))/(LN(2)/2)*V92*Y92*VLOOKUP('Données projet'!$B$9,Paramètres!$A$1:$I$89,3,0)*0.475*44/12</f>
        <v>3.228094869753679E-9</v>
      </c>
      <c r="AC92" s="22">
        <f t="shared" si="57"/>
        <v>21.95256927545546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-5.6843418860808015E-14</v>
      </c>
      <c r="AJ92" s="13">
        <f>AI92*VLOOKUP('Données projet'!$B$10,Paramètres!$A$1:$I$89,3,0)*VLOOKUP('Données projet'!$B$10,Paramètres!$A$1:$I$89,5,0)</f>
        <v>-2.8642261895583942E-14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138.27364731587764</v>
      </c>
      <c r="AO92" s="59">
        <f t="shared" si="90"/>
        <v>372.50391467700013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21.61792644795559</v>
      </c>
      <c r="AV92" s="21">
        <f>EXP(-LN(2)/25)*AV91+(1-EXP(-LN(2)/25))/(LN(2)/25)*Calculateur!AQ92*Calculateur!AS92*VLOOKUP('Données projet'!$B$10,Paramètres!$A$1:$I$89,3,0)*0.475*44/12</f>
        <v>0</v>
      </c>
      <c r="AW92" s="21">
        <f>EXP(-LN(2)/2)*AW91+(1-EXP(-LN(2)/2))/(LN(2)/2)*AQ92*AT92*VLOOKUP('Données projet'!$B$10,Paramètres!$A$1:$I$89,3,0)*0.475*44/12</f>
        <v>3.1788861064952355E-9</v>
      </c>
      <c r="AX92" s="21">
        <f t="shared" si="60"/>
        <v>21.617926451134476</v>
      </c>
      <c r="AY92" s="7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6.6</v>
      </c>
      <c r="BD92" s="12">
        <f>IF('Données projet'!$A$88&gt;35,BD91+BC92-BL91,IF(A92&lt;'Données projet'!$A$88,$BA$205^A92,IF(A92='Données projet'!$A$88,'Données projet'!$B$88,BD91+BC92-BL91)))</f>
        <v>351.4</v>
      </c>
      <c r="BE92" s="13">
        <f>BD92*VLOOKUP('Données projet'!$B$11,Paramètres!$A$1:$I$89,3,0)*VLOOKUP('Données projet'!$B$11,Paramètres!$A$1:$I$89,5,0)</f>
        <v>367.28327999999999</v>
      </c>
      <c r="BF92" s="13">
        <f t="shared" si="91"/>
        <v>85.111273393674225</v>
      </c>
      <c r="BG92" s="20">
        <f t="shared" si="61"/>
        <v>787.92051382731586</v>
      </c>
      <c r="BH92" s="59">
        <f t="shared" si="62"/>
        <v>1057.7720485805285</v>
      </c>
      <c r="BI92" s="59">
        <f ca="1">AVERAGE(OFFSET($BH$3,0,0,'Données projet'!$E$11+1,1))-AVERAGE(OFFSET($H$3,0,0,'Données projet'!$E$11+1,1))</f>
        <v>638.07304290599211</v>
      </c>
      <c r="BJ92" s="59">
        <f t="shared" si="92"/>
        <v>408.22196233793511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60.262701580202631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60.262701580202631</v>
      </c>
      <c r="BT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351.4</v>
      </c>
      <c r="BZ92" s="13">
        <f>BY92*VLOOKUP('Données projet'!$B$12,Paramètres!$A$1:$I$89,3,0)*VLOOKUP('Données projet'!$B$12,Paramètres!$A$1:$I$89,5,0)</f>
        <v>400.17432000000002</v>
      </c>
      <c r="CA92" s="13">
        <f t="shared" si="93"/>
        <v>91.812005029818465</v>
      </c>
      <c r="CB92" s="20">
        <f t="shared" si="64"/>
        <v>856.87618276026717</v>
      </c>
      <c r="CC92" s="59">
        <f t="shared" si="65"/>
        <v>1126.72771751348</v>
      </c>
      <c r="CD92" s="59">
        <f ca="1">AVERAGE(OFFSET($CC$3,0,0,'Données projet'!$E$12+1,1))-AVERAGE(OFFSET($H$3,0,0,'Données projet'!$E$12+1,1))</f>
        <v>685.99951993586967</v>
      </c>
      <c r="CE92" s="59">
        <f t="shared" si="94"/>
        <v>437.98014017823095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65.659361423205837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65.659361423205837</v>
      </c>
      <c r="CO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6.6</v>
      </c>
      <c r="CT92" s="12">
        <f>IF('Données projet'!$A$140&gt;35,CT91+CS92-DB91,IF(A92&lt;'Données projet'!$A$140,$CQ$205^A92,IF(A92='Données projet'!$A$140,'Données projet'!$B$140,CT91+CS92-DB91)))</f>
        <v>351.4</v>
      </c>
      <c r="CU92" s="17">
        <f>CT92*VLOOKUP('Données projet'!$B$13,Paramètres!$A$1:$I$89,3,0)*VLOOKUP('Données projet'!$B$13,Paramètres!$A$1:$I$89,5,0)</f>
        <v>356.31959999999998</v>
      </c>
      <c r="CV92" s="13">
        <f t="shared" si="95"/>
        <v>82.862424158901803</v>
      </c>
      <c r="CW92" s="20">
        <f t="shared" si="67"/>
        <v>764.90869207675394</v>
      </c>
      <c r="CX92" s="59">
        <f t="shared" si="68"/>
        <v>1034.7602268299665</v>
      </c>
      <c r="CY92" s="59">
        <f ca="1">AVERAGE(OFFSET($CX$3,0,0,'Données projet'!$E$13+1,1))-AVERAGE(OFFSET($H$3,0,0,'Données projet'!$E$13+1,1))</f>
        <v>622.07867348539082</v>
      </c>
      <c r="CZ92" s="59">
        <f t="shared" si="96"/>
        <v>398.29010684041634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58.463814965868231</v>
      </c>
      <c r="DG92" s="21">
        <f>EXP(-LN(2)/25)*DG91+(1-EXP(-LN(2)/25))/(LN(2)/25)*Calculateur!DB92*Calculateur!DD92*VLOOKUP('Données projet'!$B$13,Paramètres!$A$1:$I$89,3,0)*0.475*44/12</f>
        <v>0</v>
      </c>
      <c r="DH92" s="21">
        <f>EXP(-LN(2)/2)*DH91+(1-EXP(-LN(2)/2))/(LN(2)/2)*DB92*DE92*VLOOKUP('Données projet'!$B$13,Paramètres!$A$1:$I$89,3,0)*0.475*44/12</f>
        <v>0</v>
      </c>
      <c r="DI92" s="22">
        <f t="shared" si="69"/>
        <v>58.463814965868231</v>
      </c>
      <c r="DJ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6.6</v>
      </c>
      <c r="DO92" s="12">
        <f>IF('Données projet'!$A$166&gt;35,DO91+DN92-DW91,IF(A92&lt;'Données projet'!$A$166,$DL$205^A92,IF(A92='Données projet'!$A$166,'Données projet'!$B$166,DO91+DN92-DW91)))</f>
        <v>351.4</v>
      </c>
      <c r="DP92" s="17">
        <f>DO92*VLOOKUP('Données projet'!$B$14,Paramètres!$A$1:$I$89,3,0)*VLOOKUP('Données projet'!$B$14,Paramètres!$A$1:$I$89,5,0)</f>
        <v>334.39224000000002</v>
      </c>
      <c r="DQ92" s="13">
        <f t="shared" si="97"/>
        <v>78.340228656676516</v>
      </c>
      <c r="DR92" s="20">
        <f t="shared" si="70"/>
        <v>718.84238291037821</v>
      </c>
      <c r="DS92" s="59">
        <f t="shared" si="71"/>
        <v>988.69391766359092</v>
      </c>
      <c r="DT92" s="59">
        <f ca="1">AVERAGE(OFFSET($DS$3,0,0,'Données projet'!$E$14+1,1))-AVERAGE(OFFSET($H$3,0,0,'Données projet'!$E$14+1,1))</f>
        <v>590.05965493677377</v>
      </c>
      <c r="DU92" s="59">
        <f t="shared" si="98"/>
        <v>378.40640480134505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54.866041737199417</v>
      </c>
      <c r="EB92" s="21">
        <f>EXP(-LN(2)/25)*EB91+(1-EXP(-LN(2)/25))/(LN(2)/25)*Calculateur!DW92*Calculateur!DY92*VLOOKUP('Données projet'!$B$14,Paramètres!$A$1:$I$89,3,0)*0.475*44/12</f>
        <v>0</v>
      </c>
      <c r="EC92" s="21">
        <f>EXP(-LN(2)/2)*EC91+(1-EXP(-LN(2)/2))/(LN(2)/2)*DW92*DZ92*VLOOKUP('Données projet'!$B$14,Paramètres!$A$1:$I$89,3,0)*0.475*44/12</f>
        <v>0</v>
      </c>
      <c r="ED92" s="22">
        <f t="shared" si="72"/>
        <v>54.866041737199417</v>
      </c>
      <c r="EE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63.595873114512557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2">
        <f>'Scénario référence'!$B$16*5+'Scénario référence'!$B$17*0+'Scénario référence'!$B$18*5</f>
        <v>4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14.666666666666666</v>
      </c>
      <c r="H93" s="66">
        <f t="shared" si="56"/>
        <v>159.86666666666667</v>
      </c>
      <c r="I93" s="6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-2.9085640562698246E-14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140.03175887621094</v>
      </c>
      <c r="T93" s="59">
        <f t="shared" si="88"/>
        <v>377.29475975964954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21.522092778544113</v>
      </c>
      <c r="AA93" s="21">
        <f>EXP(-LN(2)/25)*AA92+(1-EXP(-LN(2)/25))/(LN(2)/25)*Calculateur!V93*Calculateur!X93*VLOOKUP('Données projet'!$B$9,Paramètres!$A$1:$I$89,3,0)*0.475*44/12</f>
        <v>0</v>
      </c>
      <c r="AB93" s="21">
        <f>EXP(-LN(2)/2)*AB92+(1-EXP(-LN(2)/2))/(LN(2)/2)*V93*Y93*VLOOKUP('Données projet'!$B$9,Paramètres!$A$1:$I$89,3,0)*0.475*44/12</f>
        <v>2.2826077727163313E-9</v>
      </c>
      <c r="AC93" s="22">
        <f t="shared" si="57"/>
        <v>21.522092780826721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-5.6843418860808015E-14</v>
      </c>
      <c r="AJ93" s="13">
        <f>AI93*VLOOKUP('Données projet'!$B$10,Paramètres!$A$1:$I$89,3,0)*VLOOKUP('Données projet'!$B$10,Paramètres!$A$1:$I$89,5,0)</f>
        <v>-2.8642261895583942E-14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138.27364731587764</v>
      </c>
      <c r="AO93" s="59">
        <f t="shared" si="90"/>
        <v>372.50391467700013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21.194012095944341</v>
      </c>
      <c r="AV93" s="21">
        <f>EXP(-LN(2)/25)*AV92+(1-EXP(-LN(2)/25))/(LN(2)/25)*Calculateur!AQ93*Calculateur!AS93*VLOOKUP('Données projet'!$B$10,Paramètres!$A$1:$I$89,3,0)*0.475*44/12</f>
        <v>0</v>
      </c>
      <c r="AW93" s="21">
        <f>EXP(-LN(2)/2)*AW92+(1-EXP(-LN(2)/2))/(LN(2)/2)*AQ93*AT93*VLOOKUP('Données projet'!$B$10,Paramètres!$A$1:$I$89,3,0)*0.475*44/12</f>
        <v>2.2478119225224825E-9</v>
      </c>
      <c r="AX93" s="21">
        <f t="shared" si="60"/>
        <v>21.194012098192154</v>
      </c>
      <c r="AY93" s="7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358.00000000000006</v>
      </c>
      <c r="BB93" s="12">
        <f>VLOOKUP(A93,'Données projet'!$A$87:$I$107,9,0)</f>
        <v>6.6</v>
      </c>
      <c r="BC93" s="12">
        <f t="array" ref="BC93">INDEX(BB:BB,MIN(IF(ISNUMBER(BB93:BB289),ROW(BB93:BB289),"")))</f>
        <v>6.6</v>
      </c>
      <c r="BD93" s="12">
        <f>IF('Données projet'!$A$88&gt;35,BD92+BC93-BL92,IF(A93&lt;'Données projet'!$A$88,$BA$205^A93,IF(A93='Données projet'!$A$88,'Données projet'!$B$88,BD92+BC93-BL92)))</f>
        <v>358</v>
      </c>
      <c r="BE93" s="13">
        <f>BD93*VLOOKUP('Données projet'!$B$11,Paramètres!$A$1:$I$89,3,0)*VLOOKUP('Données projet'!$B$11,Paramètres!$A$1:$I$89,5,0)</f>
        <v>374.18160000000006</v>
      </c>
      <c r="BF93" s="13">
        <f t="shared" si="91"/>
        <v>86.52222874239277</v>
      </c>
      <c r="BG93" s="20">
        <f t="shared" si="61"/>
        <v>802.39250172633422</v>
      </c>
      <c r="BH93" s="59">
        <f t="shared" si="62"/>
        <v>1072.6513931874752</v>
      </c>
      <c r="BI93" s="59">
        <f ca="1">AVERAGE(OFFSET($BH$3,0,0,'Données projet'!$E$11+1,1))-AVERAGE(OFFSET($H$3,0,0,'Données projet'!$E$11+1,1))</f>
        <v>638.07304290599211</v>
      </c>
      <c r="BJ93" s="59">
        <f t="shared" si="92"/>
        <v>408.22196233793511</v>
      </c>
      <c r="BK93" s="15">
        <f>IF(ISNA(VLOOKUP(A93,'Données projet'!$A$87:$I$107,3,0)),0,VLOOKUP(A93,'Données projet'!$A$87:$I$107,3,0))</f>
        <v>8</v>
      </c>
      <c r="BL93" s="15">
        <f>IF(ISNA(VLOOKUP(A93,'Données projet'!$A$87:$I$107,4,0)),0,VLOOKUP(A93,'Données projet'!$A$87:$I$107,4,0))</f>
        <v>56</v>
      </c>
      <c r="BM93" s="16">
        <f>IF(ISNA(VLOOKUP(A93,'Données projet'!$A$87:$I$107,5,0)),0%,VLOOKUP(A93,'Données projet'!$A$87:$I$107,5,0)*VLOOKUP('Données projet'!$B$11,Paramètres!$A$1:$I$89,7,0))</f>
        <v>0.36549999999999999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82.730484388432103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82.730484388432103</v>
      </c>
      <c r="BT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358.00000000000006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358</v>
      </c>
      <c r="BZ93" s="13">
        <f>BY93*VLOOKUP('Données projet'!$B$12,Paramètres!$A$1:$I$89,3,0)*VLOOKUP('Données projet'!$B$12,Paramètres!$A$1:$I$89,5,0)</f>
        <v>407.69039999999995</v>
      </c>
      <c r="CA93" s="13">
        <f t="shared" si="93"/>
        <v>93.334043584854641</v>
      </c>
      <c r="CB93" s="20">
        <f t="shared" si="64"/>
        <v>872.61757257695501</v>
      </c>
      <c r="CC93" s="59">
        <f t="shared" si="65"/>
        <v>1142.8764640380959</v>
      </c>
      <c r="CD93" s="59">
        <f ca="1">AVERAGE(OFFSET($CC$3,0,0,'Données projet'!$E$12+1,1))-AVERAGE(OFFSET($H$3,0,0,'Données projet'!$E$12+1,1))</f>
        <v>685.99951993586967</v>
      </c>
      <c r="CE93" s="59">
        <f t="shared" si="94"/>
        <v>437.98014017823095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0.36549999999999999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90.139184482918552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90.139184482918552</v>
      </c>
      <c r="CO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>
        <f>VLOOKUP(A93,'Données projet'!$A$139:$I$159,2,0)</f>
        <v>358.00000000000006</v>
      </c>
      <c r="CR93" s="12">
        <f>VLOOKUP(A93,'Données projet'!$A$139:$I$159,9,0)</f>
        <v>6.6</v>
      </c>
      <c r="CS93" s="12">
        <f t="array" ref="CS93">INDEX(CR:CR,MIN(IF(ISNUMBER(CR93:CR289),ROW(CR93:CR289),"")))</f>
        <v>6.6</v>
      </c>
      <c r="CT93" s="12">
        <f>IF('Données projet'!$A$140&gt;35,CT92+CS93-DB92,IF(A93&lt;'Données projet'!$A$140,$CQ$205^A93,IF(A93='Données projet'!$A$140,'Données projet'!$B$140,CT92+CS93-DB92)))</f>
        <v>358</v>
      </c>
      <c r="CU93" s="17">
        <f>CT93*VLOOKUP('Données projet'!$B$13,Paramètres!$A$1:$I$89,3,0)*VLOOKUP('Données projet'!$B$13,Paramètres!$A$1:$I$89,5,0)</f>
        <v>363.01200000000006</v>
      </c>
      <c r="CV93" s="13">
        <f t="shared" si="95"/>
        <v>84.236098596059009</v>
      </c>
      <c r="CW93" s="20">
        <f t="shared" si="67"/>
        <v>778.95710505480292</v>
      </c>
      <c r="CX93" s="59">
        <f t="shared" si="68"/>
        <v>1049.2159965159437</v>
      </c>
      <c r="CY93" s="59">
        <f ca="1">AVERAGE(OFFSET($CX$3,0,0,'Données projet'!$E$13+1,1))-AVERAGE(OFFSET($H$3,0,0,'Données projet'!$E$13+1,1))</f>
        <v>622.07867348539082</v>
      </c>
      <c r="CZ93" s="59">
        <f t="shared" si="96"/>
        <v>398.29010684041634</v>
      </c>
      <c r="DA93" s="15">
        <f>IF(ISNA(VLOOKUP(A93,'Données projet'!$A$139:$I$159,3,0)),0,VLOOKUP(A93,'Données projet'!$A$139:$I$159,3,0))</f>
        <v>8</v>
      </c>
      <c r="DB93" s="15">
        <f>IF(ISNA(VLOOKUP(A93,'Données projet'!$A$139:$I$159,4,0)),0,VLOOKUP(A93,'Données projet'!$A$139:$I$159,4,0))</f>
        <v>56</v>
      </c>
      <c r="DC93" s="16">
        <f>IF(ISNA(VLOOKUP(A93,'Données projet'!$A$139:$I$159,5,0)),0%,VLOOKUP(A93,'Données projet'!$A$139:$I$159,5,0)*VLOOKUP('Données projet'!$B$13,Paramètres!$A$1:$I$89,7,0))</f>
        <v>0.36549999999999999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80.260917690269963</v>
      </c>
      <c r="DG93" s="21">
        <f>EXP(-LN(2)/25)*DG92+(1-EXP(-LN(2)/25))/(LN(2)/25)*Calculateur!DB93*Calculateur!DD93*VLOOKUP('Données projet'!$B$13,Paramètres!$A$1:$I$89,3,0)*0.475*44/12</f>
        <v>0</v>
      </c>
      <c r="DH93" s="21">
        <f>EXP(-LN(2)/2)*DH92+(1-EXP(-LN(2)/2))/(LN(2)/2)*DB93*DE93*VLOOKUP('Données projet'!$B$13,Paramètres!$A$1:$I$89,3,0)*0.475*44/12</f>
        <v>0</v>
      </c>
      <c r="DI93" s="22">
        <f t="shared" si="69"/>
        <v>80.260917690269963</v>
      </c>
      <c r="DJ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>
        <f>VLOOKUP(A93,'Données projet'!$A$165:$I$185,2,0)</f>
        <v>358.00000000000006</v>
      </c>
      <c r="DM93" s="12">
        <f>VLOOKUP(A93,'Données projet'!$A$165:$I$185,9,0)</f>
        <v>6.6</v>
      </c>
      <c r="DN93" s="12">
        <f t="array" ref="DN93">INDEX(DM:DM,MIN(IF(ISNUMBER(DM93:DM289),ROW(DM93:DM289),"")))</f>
        <v>6.6</v>
      </c>
      <c r="DO93" s="12">
        <f>IF('Données projet'!$A$166&gt;35,DO92+DN93-DW92,IF(A93&lt;'Données projet'!$A$166,$DL$205^A93,IF(A93='Données projet'!$A$166,'Données projet'!$B$166,DO92+DN93-DW92)))</f>
        <v>358</v>
      </c>
      <c r="DP93" s="17">
        <f>DO93*VLOOKUP('Données projet'!$B$14,Paramètres!$A$1:$I$89,3,0)*VLOOKUP('Données projet'!$B$14,Paramètres!$A$1:$I$89,5,0)</f>
        <v>340.6728</v>
      </c>
      <c r="DQ93" s="13">
        <f t="shared" si="97"/>
        <v>79.638935164470269</v>
      </c>
      <c r="DR93" s="20">
        <f t="shared" si="70"/>
        <v>732.04293874478572</v>
      </c>
      <c r="DS93" s="59">
        <f t="shared" si="71"/>
        <v>1002.3018302059265</v>
      </c>
      <c r="DT93" s="59">
        <f ca="1">AVERAGE(OFFSET($DS$3,0,0,'Données projet'!$E$14+1,1))-AVERAGE(OFFSET($H$3,0,0,'Données projet'!$E$14+1,1))</f>
        <v>590.05965493677377</v>
      </c>
      <c r="DU93" s="59">
        <f t="shared" si="98"/>
        <v>378.40640480134505</v>
      </c>
      <c r="DV93" s="15">
        <f>IF(ISNA(VLOOKUP(A93,'Données projet'!$A$165:$I$185,3,0)),0,VLOOKUP(A93,'Données projet'!$A$165:$I$185,3,0))</f>
        <v>8</v>
      </c>
      <c r="DW93" s="15">
        <f>IF(ISNA(VLOOKUP(A93,'Données projet'!$A$165:$I$185,4,0)),0,VLOOKUP(A93,'Données projet'!$A$165:$I$185,4,0))</f>
        <v>56</v>
      </c>
      <c r="DX93" s="16">
        <f>IF(ISNA(VLOOKUP(A93,'Données projet'!$A$165:$I$185,5,0)),0%,VLOOKUP(A93,'Données projet'!$A$165:$I$185,5,0)*VLOOKUP('Données projet'!$B$14,Paramètres!$A$1:$I$89,7,0))</f>
        <v>0.36549999999999999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75.321784293945655</v>
      </c>
      <c r="EB93" s="21">
        <f>EXP(-LN(2)/25)*EB92+(1-EXP(-LN(2)/25))/(LN(2)/25)*Calculateur!DW93*Calculateur!DY93*VLOOKUP('Données projet'!$B$14,Paramètres!$A$1:$I$89,3,0)*0.475*44/12</f>
        <v>0</v>
      </c>
      <c r="EC93" s="21">
        <f>EXP(-LN(2)/2)*EC92+(1-EXP(-LN(2)/2))/(LN(2)/2)*DW93*DZ93*VLOOKUP('Données projet'!$B$14,Paramètres!$A$1:$I$89,3,0)*0.475*44/12</f>
        <v>0</v>
      </c>
      <c r="ED93" s="22">
        <f t="shared" si="72"/>
        <v>75.321784293945655</v>
      </c>
      <c r="EE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63.706970398492963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2">
        <f>'Scénario référence'!$B$16*5+'Scénario référence'!$B$17*0+'Scénario référence'!$B$18*5</f>
        <v>4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14.666666666666666</v>
      </c>
      <c r="H94" s="66">
        <f t="shared" si="56"/>
        <v>159.86666666666667</v>
      </c>
      <c r="I94" s="6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-2.9085640562698246E-14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140.03175887621094</v>
      </c>
      <c r="T94" s="59">
        <f t="shared" si="88"/>
        <v>377.29475975964954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21.100057666337257</v>
      </c>
      <c r="AA94" s="21">
        <f>EXP(-LN(2)/25)*AA93+(1-EXP(-LN(2)/25))/(LN(2)/25)*Calculateur!V94*Calculateur!X94*VLOOKUP('Données projet'!$B$9,Paramètres!$A$1:$I$89,3,0)*0.475*44/12</f>
        <v>0</v>
      </c>
      <c r="AB94" s="21">
        <f>EXP(-LN(2)/2)*AB93+(1-EXP(-LN(2)/2))/(LN(2)/2)*V94*Y94*VLOOKUP('Données projet'!$B$9,Paramètres!$A$1:$I$89,3,0)*0.475*44/12</f>
        <v>1.6140474348768395E-9</v>
      </c>
      <c r="AC94" s="22">
        <f t="shared" si="57"/>
        <v>21.100057667951305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-5.6843418860808015E-14</v>
      </c>
      <c r="AJ94" s="13">
        <f>AI94*VLOOKUP('Données projet'!$B$10,Paramètres!$A$1:$I$89,3,0)*VLOOKUP('Données projet'!$B$10,Paramètres!$A$1:$I$89,5,0)</f>
        <v>-2.8642261895583942E-14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138.27364731587764</v>
      </c>
      <c r="AO94" s="59">
        <f t="shared" si="90"/>
        <v>372.50391467700013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20.778410445813808</v>
      </c>
      <c r="AV94" s="21">
        <f>EXP(-LN(2)/25)*AV93+(1-EXP(-LN(2)/25))/(LN(2)/25)*Calculateur!AQ94*Calculateur!AS94*VLOOKUP('Données projet'!$B$10,Paramètres!$A$1:$I$89,3,0)*0.475*44/12</f>
        <v>0</v>
      </c>
      <c r="AW94" s="21">
        <f>EXP(-LN(2)/2)*AW93+(1-EXP(-LN(2)/2))/(LN(2)/2)*AQ94*AT94*VLOOKUP('Données projet'!$B$10,Paramètres!$A$1:$I$89,3,0)*0.475*44/12</f>
        <v>1.5894430532476178E-9</v>
      </c>
      <c r="AX94" s="21">
        <f t="shared" si="60"/>
        <v>20.77841044740325</v>
      </c>
      <c r="AY94" s="7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5.8999999999999941</v>
      </c>
      <c r="BD94" s="12">
        <f>IF('Données projet'!$A$88&gt;35,BD93+BC94-BL93,IF(A94&lt;'Données projet'!$A$88,$BA$205^A94,IF(A94='Données projet'!$A$88,'Données projet'!$B$88,BD93+BC94-BL93)))</f>
        <v>307.89999999999998</v>
      </c>
      <c r="BE94" s="13">
        <f>BD94*VLOOKUP('Données projet'!$B$11,Paramètres!$A$1:$I$89,3,0)*VLOOKUP('Données projet'!$B$11,Paramètres!$A$1:$I$89,5,0)</f>
        <v>321.81708000000003</v>
      </c>
      <c r="BF94" s="13">
        <f t="shared" si="91"/>
        <v>75.731307810247856</v>
      </c>
      <c r="BG94" s="20">
        <f t="shared" si="61"/>
        <v>692.39677543618188</v>
      </c>
      <c r="BH94" s="59">
        <f t="shared" si="62"/>
        <v>963.0559568770816</v>
      </c>
      <c r="BI94" s="59">
        <f ca="1">AVERAGE(OFFSET($BH$3,0,0,'Données projet'!$E$11+1,1))-AVERAGE(OFFSET($H$3,0,0,'Données projet'!$E$11+1,1))</f>
        <v>638.07304290599211</v>
      </c>
      <c r="BJ94" s="59">
        <f t="shared" si="92"/>
        <v>408.22196233793511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81.108190050187858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81.108190050187858</v>
      </c>
      <c r="BT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5.8999999999999941</v>
      </c>
      <c r="BY94" s="12">
        <f>IF('Données projet'!$A$114&gt;35,BY93+BX94-CG93,IF(A94&lt;'Données projet'!$A$114,$BV$205^A94,IF(A94='Données projet'!$A$114,'Données projet'!$B$114,BY93+BX94-CG93)))</f>
        <v>307.89999999999998</v>
      </c>
      <c r="BZ94" s="13">
        <f>BY94*VLOOKUP('Données projet'!$B$12,Paramètres!$A$1:$I$89,3,0)*VLOOKUP('Données projet'!$B$12,Paramètres!$A$1:$I$89,5,0)</f>
        <v>350.63651999999996</v>
      </c>
      <c r="CA94" s="13">
        <f t="shared" si="93"/>
        <v>81.693563453440007</v>
      </c>
      <c r="CB94" s="20">
        <f t="shared" si="64"/>
        <v>752.97489534807448</v>
      </c>
      <c r="CC94" s="59">
        <f t="shared" si="65"/>
        <v>1023.6340767889742</v>
      </c>
      <c r="CD94" s="59">
        <f ca="1">AVERAGE(OFFSET($CC$3,0,0,'Données projet'!$E$12+1,1))-AVERAGE(OFFSET($H$3,0,0,'Données projet'!$E$12+1,1))</f>
        <v>685.99951993586967</v>
      </c>
      <c r="CE94" s="59">
        <f t="shared" si="94"/>
        <v>437.98014017823095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88.371610054682279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88.371610054682279</v>
      </c>
      <c r="CO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5.8999999999999941</v>
      </c>
      <c r="CT94" s="12">
        <f>IF('Données projet'!$A$140&gt;35,CT93+CS94-DB93,IF(A94&lt;'Données projet'!$A$140,$CQ$205^A94,IF(A94='Données projet'!$A$140,'Données projet'!$B$140,CT93+CS94-DB93)))</f>
        <v>307.89999999999998</v>
      </c>
      <c r="CU94" s="17">
        <f>CT94*VLOOKUP('Données projet'!$B$13,Paramètres!$A$1:$I$89,3,0)*VLOOKUP('Données projet'!$B$13,Paramètres!$A$1:$I$89,5,0)</f>
        <v>312.2106</v>
      </c>
      <c r="CV94" s="13">
        <f t="shared" si="95"/>
        <v>73.730300342886324</v>
      </c>
      <c r="CW94" s="20">
        <f t="shared" si="67"/>
        <v>672.18040143052701</v>
      </c>
      <c r="CX94" s="59">
        <f t="shared" si="68"/>
        <v>942.83958287142673</v>
      </c>
      <c r="CY94" s="59">
        <f ca="1">AVERAGE(OFFSET($CX$3,0,0,'Données projet'!$E$13+1,1))-AVERAGE(OFFSET($H$3,0,0,'Données projet'!$E$13+1,1))</f>
        <v>622.07867348539082</v>
      </c>
      <c r="CZ94" s="59">
        <f t="shared" si="96"/>
        <v>398.29010684041634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78.687050048689727</v>
      </c>
      <c r="DG94" s="21">
        <f>EXP(-LN(2)/25)*DG93+(1-EXP(-LN(2)/25))/(LN(2)/25)*Calculateur!DB94*Calculateur!DD94*VLOOKUP('Données projet'!$B$13,Paramètres!$A$1:$I$89,3,0)*0.475*44/12</f>
        <v>0</v>
      </c>
      <c r="DH94" s="21">
        <f>EXP(-LN(2)/2)*DH93+(1-EXP(-LN(2)/2))/(LN(2)/2)*DB94*DE94*VLOOKUP('Données projet'!$B$13,Paramètres!$A$1:$I$89,3,0)*0.475*44/12</f>
        <v>0</v>
      </c>
      <c r="DI94" s="22">
        <f t="shared" si="69"/>
        <v>78.687050048689727</v>
      </c>
      <c r="DJ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5.8999999999999941</v>
      </c>
      <c r="DO94" s="12">
        <f>IF('Données projet'!$A$166&gt;35,DO93+DN94-DW93,IF(A94&lt;'Données projet'!$A$166,$DL$205^A94,IF(A94='Données projet'!$A$166,'Données projet'!$B$166,DO93+DN94-DW93)))</f>
        <v>307.89999999999998</v>
      </c>
      <c r="DP94" s="17">
        <f>DO94*VLOOKUP('Données projet'!$B$14,Paramètres!$A$1:$I$89,3,0)*VLOOKUP('Données projet'!$B$14,Paramètres!$A$1:$I$89,5,0)</f>
        <v>292.99763999999999</v>
      </c>
      <c r="DQ94" s="13">
        <f t="shared" si="97"/>
        <v>69.706488150897783</v>
      </c>
      <c r="DR94" s="20">
        <f t="shared" si="70"/>
        <v>631.70968986281355</v>
      </c>
      <c r="DS94" s="59">
        <f t="shared" si="71"/>
        <v>902.36887130371315</v>
      </c>
      <c r="DT94" s="59">
        <f ca="1">AVERAGE(OFFSET($DS$3,0,0,'Données projet'!$E$14+1,1))-AVERAGE(OFFSET($H$3,0,0,'Données projet'!$E$14+1,1))</f>
        <v>590.05965493677377</v>
      </c>
      <c r="DU94" s="59">
        <f t="shared" si="98"/>
        <v>378.40640480134505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73.844770045693423</v>
      </c>
      <c r="EB94" s="21">
        <f>EXP(-LN(2)/25)*EB93+(1-EXP(-LN(2)/25))/(LN(2)/25)*Calculateur!DW94*Calculateur!DY94*VLOOKUP('Données projet'!$B$14,Paramètres!$A$1:$I$89,3,0)*0.475*44/12</f>
        <v>0</v>
      </c>
      <c r="EC94" s="21">
        <f>EXP(-LN(2)/2)*EC93+(1-EXP(-LN(2)/2))/(LN(2)/2)*DW94*DZ94*VLOOKUP('Données projet'!$B$14,Paramètres!$A$1:$I$89,3,0)*0.475*44/12</f>
        <v>0</v>
      </c>
      <c r="ED94" s="22">
        <f t="shared" si="72"/>
        <v>73.844770045693423</v>
      </c>
      <c r="EE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63.816140392972628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2">
        <f>'Scénario référence'!$B$16*5+'Scénario référence'!$B$17*0+'Scénario référence'!$B$18*5</f>
        <v>4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14.666666666666666</v>
      </c>
      <c r="H95" s="66">
        <f t="shared" si="56"/>
        <v>159.86666666666667</v>
      </c>
      <c r="I95" s="6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-2.9085640562698246E-14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140.03175887621094</v>
      </c>
      <c r="T95" s="59">
        <f t="shared" si="88"/>
        <v>377.29475975964954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20.686298405264775</v>
      </c>
      <c r="AA95" s="21">
        <f>EXP(-LN(2)/25)*AA94+(1-EXP(-LN(2)/25))/(LN(2)/25)*Calculateur!V95*Calculateur!X95*VLOOKUP('Données projet'!$B$9,Paramètres!$A$1:$I$89,3,0)*0.475*44/12</f>
        <v>0</v>
      </c>
      <c r="AB95" s="21">
        <f>EXP(-LN(2)/2)*AB94+(1-EXP(-LN(2)/2))/(LN(2)/2)*V95*Y95*VLOOKUP('Données projet'!$B$9,Paramètres!$A$1:$I$89,3,0)*0.475*44/12</f>
        <v>1.1413038863581656E-9</v>
      </c>
      <c r="AC95" s="22">
        <f t="shared" si="57"/>
        <v>20.686298406406078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-5.6843418860808015E-14</v>
      </c>
      <c r="AJ95" s="13">
        <f>AI95*VLOOKUP('Données projet'!$B$10,Paramètres!$A$1:$I$89,3,0)*VLOOKUP('Données projet'!$B$10,Paramètres!$A$1:$I$89,5,0)</f>
        <v>-2.8642261895583942E-14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138.27364731587764</v>
      </c>
      <c r="AO95" s="59">
        <f t="shared" si="90"/>
        <v>372.50391467700013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20.370958490550358</v>
      </c>
      <c r="AV95" s="21">
        <f>EXP(-LN(2)/25)*AV94+(1-EXP(-LN(2)/25))/(LN(2)/25)*Calculateur!AQ95*Calculateur!AS95*VLOOKUP('Données projet'!$B$10,Paramètres!$A$1:$I$89,3,0)*0.475*44/12</f>
        <v>0</v>
      </c>
      <c r="AW95" s="21">
        <f>EXP(-LN(2)/2)*AW94+(1-EXP(-LN(2)/2))/(LN(2)/2)*AQ95*AT95*VLOOKUP('Données projet'!$B$10,Paramètres!$A$1:$I$89,3,0)*0.475*44/12</f>
        <v>1.1239059612612413E-9</v>
      </c>
      <c r="AX95" s="21">
        <f t="shared" si="60"/>
        <v>20.370958491674262</v>
      </c>
      <c r="AY95" s="7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5.8999999999999941</v>
      </c>
      <c r="BD95" s="12">
        <f>IF('Données projet'!$A$88&gt;35,BD94+BC95-BL94,IF(A95&lt;'Données projet'!$A$88,$BA$205^A95,IF(A95='Données projet'!$A$88,'Données projet'!$B$88,BD94+BC95-BL94)))</f>
        <v>313.79999999999995</v>
      </c>
      <c r="BE95" s="13">
        <f>BD95*VLOOKUP('Données projet'!$B$11,Paramètres!$A$1:$I$89,3,0)*VLOOKUP('Données projet'!$B$11,Paramètres!$A$1:$I$89,5,0)</f>
        <v>327.98375999999996</v>
      </c>
      <c r="BF95" s="13">
        <f t="shared" si="91"/>
        <v>77.012140196040917</v>
      </c>
      <c r="BG95" s="20">
        <f t="shared" si="61"/>
        <v>705.36785950810452</v>
      </c>
      <c r="BH95" s="59">
        <f t="shared" si="62"/>
        <v>976.42038679252846</v>
      </c>
      <c r="BI95" s="59">
        <f ca="1">AVERAGE(OFFSET($BH$3,0,0,'Données projet'!$E$11+1,1))-AVERAGE(OFFSET($H$3,0,0,'Données projet'!$E$11+1,1))</f>
        <v>638.07304290599211</v>
      </c>
      <c r="BJ95" s="59">
        <f t="shared" si="92"/>
        <v>408.22196233793511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79.517707914414743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79.517707914414743</v>
      </c>
      <c r="BT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5.8999999999999941</v>
      </c>
      <c r="BY95" s="12">
        <f>IF('Données projet'!$A$114&gt;35,BY94+BX95-CG94,IF(A95&lt;'Données projet'!$A$114,$BV$205^A95,IF(A95='Données projet'!$A$114,'Données projet'!$B$114,BY94+BX95-CG94)))</f>
        <v>313.79999999999995</v>
      </c>
      <c r="BZ95" s="13">
        <f>BY95*VLOOKUP('Données projet'!$B$12,Paramètres!$A$1:$I$89,3,0)*VLOOKUP('Données projet'!$B$12,Paramètres!$A$1:$I$89,5,0)</f>
        <v>357.35543999999993</v>
      </c>
      <c r="CA95" s="13">
        <f t="shared" si="93"/>
        <v>83.075234585334044</v>
      </c>
      <c r="CB95" s="20">
        <f t="shared" si="64"/>
        <v>767.08342490278994</v>
      </c>
      <c r="CC95" s="59">
        <f t="shared" si="65"/>
        <v>1038.1359521872139</v>
      </c>
      <c r="CD95" s="59">
        <f ca="1">AVERAGE(OFFSET($CC$3,0,0,'Données projet'!$E$12+1,1))-AVERAGE(OFFSET($H$3,0,0,'Données projet'!$E$12+1,1))</f>
        <v>685.99951993586967</v>
      </c>
      <c r="CE95" s="59">
        <f t="shared" si="94"/>
        <v>437.98014017823095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86.638696682869778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86.638696682869778</v>
      </c>
      <c r="CO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5.8999999999999941</v>
      </c>
      <c r="CT95" s="12">
        <f>IF('Données projet'!$A$140&gt;35,CT94+CS95-DB94,IF(A95&lt;'Données projet'!$A$140,$CQ$205^A95,IF(A95='Données projet'!$A$140,'Données projet'!$B$140,CT94+CS95-DB94)))</f>
        <v>313.79999999999995</v>
      </c>
      <c r="CU95" s="17">
        <f>CT95*VLOOKUP('Données projet'!$B$13,Paramètres!$A$1:$I$89,3,0)*VLOOKUP('Données projet'!$B$13,Paramètres!$A$1:$I$89,5,0)</f>
        <v>318.19319999999999</v>
      </c>
      <c r="CV95" s="13">
        <f t="shared" si="95"/>
        <v>74.977289985928564</v>
      </c>
      <c r="CW95" s="20">
        <f t="shared" si="67"/>
        <v>684.7719367254922</v>
      </c>
      <c r="CX95" s="59">
        <f t="shared" si="68"/>
        <v>955.82446400991603</v>
      </c>
      <c r="CY95" s="59">
        <f ca="1">AVERAGE(OFFSET($CX$3,0,0,'Données projet'!$E$13+1,1))-AVERAGE(OFFSET($H$3,0,0,'Données projet'!$E$13+1,1))</f>
        <v>622.07867348539082</v>
      </c>
      <c r="CZ95" s="59">
        <f t="shared" si="96"/>
        <v>398.29010684041634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77.144044991596402</v>
      </c>
      <c r="DG95" s="21">
        <f>EXP(-LN(2)/25)*DG94+(1-EXP(-LN(2)/25))/(LN(2)/25)*Calculateur!DB95*Calculateur!DD95*VLOOKUP('Données projet'!$B$13,Paramètres!$A$1:$I$89,3,0)*0.475*44/12</f>
        <v>0</v>
      </c>
      <c r="DH95" s="21">
        <f>EXP(-LN(2)/2)*DH94+(1-EXP(-LN(2)/2))/(LN(2)/2)*DB95*DE95*VLOOKUP('Données projet'!$B$13,Paramètres!$A$1:$I$89,3,0)*0.475*44/12</f>
        <v>0</v>
      </c>
      <c r="DI95" s="22">
        <f t="shared" si="69"/>
        <v>77.144044991596402</v>
      </c>
      <c r="DJ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5.8999999999999941</v>
      </c>
      <c r="DO95" s="12">
        <f>IF('Données projet'!$A$166&gt;35,DO94+DN95-DW94,IF(A95&lt;'Données projet'!$A$166,$DL$205^A95,IF(A95='Données projet'!$A$166,'Données projet'!$B$166,DO94+DN95-DW94)))</f>
        <v>313.79999999999995</v>
      </c>
      <c r="DP95" s="17">
        <f>DO95*VLOOKUP('Données projet'!$B$14,Paramètres!$A$1:$I$89,3,0)*VLOOKUP('Données projet'!$B$14,Paramètres!$A$1:$I$89,5,0)</f>
        <v>298.61207999999999</v>
      </c>
      <c r="DQ95" s="13">
        <f t="shared" si="97"/>
        <v>70.885423654656293</v>
      </c>
      <c r="DR95" s="20">
        <f t="shared" si="70"/>
        <v>643.54148553185962</v>
      </c>
      <c r="DS95" s="59">
        <f t="shared" si="71"/>
        <v>914.59401281628357</v>
      </c>
      <c r="DT95" s="59">
        <f ca="1">AVERAGE(OFFSET($DS$3,0,0,'Données projet'!$E$14+1,1))-AVERAGE(OFFSET($H$3,0,0,'Données projet'!$E$14+1,1))</f>
        <v>590.05965493677377</v>
      </c>
      <c r="DU95" s="59">
        <f t="shared" si="98"/>
        <v>378.40640480134505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72.396719145959693</v>
      </c>
      <c r="EB95" s="21">
        <f>EXP(-LN(2)/25)*EB94+(1-EXP(-LN(2)/25))/(LN(2)/25)*Calculateur!DW95*Calculateur!DY95*VLOOKUP('Données projet'!$B$14,Paramètres!$A$1:$I$89,3,0)*0.475*44/12</f>
        <v>0</v>
      </c>
      <c r="EC95" s="21">
        <f>EXP(-LN(2)/2)*EC94+(1-EXP(-LN(2)/2))/(LN(2)/2)*DW95*DZ95*VLOOKUP('Données projet'!$B$14,Paramètres!$A$1:$I$89,3,0)*0.475*44/12</f>
        <v>0</v>
      </c>
      <c r="ED95" s="22">
        <f t="shared" si="72"/>
        <v>72.396719145959693</v>
      </c>
      <c r="EE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63.92341653211561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2">
        <f>'Scénario référence'!$B$16*5+'Scénario référence'!$B$17*0+'Scénario référence'!$B$18*5</f>
        <v>4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14.666666666666666</v>
      </c>
      <c r="H96" s="66">
        <f t="shared" si="56"/>
        <v>159.86666666666667</v>
      </c>
      <c r="I96" s="6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-2.9085640562698246E-14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140.03175887621094</v>
      </c>
      <c r="T96" s="59">
        <f t="shared" si="88"/>
        <v>377.29475975964954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20.280652710933698</v>
      </c>
      <c r="AA96" s="21">
        <f>EXP(-LN(2)/25)*AA95+(1-EXP(-LN(2)/25))/(LN(2)/25)*Calculateur!V96*Calculateur!X96*VLOOKUP('Données projet'!$B$9,Paramètres!$A$1:$I$89,3,0)*0.475*44/12</f>
        <v>0</v>
      </c>
      <c r="AB96" s="21">
        <f>EXP(-LN(2)/2)*AB95+(1-EXP(-LN(2)/2))/(LN(2)/2)*V96*Y96*VLOOKUP('Données projet'!$B$9,Paramètres!$A$1:$I$89,3,0)*0.475*44/12</f>
        <v>8.0702371743841975E-10</v>
      </c>
      <c r="AC96" s="22">
        <f t="shared" si="57"/>
        <v>20.280652711740721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-5.6843418860808015E-14</v>
      </c>
      <c r="AJ96" s="13">
        <f>AI96*VLOOKUP('Données projet'!$B$10,Paramètres!$A$1:$I$89,3,0)*VLOOKUP('Données projet'!$B$10,Paramètres!$A$1:$I$89,5,0)</f>
        <v>-2.8642261895583942E-14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138.27364731587764</v>
      </c>
      <c r="AO96" s="59">
        <f t="shared" si="90"/>
        <v>372.50391467700013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19.971496419608471</v>
      </c>
      <c r="AV96" s="21">
        <f>EXP(-LN(2)/25)*AV95+(1-EXP(-LN(2)/25))/(LN(2)/25)*Calculateur!AQ96*Calculateur!AS96*VLOOKUP('Données projet'!$B$10,Paramètres!$A$1:$I$89,3,0)*0.475*44/12</f>
        <v>0</v>
      </c>
      <c r="AW96" s="21">
        <f>EXP(-LN(2)/2)*AW95+(1-EXP(-LN(2)/2))/(LN(2)/2)*AQ96*AT96*VLOOKUP('Données projet'!$B$10,Paramètres!$A$1:$I$89,3,0)*0.475*44/12</f>
        <v>7.9472152662380889E-10</v>
      </c>
      <c r="AX96" s="21">
        <f t="shared" si="60"/>
        <v>19.971496420403192</v>
      </c>
      <c r="AY96" s="7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5.8999999999999941</v>
      </c>
      <c r="BD96" s="12">
        <f>IF('Données projet'!$A$88&gt;35,BD95+BC96-BL95,IF(A96&lt;'Données projet'!$A$88,$BA$205^A96,IF(A96='Données projet'!$A$88,'Données projet'!$B$88,BD95+BC96-BL95)))</f>
        <v>319.69999999999993</v>
      </c>
      <c r="BE96" s="13">
        <f>BD96*VLOOKUP('Données projet'!$B$11,Paramètres!$A$1:$I$89,3,0)*VLOOKUP('Données projet'!$B$11,Paramètres!$A$1:$I$89,5,0)</f>
        <v>334.15043999999995</v>
      </c>
      <c r="BF96" s="13">
        <f t="shared" si="91"/>
        <v>78.290172335371693</v>
      </c>
      <c r="BG96" s="20">
        <f t="shared" si="61"/>
        <v>718.33406648410562</v>
      </c>
      <c r="BH96" s="59">
        <f t="shared" si="62"/>
        <v>989.77311594105822</v>
      </c>
      <c r="BI96" s="59">
        <f ca="1">AVERAGE(OFFSET($BH$3,0,0,'Données projet'!$E$11+1,1))-AVERAGE(OFFSET($H$3,0,0,'Données projet'!$E$11+1,1))</f>
        <v>638.07304290599211</v>
      </c>
      <c r="BJ96" s="59">
        <f t="shared" si="92"/>
        <v>408.22196233793511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77.958414163225825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77.958414163225825</v>
      </c>
      <c r="BT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5.8999999999999941</v>
      </c>
      <c r="BY96" s="12">
        <f>IF('Données projet'!$A$114&gt;35,BY95+BX96-CG95,IF(A96&lt;'Données projet'!$A$114,$BV$205^A96,IF(A96='Données projet'!$A$114,'Données projet'!$B$114,BY95+BX96-CG95)))</f>
        <v>319.69999999999993</v>
      </c>
      <c r="BZ96" s="13">
        <f>BY96*VLOOKUP('Données projet'!$B$12,Paramètres!$A$1:$I$89,3,0)*VLOOKUP('Données projet'!$B$12,Paramètres!$A$1:$I$89,5,0)</f>
        <v>364.0743599999999</v>
      </c>
      <c r="CA96" s="13">
        <f t="shared" si="93"/>
        <v>84.453885009958384</v>
      </c>
      <c r="CB96" s="20">
        <f t="shared" si="64"/>
        <v>781.18669339234384</v>
      </c>
      <c r="CC96" s="59">
        <f t="shared" si="65"/>
        <v>1052.6257428492963</v>
      </c>
      <c r="CD96" s="59">
        <f ca="1">AVERAGE(OFFSET($CC$3,0,0,'Données projet'!$E$12+1,1))-AVERAGE(OFFSET($H$3,0,0,'Données projet'!$E$12+1,1))</f>
        <v>685.99951993586967</v>
      </c>
      <c r="CE96" s="59">
        <f t="shared" si="94"/>
        <v>437.98014017823095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84.939764685305732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84.939764685305732</v>
      </c>
      <c r="CO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5.8999999999999941</v>
      </c>
      <c r="CT96" s="12">
        <f>IF('Données projet'!$A$140&gt;35,CT95+CS96-DB95,IF(A96&lt;'Données projet'!$A$140,$CQ$205^A96,IF(A96='Données projet'!$A$140,'Données projet'!$B$140,CT95+CS96-DB95)))</f>
        <v>319.69999999999993</v>
      </c>
      <c r="CU96" s="17">
        <f>CT96*VLOOKUP('Données projet'!$B$13,Paramètres!$A$1:$I$89,3,0)*VLOOKUP('Données projet'!$B$13,Paramètres!$A$1:$I$89,5,0)</f>
        <v>324.17579999999992</v>
      </c>
      <c r="CV96" s="13">
        <f t="shared" si="95"/>
        <v>76.221553371909195</v>
      </c>
      <c r="CW96" s="20">
        <f t="shared" si="67"/>
        <v>697.35872378940837</v>
      </c>
      <c r="CX96" s="59">
        <f t="shared" si="68"/>
        <v>968.79777324636098</v>
      </c>
      <c r="CY96" s="59">
        <f ca="1">AVERAGE(OFFSET($CX$3,0,0,'Données projet'!$E$13+1,1))-AVERAGE(OFFSET($H$3,0,0,'Données projet'!$E$13+1,1))</f>
        <v>622.07867348539082</v>
      </c>
      <c r="CZ96" s="59">
        <f t="shared" si="96"/>
        <v>398.29010684041634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75.631297322532518</v>
      </c>
      <c r="DG96" s="21">
        <f>EXP(-LN(2)/25)*DG95+(1-EXP(-LN(2)/25))/(LN(2)/25)*Calculateur!DB96*Calculateur!DD96*VLOOKUP('Données projet'!$B$13,Paramètres!$A$1:$I$89,3,0)*0.475*44/12</f>
        <v>0</v>
      </c>
      <c r="DH96" s="21">
        <f>EXP(-LN(2)/2)*DH95+(1-EXP(-LN(2)/2))/(LN(2)/2)*DB96*DE96*VLOOKUP('Données projet'!$B$13,Paramètres!$A$1:$I$89,3,0)*0.475*44/12</f>
        <v>0</v>
      </c>
      <c r="DI96" s="22">
        <f t="shared" si="69"/>
        <v>75.631297322532518</v>
      </c>
      <c r="DJ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5.8999999999999941</v>
      </c>
      <c r="DO96" s="12">
        <f>IF('Données projet'!$A$166&gt;35,DO95+DN96-DW95,IF(A96&lt;'Données projet'!$A$166,$DL$205^A96,IF(A96='Données projet'!$A$166,'Données projet'!$B$166,DO95+DN96-DW95)))</f>
        <v>319.69999999999993</v>
      </c>
      <c r="DP96" s="17">
        <f>DO96*VLOOKUP('Données projet'!$B$14,Paramètres!$A$1:$I$89,3,0)*VLOOKUP('Données projet'!$B$14,Paramètres!$A$1:$I$89,5,0)</f>
        <v>304.22651999999994</v>
      </c>
      <c r="DQ96" s="13">
        <f t="shared" si="97"/>
        <v>72.061781686131795</v>
      </c>
      <c r="DR96" s="20">
        <f t="shared" si="70"/>
        <v>655.3687921033461</v>
      </c>
      <c r="DS96" s="59">
        <f t="shared" si="71"/>
        <v>926.80784156029858</v>
      </c>
      <c r="DT96" s="59">
        <f ca="1">AVERAGE(OFFSET($DS$3,0,0,'Données projet'!$E$14+1,1))-AVERAGE(OFFSET($H$3,0,0,'Données projet'!$E$14+1,1))</f>
        <v>590.05965493677377</v>
      </c>
      <c r="DU96" s="59">
        <f t="shared" si="98"/>
        <v>378.40640480134505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70.977063641145904</v>
      </c>
      <c r="EB96" s="21">
        <f>EXP(-LN(2)/25)*EB95+(1-EXP(-LN(2)/25))/(LN(2)/25)*Calculateur!DW96*Calculateur!DY96*VLOOKUP('Données projet'!$B$14,Paramètres!$A$1:$I$89,3,0)*0.475*44/12</f>
        <v>0</v>
      </c>
      <c r="EC96" s="21">
        <f>EXP(-LN(2)/2)*EC95+(1-EXP(-LN(2)/2))/(LN(2)/2)*DW96*DZ96*VLOOKUP('Données projet'!$B$14,Paramètres!$A$1:$I$89,3,0)*0.475*44/12</f>
        <v>0</v>
      </c>
      <c r="ED96" s="22">
        <f t="shared" si="72"/>
        <v>70.977063641145904</v>
      </c>
      <c r="EE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64.028831670077977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2">
        <f>'Scénario référence'!$B$16*5+'Scénario référence'!$B$17*0+'Scénario référence'!$B$18*5</f>
        <v>4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14.666666666666666</v>
      </c>
      <c r="H97" s="66">
        <f t="shared" si="56"/>
        <v>159.86666666666667</v>
      </c>
      <c r="I97" s="6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-2.9085640562698246E-14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140.03175887621094</v>
      </c>
      <c r="T97" s="59">
        <f t="shared" si="88"/>
        <v>377.29475975964954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19.882961481249009</v>
      </c>
      <c r="AA97" s="21">
        <f>EXP(-LN(2)/25)*AA96+(1-EXP(-LN(2)/25))/(LN(2)/25)*Calculateur!V97*Calculateur!X97*VLOOKUP('Données projet'!$B$9,Paramètres!$A$1:$I$89,3,0)*0.475*44/12</f>
        <v>0</v>
      </c>
      <c r="AB97" s="21">
        <f>EXP(-LN(2)/2)*AB96+(1-EXP(-LN(2)/2))/(LN(2)/2)*V97*Y97*VLOOKUP('Données projet'!$B$9,Paramètres!$A$1:$I$89,3,0)*0.475*44/12</f>
        <v>5.7065194317908282E-10</v>
      </c>
      <c r="AC97" s="22">
        <f t="shared" si="57"/>
        <v>19.88296148181966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-5.6843418860808015E-14</v>
      </c>
      <c r="AJ97" s="13">
        <f>AI97*VLOOKUP('Données projet'!$B$10,Paramètres!$A$1:$I$89,3,0)*VLOOKUP('Données projet'!$B$10,Paramètres!$A$1:$I$89,5,0)</f>
        <v>-2.8642261895583942E-14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138.27364731587764</v>
      </c>
      <c r="AO97" s="59">
        <f t="shared" si="90"/>
        <v>372.50391467700013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19.579867556229949</v>
      </c>
      <c r="AV97" s="21">
        <f>EXP(-LN(2)/25)*AV96+(1-EXP(-LN(2)/25))/(LN(2)/25)*Calculateur!AQ97*Calculateur!AS97*VLOOKUP('Données projet'!$B$10,Paramètres!$A$1:$I$89,3,0)*0.475*44/12</f>
        <v>0</v>
      </c>
      <c r="AW97" s="21">
        <f>EXP(-LN(2)/2)*AW96+(1-EXP(-LN(2)/2))/(LN(2)/2)*AQ97*AT97*VLOOKUP('Données projet'!$B$10,Paramètres!$A$1:$I$89,3,0)*0.475*44/12</f>
        <v>5.6195298063062063E-10</v>
      </c>
      <c r="AX97" s="21">
        <f t="shared" si="60"/>
        <v>19.579867556791903</v>
      </c>
      <c r="AY97" s="7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5.8999999999999941</v>
      </c>
      <c r="BD97" s="12">
        <f>IF('Données projet'!$A$88&gt;35,BD96+BC97-BL96,IF(A97&lt;'Données projet'!$A$88,$BA$205^A97,IF(A97='Données projet'!$A$88,'Données projet'!$B$88,BD96+BC97-BL96)))</f>
        <v>325.59999999999991</v>
      </c>
      <c r="BE97" s="13">
        <f>BD97*VLOOKUP('Données projet'!$B$11,Paramètres!$A$1:$I$89,3,0)*VLOOKUP('Données projet'!$B$11,Paramètres!$A$1:$I$89,5,0)</f>
        <v>340.31711999999993</v>
      </c>
      <c r="BF97" s="13">
        <f t="shared" si="91"/>
        <v>79.565461866226855</v>
      </c>
      <c r="BG97" s="20">
        <f t="shared" si="61"/>
        <v>731.29549675034502</v>
      </c>
      <c r="BH97" s="59">
        <f t="shared" si="62"/>
        <v>1003.1143630842671</v>
      </c>
      <c r="BI97" s="59">
        <f ca="1">AVERAGE(OFFSET($BH$3,0,0,'Données projet'!$E$11+1,1))-AVERAGE(OFFSET($H$3,0,0,'Données projet'!$E$11+1,1))</f>
        <v>638.07304290599211</v>
      </c>
      <c r="BJ97" s="59">
        <f t="shared" si="92"/>
        <v>408.22196233793511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76.429697211422436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76.429697211422436</v>
      </c>
      <c r="BT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5.8999999999999941</v>
      </c>
      <c r="BY97" s="12">
        <f>IF('Données projet'!$A$114&gt;35,BY96+BX97-CG96,IF(A97&lt;'Données projet'!$A$114,$BV$205^A97,IF(A97='Données projet'!$A$114,'Données projet'!$B$114,BY96+BX97-CG96)))</f>
        <v>325.59999999999991</v>
      </c>
      <c r="BZ97" s="13">
        <f>BY97*VLOOKUP('Données projet'!$B$12,Paramètres!$A$1:$I$89,3,0)*VLOOKUP('Données projet'!$B$12,Paramètres!$A$1:$I$89,5,0)</f>
        <v>370.79327999999992</v>
      </c>
      <c r="CA97" s="13">
        <f t="shared" si="93"/>
        <v>85.829576903084927</v>
      </c>
      <c r="CB97" s="20">
        <f t="shared" si="64"/>
        <v>795.28480910620613</v>
      </c>
      <c r="CC97" s="59">
        <f t="shared" si="65"/>
        <v>1067.1036754401282</v>
      </c>
      <c r="CD97" s="59">
        <f ca="1">AVERAGE(OFFSET($CC$3,0,0,'Données projet'!$E$12+1,1))-AVERAGE(OFFSET($H$3,0,0,'Données projet'!$E$12+1,1))</f>
        <v>685.99951993586967</v>
      </c>
      <c r="CE97" s="59">
        <f t="shared" si="94"/>
        <v>437.98014017823095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83.274147707967714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83.274147707967714</v>
      </c>
      <c r="CO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5.8999999999999941</v>
      </c>
      <c r="CT97" s="12">
        <f>IF('Données projet'!$A$140&gt;35,CT96+CS97-DB96,IF(A97&lt;'Données projet'!$A$140,$CQ$205^A97,IF(A97='Données projet'!$A$140,'Données projet'!$B$140,CT96+CS97-DB96)))</f>
        <v>325.59999999999991</v>
      </c>
      <c r="CU97" s="17">
        <f>CT97*VLOOKUP('Données projet'!$B$13,Paramètres!$A$1:$I$89,3,0)*VLOOKUP('Données projet'!$B$13,Paramètres!$A$1:$I$89,5,0)</f>
        <v>330.15839999999997</v>
      </c>
      <c r="CV97" s="13">
        <f t="shared" si="95"/>
        <v>77.463146615877591</v>
      </c>
      <c r="CW97" s="20">
        <f t="shared" si="67"/>
        <v>709.94086035598673</v>
      </c>
      <c r="CX97" s="59">
        <f t="shared" si="68"/>
        <v>981.7597266899088</v>
      </c>
      <c r="CY97" s="59">
        <f ca="1">AVERAGE(OFFSET($CX$3,0,0,'Données projet'!$E$13+1,1))-AVERAGE(OFFSET($H$3,0,0,'Données projet'!$E$13+1,1))</f>
        <v>622.07867348539082</v>
      </c>
      <c r="CZ97" s="59">
        <f t="shared" si="96"/>
        <v>398.29010684041634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74.148213712574005</v>
      </c>
      <c r="DG97" s="21">
        <f>EXP(-LN(2)/25)*DG96+(1-EXP(-LN(2)/25))/(LN(2)/25)*Calculateur!DB97*Calculateur!DD97*VLOOKUP('Données projet'!$B$13,Paramètres!$A$1:$I$89,3,0)*0.475*44/12</f>
        <v>0</v>
      </c>
      <c r="DH97" s="21">
        <f>EXP(-LN(2)/2)*DH96+(1-EXP(-LN(2)/2))/(LN(2)/2)*DB97*DE97*VLOOKUP('Données projet'!$B$13,Paramètres!$A$1:$I$89,3,0)*0.475*44/12</f>
        <v>0</v>
      </c>
      <c r="DI97" s="22">
        <f t="shared" si="69"/>
        <v>74.148213712574005</v>
      </c>
      <c r="DJ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5.8999999999999941</v>
      </c>
      <c r="DO97" s="12">
        <f>IF('Données projet'!$A$166&gt;35,DO96+DN97-DW96,IF(A97&lt;'Données projet'!$A$166,$DL$205^A97,IF(A97='Données projet'!$A$166,'Données projet'!$B$166,DO96+DN97-DW96)))</f>
        <v>325.59999999999991</v>
      </c>
      <c r="DP97" s="17">
        <f>DO97*VLOOKUP('Données projet'!$B$14,Paramètres!$A$1:$I$89,3,0)*VLOOKUP('Données projet'!$B$14,Paramètres!$A$1:$I$89,5,0)</f>
        <v>309.84095999999988</v>
      </c>
      <c r="DQ97" s="13">
        <f t="shared" si="97"/>
        <v>73.235615297909121</v>
      </c>
      <c r="DR97" s="20">
        <f t="shared" si="70"/>
        <v>667.19170197719143</v>
      </c>
      <c r="DS97" s="59">
        <f t="shared" si="71"/>
        <v>939.0105683111135</v>
      </c>
      <c r="DT97" s="59">
        <f ca="1">AVERAGE(OFFSET($DS$3,0,0,'Données projet'!$E$14+1,1))-AVERAGE(OFFSET($H$3,0,0,'Données projet'!$E$14+1,1))</f>
        <v>590.05965493677377</v>
      </c>
      <c r="DU97" s="59">
        <f t="shared" si="98"/>
        <v>378.40640480134505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69.585246714877144</v>
      </c>
      <c r="EB97" s="21">
        <f>EXP(-LN(2)/25)*EB96+(1-EXP(-LN(2)/25))/(LN(2)/25)*Calculateur!DW97*Calculateur!DY97*VLOOKUP('Données projet'!$B$14,Paramètres!$A$1:$I$89,3,0)*0.475*44/12</f>
        <v>0</v>
      </c>
      <c r="EC97" s="21">
        <f>EXP(-LN(2)/2)*EC96+(1-EXP(-LN(2)/2))/(LN(2)/2)*DW97*DZ97*VLOOKUP('Données projet'!$B$14,Paramètres!$A$1:$I$89,3,0)*0.475*44/12</f>
        <v>0</v>
      </c>
      <c r="ED97" s="22">
        <f t="shared" si="72"/>
        <v>69.585246714877144</v>
      </c>
      <c r="EE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64.132418091069638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2">
        <f>'Scénario référence'!$B$16*5+'Scénario référence'!$B$17*0+'Scénario référence'!$B$18*5</f>
        <v>4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14.666666666666666</v>
      </c>
      <c r="H98" s="66">
        <f t="shared" si="56"/>
        <v>159.86666666666667</v>
      </c>
      <c r="I98" s="6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-2.9085640562698246E-14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140.03175887621094</v>
      </c>
      <c r="T98" s="59">
        <f t="shared" si="88"/>
        <v>377.29475975964954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19.493068734010738</v>
      </c>
      <c r="AA98" s="21">
        <f>EXP(-LN(2)/25)*AA97+(1-EXP(-LN(2)/25))/(LN(2)/25)*Calculateur!V98*Calculateur!X98*VLOOKUP('Données projet'!$B$9,Paramètres!$A$1:$I$89,3,0)*0.475*44/12</f>
        <v>0</v>
      </c>
      <c r="AB98" s="21">
        <f>EXP(-LN(2)/2)*AB97+(1-EXP(-LN(2)/2))/(LN(2)/2)*V98*Y98*VLOOKUP('Données projet'!$B$9,Paramètres!$A$1:$I$89,3,0)*0.475*44/12</f>
        <v>4.0351185871920988E-10</v>
      </c>
      <c r="AC98" s="22">
        <f t="shared" si="57"/>
        <v>19.493068734414248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-5.6843418860808015E-14</v>
      </c>
      <c r="AJ98" s="13">
        <f>AI98*VLOOKUP('Données projet'!$B$10,Paramètres!$A$1:$I$89,3,0)*VLOOKUP('Données projet'!$B$10,Paramètres!$A$1:$I$89,5,0)</f>
        <v>-2.8642261895583942E-14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138.27364731587764</v>
      </c>
      <c r="AO98" s="59">
        <f t="shared" si="90"/>
        <v>372.50391467700013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19.195918295992261</v>
      </c>
      <c r="AV98" s="21">
        <f>EXP(-LN(2)/25)*AV97+(1-EXP(-LN(2)/25))/(LN(2)/25)*Calculateur!AQ98*Calculateur!AS98*VLOOKUP('Données projet'!$B$10,Paramètres!$A$1:$I$89,3,0)*0.475*44/12</f>
        <v>0</v>
      </c>
      <c r="AW98" s="21">
        <f>EXP(-LN(2)/2)*AW97+(1-EXP(-LN(2)/2))/(LN(2)/2)*AQ98*AT98*VLOOKUP('Données projet'!$B$10,Paramètres!$A$1:$I$89,3,0)*0.475*44/12</f>
        <v>3.9736076331190444E-10</v>
      </c>
      <c r="AX98" s="21">
        <f t="shared" si="60"/>
        <v>19.195918296389621</v>
      </c>
      <c r="AY98" s="7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5.8999999999999941</v>
      </c>
      <c r="BD98" s="12">
        <f>IF('Données projet'!$A$88&gt;35,BD97+BC98-BL97,IF(A98&lt;'Données projet'!$A$88,$BA$205^A98,IF(A98='Données projet'!$A$88,'Données projet'!$B$88,BD97+BC98-BL97)))</f>
        <v>331.49999999999989</v>
      </c>
      <c r="BE98" s="13">
        <f>BD98*VLOOKUP('Données projet'!$B$11,Paramètres!$A$1:$I$89,3,0)*VLOOKUP('Données projet'!$B$11,Paramètres!$A$1:$I$89,5,0)</f>
        <v>346.48379999999992</v>
      </c>
      <c r="BF98" s="13">
        <f t="shared" si="91"/>
        <v>80.838064218144041</v>
      </c>
      <c r="BG98" s="20">
        <f t="shared" si="61"/>
        <v>744.25224684660077</v>
      </c>
      <c r="BH98" s="59">
        <f t="shared" si="62"/>
        <v>1016.4443410838201</v>
      </c>
      <c r="BI98" s="59">
        <f ca="1">AVERAGE(OFFSET($BH$3,0,0,'Données projet'!$E$11+1,1))-AVERAGE(OFFSET($H$3,0,0,'Données projet'!$E$11+1,1))</f>
        <v>638.07304290599211</v>
      </c>
      <c r="BJ98" s="59">
        <f t="shared" si="92"/>
        <v>408.22196233793511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74.930957466618651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74.930957466618651</v>
      </c>
      <c r="BT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5.8999999999999941</v>
      </c>
      <c r="BY98" s="12">
        <f>IF('Données projet'!$A$114&gt;35,BY97+BX98-CG97,IF(A98&lt;'Données projet'!$A$114,$BV$205^A98,IF(A98='Données projet'!$A$114,'Données projet'!$B$114,BY97+BX98-CG97)))</f>
        <v>331.49999999999989</v>
      </c>
      <c r="BZ98" s="13">
        <f>BY98*VLOOKUP('Données projet'!$B$12,Paramètres!$A$1:$I$89,3,0)*VLOOKUP('Données projet'!$B$12,Paramètres!$A$1:$I$89,5,0)</f>
        <v>377.51219999999989</v>
      </c>
      <c r="CA98" s="13">
        <f t="shared" si="93"/>
        <v>87.20237005816729</v>
      </c>
      <c r="CB98" s="20">
        <f t="shared" si="64"/>
        <v>809.37787618464108</v>
      </c>
      <c r="CC98" s="59">
        <f t="shared" si="65"/>
        <v>1081.5699704218605</v>
      </c>
      <c r="CD98" s="59">
        <f ca="1">AVERAGE(OFFSET($CC$3,0,0,'Données projet'!$E$12+1,1))-AVERAGE(OFFSET($H$3,0,0,'Données projet'!$E$12+1,1))</f>
        <v>685.99951993586967</v>
      </c>
      <c r="CE98" s="59">
        <f t="shared" si="94"/>
        <v>437.98014017823095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81.641192463629253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81.641192463629253</v>
      </c>
      <c r="CO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5.8999999999999941</v>
      </c>
      <c r="CT98" s="12">
        <f>IF('Données projet'!$A$140&gt;35,CT97+CS98-DB97,IF(A98&lt;'Données projet'!$A$140,$CQ$205^A98,IF(A98='Données projet'!$A$140,'Données projet'!$B$140,CT97+CS98-DB97)))</f>
        <v>331.49999999999989</v>
      </c>
      <c r="CU98" s="17">
        <f>CT98*VLOOKUP('Données projet'!$B$13,Paramètres!$A$1:$I$89,3,0)*VLOOKUP('Données projet'!$B$13,Paramètres!$A$1:$I$89,5,0)</f>
        <v>336.14099999999991</v>
      </c>
      <c r="CV98" s="13">
        <f t="shared" si="95"/>
        <v>78.70212368278645</v>
      </c>
      <c r="CW98" s="20">
        <f t="shared" si="67"/>
        <v>722.51844041418633</v>
      </c>
      <c r="CX98" s="59">
        <f t="shared" si="68"/>
        <v>994.71053465140562</v>
      </c>
      <c r="CY98" s="59">
        <f ca="1">AVERAGE(OFFSET($CX$3,0,0,'Données projet'!$E$13+1,1))-AVERAGE(OFFSET($H$3,0,0,'Données projet'!$E$13+1,1))</f>
        <v>622.07867348539082</v>
      </c>
      <c r="CZ98" s="59">
        <f t="shared" si="96"/>
        <v>398.29010684041634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72.694212467615102</v>
      </c>
      <c r="DG98" s="21">
        <f>EXP(-LN(2)/25)*DG97+(1-EXP(-LN(2)/25))/(LN(2)/25)*Calculateur!DB98*Calculateur!DD98*VLOOKUP('Données projet'!$B$13,Paramètres!$A$1:$I$89,3,0)*0.475*44/12</f>
        <v>0</v>
      </c>
      <c r="DH98" s="21">
        <f>EXP(-LN(2)/2)*DH97+(1-EXP(-LN(2)/2))/(LN(2)/2)*DB98*DE98*VLOOKUP('Données projet'!$B$13,Paramètres!$A$1:$I$89,3,0)*0.475*44/12</f>
        <v>0</v>
      </c>
      <c r="DI98" s="22">
        <f t="shared" si="69"/>
        <v>72.694212467615102</v>
      </c>
      <c r="DJ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5.8999999999999941</v>
      </c>
      <c r="DO98" s="12">
        <f>IF('Données projet'!$A$166&gt;35,DO97+DN98-DW97,IF(A98&lt;'Données projet'!$A$166,$DL$205^A98,IF(A98='Données projet'!$A$166,'Données projet'!$B$166,DO97+DN98-DW97)))</f>
        <v>331.49999999999989</v>
      </c>
      <c r="DP98" s="17">
        <f>DO98*VLOOKUP('Données projet'!$B$14,Paramètres!$A$1:$I$89,3,0)*VLOOKUP('Données projet'!$B$14,Paramètres!$A$1:$I$89,5,0)</f>
        <v>315.45539999999988</v>
      </c>
      <c r="DQ98" s="13">
        <f t="shared" si="97"/>
        <v>74.406975509817613</v>
      </c>
      <c r="DR98" s="20">
        <f t="shared" si="70"/>
        <v>679.01030401293212</v>
      </c>
      <c r="DS98" s="59">
        <f t="shared" si="71"/>
        <v>951.20239825015142</v>
      </c>
      <c r="DT98" s="59">
        <f ca="1">AVERAGE(OFFSET($DS$3,0,0,'Données projet'!$E$14+1,1))-AVERAGE(OFFSET($H$3,0,0,'Données projet'!$E$14+1,1))</f>
        <v>590.05965493677377</v>
      </c>
      <c r="DU98" s="59">
        <f t="shared" si="98"/>
        <v>378.40640480134505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68.22072246960802</v>
      </c>
      <c r="EB98" s="21">
        <f>EXP(-LN(2)/25)*EB97+(1-EXP(-LN(2)/25))/(LN(2)/25)*Calculateur!DW98*Calculateur!DY98*VLOOKUP('Données projet'!$B$14,Paramètres!$A$1:$I$89,3,0)*0.475*44/12</f>
        <v>0</v>
      </c>
      <c r="EC98" s="21">
        <f>EXP(-LN(2)/2)*EC97+(1-EXP(-LN(2)/2))/(LN(2)/2)*DW98*DZ98*VLOOKUP('Données projet'!$B$14,Paramètres!$A$1:$I$89,3,0)*0.475*44/12</f>
        <v>0</v>
      </c>
      <c r="ED98" s="22">
        <f t="shared" si="72"/>
        <v>68.22072246960802</v>
      </c>
      <c r="EE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64.23420751924165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2">
        <f>'Scénario référence'!$B$16*5+'Scénario référence'!$B$17*0+'Scénario référence'!$B$18*5</f>
        <v>4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14.666666666666666</v>
      </c>
      <c r="H99" s="66">
        <f t="shared" si="56"/>
        <v>159.86666666666667</v>
      </c>
      <c r="I99" s="6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-2.9085640562698246E-14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140.03175887621094</v>
      </c>
      <c r="T99" s="59">
        <f t="shared" si="88"/>
        <v>377.29475975964954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19.110821545734716</v>
      </c>
      <c r="AA99" s="21">
        <f>EXP(-LN(2)/25)*AA98+(1-EXP(-LN(2)/25))/(LN(2)/25)*Calculateur!V99*Calculateur!X99*VLOOKUP('Données projet'!$B$9,Paramètres!$A$1:$I$89,3,0)*0.475*44/12</f>
        <v>0</v>
      </c>
      <c r="AB99" s="21">
        <f>EXP(-LN(2)/2)*AB98+(1-EXP(-LN(2)/2))/(LN(2)/2)*V99*Y99*VLOOKUP('Données projet'!$B$9,Paramètres!$A$1:$I$89,3,0)*0.475*44/12</f>
        <v>2.8532597158954141E-10</v>
      </c>
      <c r="AC99" s="22">
        <f t="shared" si="57"/>
        <v>19.110821546020041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-5.6843418860808015E-14</v>
      </c>
      <c r="AJ99" s="13">
        <f>AI99*VLOOKUP('Données projet'!$B$10,Paramètres!$A$1:$I$89,3,0)*VLOOKUP('Données projet'!$B$10,Paramètres!$A$1:$I$89,5,0)</f>
        <v>-2.8642261895583942E-14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138.27364731587764</v>
      </c>
      <c r="AO99" s="59">
        <f t="shared" si="90"/>
        <v>372.50391467700013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18.819498046561908</v>
      </c>
      <c r="AV99" s="21">
        <f>EXP(-LN(2)/25)*AV98+(1-EXP(-LN(2)/25))/(LN(2)/25)*Calculateur!AQ99*Calculateur!AS99*VLOOKUP('Données projet'!$B$10,Paramètres!$A$1:$I$89,3,0)*0.475*44/12</f>
        <v>0</v>
      </c>
      <c r="AW99" s="21">
        <f>EXP(-LN(2)/2)*AW98+(1-EXP(-LN(2)/2))/(LN(2)/2)*AQ99*AT99*VLOOKUP('Données projet'!$B$10,Paramètres!$A$1:$I$89,3,0)*0.475*44/12</f>
        <v>2.8097649031531031E-10</v>
      </c>
      <c r="AX99" s="21">
        <f t="shared" si="60"/>
        <v>18.819498046842885</v>
      </c>
      <c r="AY99" s="7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5.8999999999999941</v>
      </c>
      <c r="BD99" s="12">
        <f>IF('Données projet'!$A$88&gt;35,BD98+BC99-BL98,IF(A99&lt;'Données projet'!$A$88,$BA$205^A99,IF(A99='Données projet'!$A$88,'Données projet'!$B$88,BD98+BC99-BL98)))</f>
        <v>337.39999999999986</v>
      </c>
      <c r="BE99" s="13">
        <f>BD99*VLOOKUP('Données projet'!$B$11,Paramètres!$A$1:$I$89,3,0)*VLOOKUP('Données projet'!$B$11,Paramètres!$A$1:$I$89,5,0)</f>
        <v>352.6504799999999</v>
      </c>
      <c r="BF99" s="13">
        <f t="shared" si="91"/>
        <v>82.108032734602844</v>
      </c>
      <c r="BG99" s="20">
        <f t="shared" si="61"/>
        <v>757.20440967943307</v>
      </c>
      <c r="BH99" s="59">
        <f t="shared" si="62"/>
        <v>1029.7632571502402</v>
      </c>
      <c r="BI99" s="59">
        <f ca="1">AVERAGE(OFFSET($BH$3,0,0,'Données projet'!$E$11+1,1))-AVERAGE(OFFSET($H$3,0,0,'Données projet'!$E$11+1,1))</f>
        <v>638.07304290599211</v>
      </c>
      <c r="BJ99" s="59">
        <f t="shared" si="92"/>
        <v>408.22196233793511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73.461607094069478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73.461607094069478</v>
      </c>
      <c r="BT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5.8999999999999941</v>
      </c>
      <c r="BY99" s="12">
        <f>IF('Données projet'!$A$114&gt;35,BY98+BX99-CG98,IF(A99&lt;'Données projet'!$A$114,$BV$205^A99,IF(A99='Données projet'!$A$114,'Données projet'!$B$114,BY98+BX99-CG98)))</f>
        <v>337.39999999999986</v>
      </c>
      <c r="BZ99" s="13">
        <f>BY99*VLOOKUP('Données projet'!$B$12,Paramètres!$A$1:$I$89,3,0)*VLOOKUP('Données projet'!$B$12,Paramètres!$A$1:$I$89,5,0)</f>
        <v>384.23111999999986</v>
      </c>
      <c r="CA99" s="13">
        <f t="shared" si="93"/>
        <v>88.572322018367828</v>
      </c>
      <c r="CB99" s="20">
        <f t="shared" si="64"/>
        <v>823.46599484865703</v>
      </c>
      <c r="CC99" s="59">
        <f t="shared" si="65"/>
        <v>1096.0248423194641</v>
      </c>
      <c r="CD99" s="59">
        <f ca="1">AVERAGE(OFFSET($CC$3,0,0,'Données projet'!$E$12+1,1))-AVERAGE(OFFSET($H$3,0,0,'Données projet'!$E$12+1,1))</f>
        <v>685.99951993586967</v>
      </c>
      <c r="CE99" s="59">
        <f t="shared" si="94"/>
        <v>437.98014017823095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80.040258475627923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80.040258475627923</v>
      </c>
      <c r="CO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5.8999999999999941</v>
      </c>
      <c r="CT99" s="12">
        <f>IF('Données projet'!$A$140&gt;35,CT98+CS99-DB98,IF(A99&lt;'Données projet'!$A$140,$CQ$205^A99,IF(A99='Données projet'!$A$140,'Données projet'!$B$140,CT98+CS99-DB98)))</f>
        <v>337.39999999999986</v>
      </c>
      <c r="CU99" s="17">
        <f>CT99*VLOOKUP('Données projet'!$B$13,Paramètres!$A$1:$I$89,3,0)*VLOOKUP('Données projet'!$B$13,Paramètres!$A$1:$I$89,5,0)</f>
        <v>342.1235999999999</v>
      </c>
      <c r="CV99" s="13">
        <f t="shared" si="95"/>
        <v>79.938536506649598</v>
      </c>
      <c r="CW99" s="20">
        <f t="shared" si="67"/>
        <v>735.09155441574785</v>
      </c>
      <c r="CX99" s="59">
        <f t="shared" si="68"/>
        <v>1007.650401886555</v>
      </c>
      <c r="CY99" s="59">
        <f ca="1">AVERAGE(OFFSET($CX$3,0,0,'Données projet'!$E$13+1,1))-AVERAGE(OFFSET($H$3,0,0,'Données projet'!$E$13+1,1))</f>
        <v>622.07867348539082</v>
      </c>
      <c r="CZ99" s="59">
        <f t="shared" si="96"/>
        <v>398.29010684041634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71.268723300216649</v>
      </c>
      <c r="DG99" s="21">
        <f>EXP(-LN(2)/25)*DG98+(1-EXP(-LN(2)/25))/(LN(2)/25)*Calculateur!DB99*Calculateur!DD99*VLOOKUP('Données projet'!$B$13,Paramètres!$A$1:$I$89,3,0)*0.475*44/12</f>
        <v>0</v>
      </c>
      <c r="DH99" s="21">
        <f>EXP(-LN(2)/2)*DH98+(1-EXP(-LN(2)/2))/(LN(2)/2)*DB99*DE99*VLOOKUP('Données projet'!$B$13,Paramètres!$A$1:$I$89,3,0)*0.475*44/12</f>
        <v>0</v>
      </c>
      <c r="DI99" s="22">
        <f t="shared" si="69"/>
        <v>71.268723300216649</v>
      </c>
      <c r="DJ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5.8999999999999941</v>
      </c>
      <c r="DO99" s="12">
        <f>IF('Données projet'!$A$166&gt;35,DO98+DN99-DW98,IF(A99&lt;'Données projet'!$A$166,$DL$205^A99,IF(A99='Données projet'!$A$166,'Données projet'!$B$166,DO98+DN99-DW98)))</f>
        <v>337.39999999999986</v>
      </c>
      <c r="DP99" s="17">
        <f>DO99*VLOOKUP('Données projet'!$B$14,Paramètres!$A$1:$I$89,3,0)*VLOOKUP('Données projet'!$B$14,Paramètres!$A$1:$I$89,5,0)</f>
        <v>321.06983999999989</v>
      </c>
      <c r="DQ99" s="13">
        <f t="shared" si="97"/>
        <v>75.575911421585545</v>
      </c>
      <c r="DR99" s="20">
        <f t="shared" si="70"/>
        <v>690.82468372592791</v>
      </c>
      <c r="DS99" s="59">
        <f t="shared" si="71"/>
        <v>963.38353119673502</v>
      </c>
      <c r="DT99" s="59">
        <f ca="1">AVERAGE(OFFSET($DS$3,0,0,'Données projet'!$E$14+1,1))-AVERAGE(OFFSET($H$3,0,0,'Données projet'!$E$14+1,1))</f>
        <v>590.05965493677377</v>
      </c>
      <c r="DU99" s="59">
        <f t="shared" si="98"/>
        <v>378.40640480134505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66.88295571251102</v>
      </c>
      <c r="EB99" s="21">
        <f>EXP(-LN(2)/25)*EB98+(1-EXP(-LN(2)/25))/(LN(2)/25)*Calculateur!DW99*Calculateur!DY99*VLOOKUP('Données projet'!$B$14,Paramètres!$A$1:$I$89,3,0)*0.475*44/12</f>
        <v>0</v>
      </c>
      <c r="EC99" s="21">
        <f>EXP(-LN(2)/2)*EC98+(1-EXP(-LN(2)/2))/(LN(2)/2)*DW99*DZ99*VLOOKUP('Données projet'!$B$14,Paramètres!$A$1:$I$89,3,0)*0.475*44/12</f>
        <v>0</v>
      </c>
      <c r="ED99" s="22">
        <f t="shared" si="72"/>
        <v>66.88295571251102</v>
      </c>
      <c r="EE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64.334231128401939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2">
        <f>'Scénario référence'!$B$16*5+'Scénario référence'!$B$17*0+'Scénario référence'!$B$18*5</f>
        <v>4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14.666666666666666</v>
      </c>
      <c r="H100" s="66">
        <f t="shared" si="56"/>
        <v>159.86666666666667</v>
      </c>
      <c r="I100" s="6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-2.9085640562698246E-14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140.03175887621094</v>
      </c>
      <c r="T100" s="59">
        <f t="shared" si="88"/>
        <v>377.29475975964954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18.736069991673023</v>
      </c>
      <c r="AA100" s="21">
        <f>EXP(-LN(2)/25)*AA99+(1-EXP(-LN(2)/25))/(LN(2)/25)*Calculateur!V100*Calculateur!X100*VLOOKUP('Données projet'!$B$9,Paramètres!$A$1:$I$89,3,0)*0.475*44/12</f>
        <v>0</v>
      </c>
      <c r="AB100" s="21">
        <f>EXP(-LN(2)/2)*AB99+(1-EXP(-LN(2)/2))/(LN(2)/2)*V100*Y100*VLOOKUP('Données projet'!$B$9,Paramètres!$A$1:$I$89,3,0)*0.475*44/12</f>
        <v>2.0175592935960494E-10</v>
      </c>
      <c r="AC100" s="22">
        <f t="shared" si="57"/>
        <v>18.736069991874778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-5.6843418860808015E-14</v>
      </c>
      <c r="AJ100" s="13">
        <f>AI100*VLOOKUP('Données projet'!$B$10,Paramètres!$A$1:$I$89,3,0)*VLOOKUP('Données projet'!$B$10,Paramètres!$A$1:$I$89,5,0)</f>
        <v>-2.8642261895583942E-14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138.27364731587764</v>
      </c>
      <c r="AO100" s="59">
        <f t="shared" si="90"/>
        <v>372.50391467700013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18.450459168629205</v>
      </c>
      <c r="AV100" s="21">
        <f>EXP(-LN(2)/25)*AV99+(1-EXP(-LN(2)/25))/(LN(2)/25)*Calculateur!AQ100*Calculateur!AS100*VLOOKUP('Données projet'!$B$10,Paramètres!$A$1:$I$89,3,0)*0.475*44/12</f>
        <v>0</v>
      </c>
      <c r="AW100" s="21">
        <f>EXP(-LN(2)/2)*AW99+(1-EXP(-LN(2)/2))/(LN(2)/2)*AQ100*AT100*VLOOKUP('Données projet'!$B$10,Paramètres!$A$1:$I$89,3,0)*0.475*44/12</f>
        <v>1.9868038165595222E-10</v>
      </c>
      <c r="AX100" s="21">
        <f t="shared" si="60"/>
        <v>18.450459168827887</v>
      </c>
      <c r="AY100" s="7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5.8999999999999941</v>
      </c>
      <c r="BD100" s="12">
        <f>IF('Données projet'!$A$88&gt;35,BD99+BC100-BL99,IF(A100&lt;'Données projet'!$A$88,$BA$205^A100,IF(A100='Données projet'!$A$88,'Données projet'!$B$88,BD99+BC100-BL99)))</f>
        <v>343.29999999999984</v>
      </c>
      <c r="BE100" s="13">
        <f>BD100*VLOOKUP('Données projet'!$B$11,Paramètres!$A$1:$I$89,3,0)*VLOOKUP('Données projet'!$B$11,Paramètres!$A$1:$I$89,5,0)</f>
        <v>358.81715999999989</v>
      </c>
      <c r="BF100" s="13">
        <f t="shared" si="91"/>
        <v>83.375418786613494</v>
      </c>
      <c r="BG100" s="20">
        <f t="shared" si="61"/>
        <v>770.15207472001828</v>
      </c>
      <c r="BH100" s="59">
        <f t="shared" si="62"/>
        <v>1043.0713130757479</v>
      </c>
      <c r="BI100" s="59">
        <f ca="1">AVERAGE(OFFSET($BH$3,0,0,'Données projet'!$E$11+1,1))-AVERAGE(OFFSET($H$3,0,0,'Données projet'!$E$11+1,1))</f>
        <v>638.07304290599211</v>
      </c>
      <c r="BJ100" s="59">
        <f t="shared" si="92"/>
        <v>408.22196233793511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72.021069786110758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72.021069786110758</v>
      </c>
      <c r="BT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5.8999999999999941</v>
      </c>
      <c r="BY100" s="12">
        <f>IF('Données projet'!$A$114&gt;35,BY99+BX100-CG99,IF(A100&lt;'Données projet'!$A$114,$BV$205^A100,IF(A100='Données projet'!$A$114,'Données projet'!$B$114,BY99+BX100-CG99)))</f>
        <v>343.29999999999984</v>
      </c>
      <c r="BZ100" s="13">
        <f>BY100*VLOOKUP('Données projet'!$B$12,Paramètres!$A$1:$I$89,3,0)*VLOOKUP('Données projet'!$B$12,Paramètres!$A$1:$I$89,5,0)</f>
        <v>390.95003999999983</v>
      </c>
      <c r="CA100" s="13">
        <f t="shared" si="93"/>
        <v>89.939488199088743</v>
      </c>
      <c r="CB100" s="20">
        <f t="shared" si="64"/>
        <v>837.54926161341257</v>
      </c>
      <c r="CC100" s="59">
        <f t="shared" si="65"/>
        <v>1110.4684999691422</v>
      </c>
      <c r="CD100" s="59">
        <f ca="1">AVERAGE(OFFSET($CC$3,0,0,'Données projet'!$E$12+1,1))-AVERAGE(OFFSET($H$3,0,0,'Données projet'!$E$12+1,1))</f>
        <v>685.99951993586967</v>
      </c>
      <c r="CE100" s="59">
        <f t="shared" si="94"/>
        <v>437.98014017823095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78.470717826657975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78.470717826657975</v>
      </c>
      <c r="CO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5.8999999999999941</v>
      </c>
      <c r="CT100" s="12">
        <f>IF('Données projet'!$A$140&gt;35,CT99+CS100-DB99,IF(A100&lt;'Données projet'!$A$140,$CQ$205^A100,IF(A100='Données projet'!$A$140,'Données projet'!$B$140,CT99+CS100-DB99)))</f>
        <v>343.29999999999984</v>
      </c>
      <c r="CU100" s="17">
        <f>CT100*VLOOKUP('Données projet'!$B$13,Paramètres!$A$1:$I$89,3,0)*VLOOKUP('Données projet'!$B$13,Paramètres!$A$1:$I$89,5,0)</f>
        <v>348.10619999999983</v>
      </c>
      <c r="CV100" s="13">
        <f t="shared" si="95"/>
        <v>81.172435101128713</v>
      </c>
      <c r="CW100" s="20">
        <f t="shared" si="67"/>
        <v>747.66028946779886</v>
      </c>
      <c r="CX100" s="59">
        <f t="shared" si="68"/>
        <v>1020.5795278235285</v>
      </c>
      <c r="CY100" s="59">
        <f ca="1">AVERAGE(OFFSET($CX$3,0,0,'Données projet'!$E$13+1,1))-AVERAGE(OFFSET($H$3,0,0,'Données projet'!$E$13+1,1))</f>
        <v>622.07867348539082</v>
      </c>
      <c r="CZ100" s="59">
        <f t="shared" si="96"/>
        <v>398.29010684041634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69.871187105928342</v>
      </c>
      <c r="DG100" s="21">
        <f>EXP(-LN(2)/25)*DG99+(1-EXP(-LN(2)/25))/(LN(2)/25)*Calculateur!DB100*Calculateur!DD100*VLOOKUP('Données projet'!$B$13,Paramètres!$A$1:$I$89,3,0)*0.475*44/12</f>
        <v>0</v>
      </c>
      <c r="DH100" s="21">
        <f>EXP(-LN(2)/2)*DH99+(1-EXP(-LN(2)/2))/(LN(2)/2)*DB100*DE100*VLOOKUP('Données projet'!$B$13,Paramètres!$A$1:$I$89,3,0)*0.475*44/12</f>
        <v>0</v>
      </c>
      <c r="DI100" s="22">
        <f t="shared" si="69"/>
        <v>69.871187105928342</v>
      </c>
      <c r="DJ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5.8999999999999941</v>
      </c>
      <c r="DO100" s="12">
        <f>IF('Données projet'!$A$166&gt;35,DO99+DN100-DW99,IF(A100&lt;'Données projet'!$A$166,$DL$205^A100,IF(A100='Données projet'!$A$166,'Données projet'!$B$166,DO99+DN100-DW99)))</f>
        <v>343.29999999999984</v>
      </c>
      <c r="DP100" s="17">
        <f>DO100*VLOOKUP('Données projet'!$B$14,Paramètres!$A$1:$I$89,3,0)*VLOOKUP('Données projet'!$B$14,Paramètres!$A$1:$I$89,5,0)</f>
        <v>326.68427999999983</v>
      </c>
      <c r="DQ100" s="13">
        <f t="shared" si="97"/>
        <v>76.742470317391891</v>
      </c>
      <c r="DR100" s="20">
        <f t="shared" si="70"/>
        <v>702.63492346945725</v>
      </c>
      <c r="DS100" s="59">
        <f t="shared" si="71"/>
        <v>975.55416182518684</v>
      </c>
      <c r="DT100" s="59">
        <f ca="1">AVERAGE(OFFSET($DS$3,0,0,'Données projet'!$E$14+1,1))-AVERAGE(OFFSET($H$3,0,0,'Données projet'!$E$14+1,1))</f>
        <v>590.05965493677377</v>
      </c>
      <c r="DU100" s="59">
        <f t="shared" si="98"/>
        <v>378.40640480134505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65.571421745563541</v>
      </c>
      <c r="EB100" s="21">
        <f>EXP(-LN(2)/25)*EB99+(1-EXP(-LN(2)/25))/(LN(2)/25)*Calculateur!DW100*Calculateur!DY100*VLOOKUP('Données projet'!$B$14,Paramètres!$A$1:$I$89,3,0)*0.475*44/12</f>
        <v>0</v>
      </c>
      <c r="EC100" s="21">
        <f>EXP(-LN(2)/2)*EC99+(1-EXP(-LN(2)/2))/(LN(2)/2)*DW100*DZ100*VLOOKUP('Données projet'!$B$14,Paramètres!$A$1:$I$89,3,0)*0.475*44/12</f>
        <v>0</v>
      </c>
      <c r="ED100" s="22">
        <f t="shared" si="72"/>
        <v>65.571421745563541</v>
      </c>
      <c r="EE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64.432519551562592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2">
        <f>'Scénario référence'!$B$16*5+'Scénario référence'!$B$17*0+'Scénario référence'!$B$18*5</f>
        <v>4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14.666666666666666</v>
      </c>
      <c r="H101" s="66">
        <f t="shared" si="56"/>
        <v>159.86666666666667</v>
      </c>
      <c r="I101" s="6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-2.9085640562698246E-14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140.03175887621094</v>
      </c>
      <c r="T101" s="59">
        <f t="shared" si="88"/>
        <v>377.29475975964954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18.3686670870106</v>
      </c>
      <c r="AA101" s="21">
        <f>EXP(-LN(2)/25)*AA100+(1-EXP(-LN(2)/25))/(LN(2)/25)*Calculateur!V101*Calculateur!X101*VLOOKUP('Données projet'!$B$9,Paramètres!$A$1:$I$89,3,0)*0.475*44/12</f>
        <v>0</v>
      </c>
      <c r="AB101" s="21">
        <f>EXP(-LN(2)/2)*AB100+(1-EXP(-LN(2)/2))/(LN(2)/2)*V101*Y101*VLOOKUP('Données projet'!$B$9,Paramètres!$A$1:$I$89,3,0)*0.475*44/12</f>
        <v>1.4266298579477071E-10</v>
      </c>
      <c r="AC101" s="22">
        <f t="shared" si="57"/>
        <v>18.368667087153263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-5.6843418860808015E-14</v>
      </c>
      <c r="AJ101" s="13">
        <f>AI101*VLOOKUP('Données projet'!$B$10,Paramètres!$A$1:$I$89,3,0)*VLOOKUP('Données projet'!$B$10,Paramètres!$A$1:$I$89,5,0)</f>
        <v>-2.8642261895583942E-14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138.27364731587764</v>
      </c>
      <c r="AO101" s="59">
        <f t="shared" si="90"/>
        <v>372.50391467700013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18.088656918001274</v>
      </c>
      <c r="AV101" s="21">
        <f>EXP(-LN(2)/25)*AV100+(1-EXP(-LN(2)/25))/(LN(2)/25)*Calculateur!AQ101*Calculateur!AS101*VLOOKUP('Données projet'!$B$10,Paramètres!$A$1:$I$89,3,0)*0.475*44/12</f>
        <v>0</v>
      </c>
      <c r="AW101" s="21">
        <f>EXP(-LN(2)/2)*AW100+(1-EXP(-LN(2)/2))/(LN(2)/2)*AQ101*AT101*VLOOKUP('Données projet'!$B$10,Paramètres!$A$1:$I$89,3,0)*0.475*44/12</f>
        <v>1.4048824515765516E-10</v>
      </c>
      <c r="AX101" s="21">
        <f t="shared" si="60"/>
        <v>18.088656918141762</v>
      </c>
      <c r="AY101" s="7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5.8999999999999941</v>
      </c>
      <c r="BD101" s="12">
        <f>IF('Données projet'!$A$88&gt;35,BD100+BC101-BL100,IF(A101&lt;'Données projet'!$A$88,$BA$205^A101,IF(A101='Données projet'!$A$88,'Données projet'!$B$88,BD100+BC101-BL100)))</f>
        <v>349.19999999999982</v>
      </c>
      <c r="BE101" s="13">
        <f>BD101*VLOOKUP('Données projet'!$B$11,Paramètres!$A$1:$I$89,3,0)*VLOOKUP('Données projet'!$B$11,Paramètres!$A$1:$I$89,5,0)</f>
        <v>364.98383999999982</v>
      </c>
      <c r="BF101" s="13">
        <f t="shared" si="91"/>
        <v>84.640271878274675</v>
      </c>
      <c r="BG101" s="20">
        <f t="shared" si="61"/>
        <v>783.09532818799471</v>
      </c>
      <c r="BH101" s="59">
        <f t="shared" si="62"/>
        <v>1056.3687054525064</v>
      </c>
      <c r="BI101" s="59">
        <f ca="1">AVERAGE(OFFSET($BH$3,0,0,'Données projet'!$E$11+1,1))-AVERAGE(OFFSET($H$3,0,0,'Données projet'!$E$11+1,1))</f>
        <v>638.07304290599211</v>
      </c>
      <c r="BJ101" s="59">
        <f t="shared" si="92"/>
        <v>408.22196233793511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70.608780536120108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70.608780536120108</v>
      </c>
      <c r="BT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5.8999999999999941</v>
      </c>
      <c r="BY101" s="12">
        <f>IF('Données projet'!$A$114&gt;35,BY100+BX101-CG100,IF(A101&lt;'Données projet'!$A$114,$BV$205^A101,IF(A101='Données projet'!$A$114,'Données projet'!$B$114,BY100+BX101-CG100)))</f>
        <v>349.19999999999982</v>
      </c>
      <c r="BZ101" s="13">
        <f>BY101*VLOOKUP('Données projet'!$B$12,Paramètres!$A$1:$I$89,3,0)*VLOOKUP('Données projet'!$B$12,Paramètres!$A$1:$I$89,5,0)</f>
        <v>397.6689599999998</v>
      </c>
      <c r="CA101" s="13">
        <f t="shared" si="93"/>
        <v>91.303922001840448</v>
      </c>
      <c r="CB101" s="20">
        <f t="shared" si="64"/>
        <v>851.62776948653845</v>
      </c>
      <c r="CC101" s="59">
        <f t="shared" si="65"/>
        <v>1124.9011467510502</v>
      </c>
      <c r="CD101" s="59">
        <f ca="1">AVERAGE(OFFSET($CC$3,0,0,'Données projet'!$E$12+1,1))-AVERAGE(OFFSET($H$3,0,0,'Données projet'!$E$12+1,1))</f>
        <v>685.99951993586967</v>
      </c>
      <c r="CE101" s="59">
        <f t="shared" si="94"/>
        <v>437.98014017823095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76.931954912489061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76.931954912489061</v>
      </c>
      <c r="CO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5.8999999999999941</v>
      </c>
      <c r="CT101" s="12">
        <f>IF('Données projet'!$A$140&gt;35,CT100+CS101-DB100,IF(A101&lt;'Données projet'!$A$140,$CQ$205^A101,IF(A101='Données projet'!$A$140,'Données projet'!$B$140,CT100+CS101-DB100)))</f>
        <v>349.19999999999982</v>
      </c>
      <c r="CU101" s="17">
        <f>CT101*VLOOKUP('Données projet'!$B$13,Paramètres!$A$1:$I$89,3,0)*VLOOKUP('Données projet'!$B$13,Paramètres!$A$1:$I$89,5,0)</f>
        <v>354.08879999999982</v>
      </c>
      <c r="CV101" s="13">
        <f t="shared" si="95"/>
        <v>82.403867662302346</v>
      </c>
      <c r="CW101" s="20">
        <f t="shared" si="67"/>
        <v>760.22472951184284</v>
      </c>
      <c r="CX101" s="59">
        <f t="shared" si="68"/>
        <v>1033.4981067763547</v>
      </c>
      <c r="CY101" s="59">
        <f ca="1">AVERAGE(OFFSET($CX$3,0,0,'Données projet'!$E$13+1,1))-AVERAGE(OFFSET($H$3,0,0,'Données projet'!$E$13+1,1))</f>
        <v>622.07867348539082</v>
      </c>
      <c r="CZ101" s="59">
        <f t="shared" si="96"/>
        <v>398.29010684041634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68.501055743997128</v>
      </c>
      <c r="DG101" s="21">
        <f>EXP(-LN(2)/25)*DG100+(1-EXP(-LN(2)/25))/(LN(2)/25)*Calculateur!DB101*Calculateur!DD101*VLOOKUP('Données projet'!$B$13,Paramètres!$A$1:$I$89,3,0)*0.475*44/12</f>
        <v>0</v>
      </c>
      <c r="DH101" s="21">
        <f>EXP(-LN(2)/2)*DH100+(1-EXP(-LN(2)/2))/(LN(2)/2)*DB101*DE101*VLOOKUP('Données projet'!$B$13,Paramètres!$A$1:$I$89,3,0)*0.475*44/12</f>
        <v>0</v>
      </c>
      <c r="DI101" s="22">
        <f t="shared" si="69"/>
        <v>68.501055743997128</v>
      </c>
      <c r="DJ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5.8999999999999941</v>
      </c>
      <c r="DO101" s="12">
        <f>IF('Données projet'!$A$166&gt;35,DO100+DN101-DW100,IF(A101&lt;'Données projet'!$A$166,$DL$205^A101,IF(A101='Données projet'!$A$166,'Données projet'!$B$166,DO100+DN101-DW100)))</f>
        <v>349.19999999999982</v>
      </c>
      <c r="DP101" s="17">
        <f>DO101*VLOOKUP('Données projet'!$B$14,Paramètres!$A$1:$I$89,3,0)*VLOOKUP('Données projet'!$B$14,Paramètres!$A$1:$I$89,5,0)</f>
        <v>332.29871999999983</v>
      </c>
      <c r="DQ101" s="13">
        <f t="shared" si="97"/>
        <v>77.906697763026685</v>
      </c>
      <c r="DR101" s="20">
        <f t="shared" si="70"/>
        <v>714.44110260393779</v>
      </c>
      <c r="DS101" s="59">
        <f t="shared" si="71"/>
        <v>987.71447986844953</v>
      </c>
      <c r="DT101" s="59">
        <f ca="1">AVERAGE(OFFSET($DS$3,0,0,'Données projet'!$E$14+1,1))-AVERAGE(OFFSET($H$3,0,0,'Données projet'!$E$14+1,1))</f>
        <v>590.05965493677377</v>
      </c>
      <c r="DU101" s="59">
        <f t="shared" si="98"/>
        <v>378.40640480134505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64.285606159751168</v>
      </c>
      <c r="EB101" s="21">
        <f>EXP(-LN(2)/25)*EB100+(1-EXP(-LN(2)/25))/(LN(2)/25)*Calculateur!DW101*Calculateur!DY101*VLOOKUP('Données projet'!$B$14,Paramètres!$A$1:$I$89,3,0)*0.475*44/12</f>
        <v>0</v>
      </c>
      <c r="EC101" s="21">
        <f>EXP(-LN(2)/2)*EC100+(1-EXP(-LN(2)/2))/(LN(2)/2)*DW101*DZ101*VLOOKUP('Données projet'!$B$14,Paramètres!$A$1:$I$89,3,0)*0.475*44/12</f>
        <v>0</v>
      </c>
      <c r="ED101" s="22">
        <f t="shared" si="72"/>
        <v>64.285606159751168</v>
      </c>
      <c r="EE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64.529102890321383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2">
        <f>'Scénario référence'!$B$16*5+'Scénario référence'!$B$17*0+'Scénario référence'!$B$18*5</f>
        <v>4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14.666666666666666</v>
      </c>
      <c r="H102" s="66">
        <f t="shared" si="56"/>
        <v>159.86666666666667</v>
      </c>
      <c r="I102" s="6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-2.9085640562698246E-14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140.03175887621094</v>
      </c>
      <c r="T102" s="59">
        <f t="shared" si="88"/>
        <v>377.29475975964954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18.008468729214965</v>
      </c>
      <c r="AA102" s="21">
        <f>EXP(-LN(2)/25)*AA101+(1-EXP(-LN(2)/25))/(LN(2)/25)*Calculateur!V102*Calculateur!X102*VLOOKUP('Données projet'!$B$9,Paramètres!$A$1:$I$89,3,0)*0.475*44/12</f>
        <v>0</v>
      </c>
      <c r="AB102" s="21">
        <f>EXP(-LN(2)/2)*AB101+(1-EXP(-LN(2)/2))/(LN(2)/2)*V102*Y102*VLOOKUP('Données projet'!$B$9,Paramètres!$A$1:$I$89,3,0)*0.475*44/12</f>
        <v>1.0087796467980247E-10</v>
      </c>
      <c r="AC102" s="22">
        <f t="shared" si="57"/>
        <v>18.008468729315844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-5.6843418860808015E-14</v>
      </c>
      <c r="AJ102" s="13">
        <f>AI102*VLOOKUP('Données projet'!$B$10,Paramètres!$A$1:$I$89,3,0)*VLOOKUP('Données projet'!$B$10,Paramètres!$A$1:$I$89,5,0)</f>
        <v>-2.8642261895583942E-14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138.27364731587764</v>
      </c>
      <c r="AO102" s="59">
        <f t="shared" si="90"/>
        <v>372.50391467700013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17.73394938883057</v>
      </c>
      <c r="AV102" s="21">
        <f>EXP(-LN(2)/25)*AV101+(1-EXP(-LN(2)/25))/(LN(2)/25)*Calculateur!AQ102*Calculateur!AS102*VLOOKUP('Données projet'!$B$10,Paramètres!$A$1:$I$89,3,0)*0.475*44/12</f>
        <v>0</v>
      </c>
      <c r="AW102" s="21">
        <f>EXP(-LN(2)/2)*AW101+(1-EXP(-LN(2)/2))/(LN(2)/2)*AQ102*AT102*VLOOKUP('Données projet'!$B$10,Paramètres!$A$1:$I$89,3,0)*0.475*44/12</f>
        <v>9.9340190827976111E-11</v>
      </c>
      <c r="AX102" s="21">
        <f t="shared" si="60"/>
        <v>17.733949388929911</v>
      </c>
      <c r="AY102" s="7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5.8999999999999941</v>
      </c>
      <c r="BD102" s="12">
        <f>IF('Données projet'!$A$88&gt;35,BD101+BC102-BL101,IF(A102&lt;'Données projet'!$A$88,$BA$205^A102,IF(A102='Données projet'!$A$88,'Données projet'!$B$88,BD101+BC102-BL101)))</f>
        <v>355.0999999999998</v>
      </c>
      <c r="BE102" s="13">
        <f>BD102*VLOOKUP('Données projet'!$B$11,Paramètres!$A$1:$I$89,3,0)*VLOOKUP('Données projet'!$B$11,Paramètres!$A$1:$I$89,5,0)</f>
        <v>371.15051999999986</v>
      </c>
      <c r="BF102" s="13">
        <f t="shared" si="91"/>
        <v>85.902639744995938</v>
      </c>
      <c r="BG102" s="20">
        <f t="shared" si="61"/>
        <v>796.0342532225344</v>
      </c>
      <c r="BH102" s="59">
        <f t="shared" si="62"/>
        <v>1069.6556258774972</v>
      </c>
      <c r="BI102" s="59">
        <f ca="1">AVERAGE(OFFSET($BH$3,0,0,'Données projet'!$E$11+1,1))-AVERAGE(OFFSET($H$3,0,0,'Données projet'!$E$11+1,1))</f>
        <v>638.07304290599211</v>
      </c>
      <c r="BJ102" s="59">
        <f t="shared" si="92"/>
        <v>408.22196233793511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69.224185416910402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69.224185416910402</v>
      </c>
      <c r="BT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5.8999999999999941</v>
      </c>
      <c r="BY102" s="12">
        <f>IF('Données projet'!$A$114&gt;35,BY101+BX102-CG101,IF(A102&lt;'Données projet'!$A$114,$BV$205^A102,IF(A102='Données projet'!$A$114,'Données projet'!$B$114,BY101+BX102-CG101)))</f>
        <v>355.0999999999998</v>
      </c>
      <c r="BZ102" s="13">
        <f>BY102*VLOOKUP('Données projet'!$B$12,Paramètres!$A$1:$I$89,3,0)*VLOOKUP('Données projet'!$B$12,Paramètres!$A$1:$I$89,5,0)</f>
        <v>404.38787999999977</v>
      </c>
      <c r="CA102" s="13">
        <f t="shared" si="93"/>
        <v>92.665674920197176</v>
      </c>
      <c r="CB102" s="20">
        <f t="shared" si="64"/>
        <v>865.70160815267627</v>
      </c>
      <c r="CC102" s="59">
        <f t="shared" si="65"/>
        <v>1139.3229808076389</v>
      </c>
      <c r="CD102" s="59">
        <f ca="1">AVERAGE(OFFSET($CC$3,0,0,'Données projet'!$E$12+1,1))-AVERAGE(OFFSET($H$3,0,0,'Données projet'!$E$12+1,1))</f>
        <v>685.99951993586967</v>
      </c>
      <c r="CE102" s="59">
        <f t="shared" si="94"/>
        <v>437.98014017823095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75.423366200514295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75.423366200514295</v>
      </c>
      <c r="CO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5.8999999999999941</v>
      </c>
      <c r="CT102" s="12">
        <f>IF('Données projet'!$A$140&gt;35,CT101+CS102-DB101,IF(A102&lt;'Données projet'!$A$140,$CQ$205^A102,IF(A102='Données projet'!$A$140,'Données projet'!$B$140,CT101+CS102-DB101)))</f>
        <v>355.0999999999998</v>
      </c>
      <c r="CU102" s="17">
        <f>CT102*VLOOKUP('Données projet'!$B$13,Paramètres!$A$1:$I$89,3,0)*VLOOKUP('Données projet'!$B$13,Paramètres!$A$1:$I$89,5,0)</f>
        <v>360.07139999999981</v>
      </c>
      <c r="CV102" s="13">
        <f t="shared" si="95"/>
        <v>83.632880664293282</v>
      </c>
      <c r="CW102" s="20">
        <f t="shared" si="67"/>
        <v>772.78495549031049</v>
      </c>
      <c r="CX102" s="59">
        <f t="shared" si="68"/>
        <v>1046.4063281452732</v>
      </c>
      <c r="CY102" s="59">
        <f ca="1">AVERAGE(OFFSET($CX$3,0,0,'Données projet'!$E$13+1,1))-AVERAGE(OFFSET($H$3,0,0,'Données projet'!$E$13+1,1))</f>
        <v>622.07867348539082</v>
      </c>
      <c r="CZ102" s="59">
        <f t="shared" si="96"/>
        <v>398.29010684041634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67.157791822375771</v>
      </c>
      <c r="DG102" s="21">
        <f>EXP(-LN(2)/25)*DG101+(1-EXP(-LN(2)/25))/(LN(2)/25)*Calculateur!DB102*Calculateur!DD102*VLOOKUP('Données projet'!$B$13,Paramètres!$A$1:$I$89,3,0)*0.475*44/12</f>
        <v>0</v>
      </c>
      <c r="DH102" s="21">
        <f>EXP(-LN(2)/2)*DH101+(1-EXP(-LN(2)/2))/(LN(2)/2)*DB102*DE102*VLOOKUP('Données projet'!$B$13,Paramètres!$A$1:$I$89,3,0)*0.475*44/12</f>
        <v>0</v>
      </c>
      <c r="DI102" s="22">
        <f t="shared" si="69"/>
        <v>67.157791822375771</v>
      </c>
      <c r="DJ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5.8999999999999941</v>
      </c>
      <c r="DO102" s="12">
        <f>IF('Données projet'!$A$166&gt;35,DO101+DN102-DW101,IF(A102&lt;'Données projet'!$A$166,$DL$205^A102,IF(A102='Données projet'!$A$166,'Données projet'!$B$166,DO101+DN102-DW101)))</f>
        <v>355.0999999999998</v>
      </c>
      <c r="DP102" s="17">
        <f>DO102*VLOOKUP('Données projet'!$B$14,Paramètres!$A$1:$I$89,3,0)*VLOOKUP('Données projet'!$B$14,Paramètres!$A$1:$I$89,5,0)</f>
        <v>337.91315999999983</v>
      </c>
      <c r="DQ102" s="13">
        <f t="shared" si="97"/>
        <v>79.06863769629912</v>
      </c>
      <c r="DR102" s="20">
        <f t="shared" si="70"/>
        <v>726.24329765438722</v>
      </c>
      <c r="DS102" s="59">
        <f t="shared" si="71"/>
        <v>999.86467030934989</v>
      </c>
      <c r="DT102" s="59">
        <f ca="1">AVERAGE(OFFSET($DS$3,0,0,'Données projet'!$E$14+1,1))-AVERAGE(OFFSET($H$3,0,0,'Données projet'!$E$14+1,1))</f>
        <v>590.05965493677377</v>
      </c>
      <c r="DU102" s="59">
        <f t="shared" si="98"/>
        <v>378.40640480134505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63.025004633306509</v>
      </c>
      <c r="EB102" s="21">
        <f>EXP(-LN(2)/25)*EB101+(1-EXP(-LN(2)/25))/(LN(2)/25)*Calculateur!DW102*Calculateur!DY102*VLOOKUP('Données projet'!$B$14,Paramètres!$A$1:$I$89,3,0)*0.475*44/12</f>
        <v>0</v>
      </c>
      <c r="EC102" s="21">
        <f>EXP(-LN(2)/2)*EC101+(1-EXP(-LN(2)/2))/(LN(2)/2)*DW102*DZ102*VLOOKUP('Données projet'!$B$14,Paramètres!$A$1:$I$89,3,0)*0.475*44/12</f>
        <v>0</v>
      </c>
      <c r="ED102" s="22">
        <f t="shared" si="72"/>
        <v>63.025004633306509</v>
      </c>
      <c r="EE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64.624010724080733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2">
        <f>'Scénario référence'!$B$16*5+'Scénario référence'!$B$17*0+'Scénario référence'!$B$18*5</f>
        <v>4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14.666666666666666</v>
      </c>
      <c r="H103" s="66">
        <f t="shared" si="56"/>
        <v>159.86666666666667</v>
      </c>
      <c r="I103" s="6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-2.9085640562698246E-14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140.03175887621094</v>
      </c>
      <c r="T103" s="59">
        <f t="shared" si="88"/>
        <v>377.29475975964954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17.655333641516396</v>
      </c>
      <c r="AA103" s="21">
        <f>EXP(-LN(2)/25)*AA102+(1-EXP(-LN(2)/25))/(LN(2)/25)*Calculateur!V103*Calculateur!X103*VLOOKUP('Données projet'!$B$9,Paramètres!$A$1:$I$89,3,0)*0.475*44/12</f>
        <v>0</v>
      </c>
      <c r="AB103" s="21">
        <f>EXP(-LN(2)/2)*AB102+(1-EXP(-LN(2)/2))/(LN(2)/2)*V103*Y103*VLOOKUP('Données projet'!$B$9,Paramètres!$A$1:$I$89,3,0)*0.475*44/12</f>
        <v>7.1331492897385353E-11</v>
      </c>
      <c r="AC103" s="22">
        <f t="shared" si="57"/>
        <v>17.655333641587728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-5.6843418860808015E-14</v>
      </c>
      <c r="AJ103" s="13">
        <f>AI103*VLOOKUP('Données projet'!$B$10,Paramètres!$A$1:$I$89,3,0)*VLOOKUP('Données projet'!$B$10,Paramètres!$A$1:$I$89,5,0)</f>
        <v>-2.8642261895583942E-14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138.27364731587764</v>
      </c>
      <c r="AO103" s="59">
        <f t="shared" si="90"/>
        <v>372.50391467700013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17.386197457956676</v>
      </c>
      <c r="AV103" s="21">
        <f>EXP(-LN(2)/25)*AV102+(1-EXP(-LN(2)/25))/(LN(2)/25)*Calculateur!AQ103*Calculateur!AS103*VLOOKUP('Données projet'!$B$10,Paramètres!$A$1:$I$89,3,0)*0.475*44/12</f>
        <v>0</v>
      </c>
      <c r="AW103" s="21">
        <f>EXP(-LN(2)/2)*AW102+(1-EXP(-LN(2)/2))/(LN(2)/2)*AQ103*AT103*VLOOKUP('Données projet'!$B$10,Paramètres!$A$1:$I$89,3,0)*0.475*44/12</f>
        <v>7.0244122578827578E-11</v>
      </c>
      <c r="AX103" s="21">
        <f t="shared" si="60"/>
        <v>17.386197458026921</v>
      </c>
      <c r="AY103" s="7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361</v>
      </c>
      <c r="BB103" s="12">
        <f>VLOOKUP(A103,'Données projet'!$A$87:$I$107,9,0)</f>
        <v>5.8999999999999941</v>
      </c>
      <c r="BC103" s="12">
        <f t="array" ref="BC103">INDEX(BB:BB,MIN(IF(ISNUMBER(BB103:BB299),ROW(BB103:BB299),"")))</f>
        <v>5.8999999999999941</v>
      </c>
      <c r="BD103" s="12">
        <f>IF('Données projet'!$A$88&gt;35,BD102+BC103-BL102,IF(A103&lt;'Données projet'!$A$88,$BA$205^A103,IF(A103='Données projet'!$A$88,'Données projet'!$B$88,BD102+BC103-BL102)))</f>
        <v>360.99999999999977</v>
      </c>
      <c r="BE103" s="13">
        <f>BD103*VLOOKUP('Données projet'!$B$11,Paramètres!$A$1:$I$89,3,0)*VLOOKUP('Données projet'!$B$11,Paramètres!$A$1:$I$89,5,0)</f>
        <v>377.31719999999979</v>
      </c>
      <c r="BF103" s="13">
        <f t="shared" si="91"/>
        <v>87.162568445007366</v>
      </c>
      <c r="BG103" s="20">
        <f t="shared" si="61"/>
        <v>808.9689300417208</v>
      </c>
      <c r="BH103" s="59">
        <f t="shared" si="62"/>
        <v>1082.9322611451112</v>
      </c>
      <c r="BI103" s="59">
        <f ca="1">AVERAGE(OFFSET($BH$3,0,0,'Données projet'!$E$11+1,1))-AVERAGE(OFFSET($H$3,0,0,'Données projet'!$E$11+1,1))</f>
        <v>638.07304290599211</v>
      </c>
      <c r="BJ103" s="59">
        <f t="shared" si="92"/>
        <v>408.22196233793511</v>
      </c>
      <c r="BK103" s="15">
        <f>IF(ISNA(VLOOKUP(A103,'Données projet'!$A$87:$I$107,3,0)),0,VLOOKUP(A103,'Données projet'!$A$87:$I$107,3,0))</f>
        <v>9</v>
      </c>
      <c r="BL103" s="15">
        <f>IF(ISNA(VLOOKUP(A103,'Données projet'!$A$87:$I$107,4,0)),0,VLOOKUP(A103,'Données projet'!$A$87:$I$107,4,0))</f>
        <v>55</v>
      </c>
      <c r="BM103" s="16">
        <f>IF(ISNA(VLOOKUP(A103,'Données projet'!$A$87:$I$107,5,0)),0%,VLOOKUP(A103,'Données projet'!$A$87:$I$107,5,0)*VLOOKUP('Données projet'!$B$11,Paramètres!$A$1:$I$89,7,0))</f>
        <v>0.36549999999999999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91.093926535396051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91.093926535396051</v>
      </c>
      <c r="BT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361</v>
      </c>
      <c r="BW103" s="12">
        <f>VLOOKUP(A103,'Données projet'!$A$113:$I$133,9,0)</f>
        <v>5.8999999999999941</v>
      </c>
      <c r="BX103" s="12">
        <f t="array" ref="BX103">INDEX(BW:BW,MIN(IF(ISNUMBER(BW103:BW299),ROW(BW103:BW299),"")))</f>
        <v>5.8999999999999941</v>
      </c>
      <c r="BY103" s="12">
        <f>IF('Données projet'!$A$114&gt;35,BY102+BX103-CG102,IF(A103&lt;'Données projet'!$A$114,$BV$205^A103,IF(A103='Données projet'!$A$114,'Données projet'!$B$114,BY102+BX103-CG102)))</f>
        <v>360.99999999999977</v>
      </c>
      <c r="BZ103" s="13">
        <f>BY103*VLOOKUP('Données projet'!$B$12,Paramètres!$A$1:$I$89,3,0)*VLOOKUP('Données projet'!$B$12,Paramètres!$A$1:$I$89,5,0)</f>
        <v>411.10679999999968</v>
      </c>
      <c r="CA103" s="13">
        <f t="shared" si="93"/>
        <v>94.024796638510779</v>
      </c>
      <c r="CB103" s="20">
        <f t="shared" si="64"/>
        <v>879.77086414540565</v>
      </c>
      <c r="CC103" s="59">
        <f t="shared" si="65"/>
        <v>1153.7341952487959</v>
      </c>
      <c r="CD103" s="59">
        <f ca="1">AVERAGE(OFFSET($CC$3,0,0,'Données projet'!$E$12+1,1))-AVERAGE(OFFSET($H$3,0,0,'Données projet'!$E$12+1,1))</f>
        <v>685.99951993586967</v>
      </c>
      <c r="CE103" s="59">
        <f t="shared" si="94"/>
        <v>437.98014017823095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55</v>
      </c>
      <c r="CH103" s="16">
        <f>IF(ISNA(VLOOKUP(A103,'Données projet'!$A$113:$I$133,5,0)),0%,VLOOKUP(A103,'Données projet'!$A$113:$I$133,5,0)*VLOOKUP('Données projet'!$B$12,Paramètres!$A$1:$I$89,7,0))</f>
        <v>0.36549999999999999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99.251591598267311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99.251591598267311</v>
      </c>
      <c r="CO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>
        <f>VLOOKUP(A103,'Données projet'!$A$139:$I$159,2,0)</f>
        <v>361</v>
      </c>
      <c r="CR103" s="12">
        <f>VLOOKUP(A103,'Données projet'!$A$139:$I$159,9,0)</f>
        <v>5.8999999999999941</v>
      </c>
      <c r="CS103" s="12">
        <f t="array" ref="CS103">INDEX(CR:CR,MIN(IF(ISNUMBER(CR103:CR299),ROW(CR103:CR299),"")))</f>
        <v>5.8999999999999941</v>
      </c>
      <c r="CT103" s="12">
        <f>IF('Données projet'!$A$140&gt;35,CT102+CS103-DB102,IF(A103&lt;'Données projet'!$A$140,$CQ$205^A103,IF(A103='Données projet'!$A$140,'Données projet'!$B$140,CT102+CS103-DB102)))</f>
        <v>360.99999999999977</v>
      </c>
      <c r="CU103" s="17">
        <f>CT103*VLOOKUP('Données projet'!$B$13,Paramètres!$A$1:$I$89,3,0)*VLOOKUP('Données projet'!$B$13,Paramètres!$A$1:$I$89,5,0)</f>
        <v>366.0539999999998</v>
      </c>
      <c r="CV103" s="13">
        <f t="shared" si="95"/>
        <v>84.85951894835965</v>
      </c>
      <c r="CW103" s="20">
        <f t="shared" si="67"/>
        <v>785.34104550172606</v>
      </c>
      <c r="CX103" s="59">
        <f t="shared" si="68"/>
        <v>1059.3043766051164</v>
      </c>
      <c r="CY103" s="59">
        <f ca="1">AVERAGE(OFFSET($CX$3,0,0,'Données projet'!$E$13+1,1))-AVERAGE(OFFSET($H$3,0,0,'Données projet'!$E$13+1,1))</f>
        <v>622.07867348539082</v>
      </c>
      <c r="CZ103" s="59">
        <f t="shared" si="96"/>
        <v>398.29010684041634</v>
      </c>
      <c r="DA103" s="15">
        <f>IF(ISNA(VLOOKUP(A103,'Données projet'!$A$139:$I$159,3,0)),0,VLOOKUP(A103,'Données projet'!$A$139:$I$159,3,0))</f>
        <v>9</v>
      </c>
      <c r="DB103" s="15">
        <f>IF(ISNA(VLOOKUP(A103,'Données projet'!$A$139:$I$159,4,0)),0,VLOOKUP(A103,'Données projet'!$A$139:$I$159,4,0))</f>
        <v>55</v>
      </c>
      <c r="DC103" s="16">
        <f>IF(ISNA(VLOOKUP(A103,'Données projet'!$A$139:$I$159,5,0)),0%,VLOOKUP(A103,'Données projet'!$A$139:$I$159,5,0)*VLOOKUP('Données projet'!$B$13,Paramètres!$A$1:$I$89,7,0))</f>
        <v>0.36549999999999999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88.374704847772293</v>
      </c>
      <c r="DG103" s="21">
        <f>EXP(-LN(2)/25)*DG102+(1-EXP(-LN(2)/25))/(LN(2)/25)*Calculateur!DB103*Calculateur!DD103*VLOOKUP('Données projet'!$B$13,Paramètres!$A$1:$I$89,3,0)*0.475*44/12</f>
        <v>0</v>
      </c>
      <c r="DH103" s="21">
        <f>EXP(-LN(2)/2)*DH102+(1-EXP(-LN(2)/2))/(LN(2)/2)*DB103*DE103*VLOOKUP('Données projet'!$B$13,Paramètres!$A$1:$I$89,3,0)*0.475*44/12</f>
        <v>0</v>
      </c>
      <c r="DI103" s="22">
        <f t="shared" si="69"/>
        <v>88.374704847772293</v>
      </c>
      <c r="DJ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>
        <f>VLOOKUP(A103,'Données projet'!$A$165:$I$185,2,0)</f>
        <v>361</v>
      </c>
      <c r="DM103" s="12">
        <f>VLOOKUP(A103,'Données projet'!$A$165:$I$185,9,0)</f>
        <v>5.8999999999999941</v>
      </c>
      <c r="DN103" s="12">
        <f t="array" ref="DN103">INDEX(DM:DM,MIN(IF(ISNUMBER(DM103:DM299),ROW(DM103:DM299),"")))</f>
        <v>5.8999999999999941</v>
      </c>
      <c r="DO103" s="12">
        <f>IF('Données projet'!$A$166&gt;35,DO102+DN103-DW102,IF(A103&lt;'Données projet'!$A$166,$DL$205^A103,IF(A103='Données projet'!$A$166,'Données projet'!$B$166,DO102+DN103-DW102)))</f>
        <v>360.99999999999977</v>
      </c>
      <c r="DP103" s="17">
        <f>DO103*VLOOKUP('Données projet'!$B$14,Paramètres!$A$1:$I$89,3,0)*VLOOKUP('Données projet'!$B$14,Paramètres!$A$1:$I$89,5,0)</f>
        <v>343.52759999999978</v>
      </c>
      <c r="DQ103" s="13">
        <f t="shared" si="97"/>
        <v>80.228332511267624</v>
      </c>
      <c r="DR103" s="20">
        <f t="shared" si="70"/>
        <v>738.04158245712404</v>
      </c>
      <c r="DS103" s="59">
        <f t="shared" si="71"/>
        <v>1012.0049135605144</v>
      </c>
      <c r="DT103" s="59">
        <f ca="1">AVERAGE(OFFSET($DS$3,0,0,'Données projet'!$E$14+1,1))-AVERAGE(OFFSET($H$3,0,0,'Données projet'!$E$14+1,1))</f>
        <v>590.05965493677377</v>
      </c>
      <c r="DU103" s="59">
        <f t="shared" si="98"/>
        <v>378.40640480134505</v>
      </c>
      <c r="DV103" s="15">
        <f>IF(ISNA(VLOOKUP(A103,'Données projet'!$A$165:$I$185,3,0)),0,VLOOKUP(A103,'Données projet'!$A$165:$I$185,3,0))</f>
        <v>9</v>
      </c>
      <c r="DW103" s="15">
        <f>IF(ISNA(VLOOKUP(A103,'Données projet'!$A$165:$I$185,4,0)),0,VLOOKUP(A103,'Données projet'!$A$165:$I$185,4,0))</f>
        <v>55</v>
      </c>
      <c r="DX103" s="16">
        <f>IF(ISNA(VLOOKUP(A103,'Données projet'!$A$165:$I$185,5,0)),0%,VLOOKUP(A103,'Données projet'!$A$165:$I$185,5,0)*VLOOKUP('Données projet'!$B$14,Paramètres!$A$1:$I$89,7,0))</f>
        <v>0.36549999999999999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82.936261472524777</v>
      </c>
      <c r="EB103" s="21">
        <f>EXP(-LN(2)/25)*EB102+(1-EXP(-LN(2)/25))/(LN(2)/25)*Calculateur!DW103*Calculateur!DY103*VLOOKUP('Données projet'!$B$14,Paramètres!$A$1:$I$89,3,0)*0.475*44/12</f>
        <v>0</v>
      </c>
      <c r="EC103" s="21">
        <f>EXP(-LN(2)/2)*EC102+(1-EXP(-LN(2)/2))/(LN(2)/2)*DW103*DZ103*VLOOKUP('Données projet'!$B$14,Paramètres!$A$1:$I$89,3,0)*0.475*44/12</f>
        <v>0</v>
      </c>
      <c r="ED103" s="22">
        <f t="shared" si="72"/>
        <v>82.936261472524777</v>
      </c>
      <c r="EE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64.717272119106468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2">
        <f>'Scénario référence'!$B$16*5+'Scénario référence'!$B$17*0+'Scénario référence'!$B$18*5</f>
        <v>4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14.666666666666666</v>
      </c>
      <c r="H104" s="66">
        <f t="shared" si="56"/>
        <v>159.86666666666667</v>
      </c>
      <c r="I104" s="6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-2.9085640562698246E-14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140.03175887621094</v>
      </c>
      <c r="T104" s="59">
        <f t="shared" si="88"/>
        <v>377.29475975964954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17.309123317496461</v>
      </c>
      <c r="AA104" s="21">
        <f>EXP(-LN(2)/25)*AA103+(1-EXP(-LN(2)/25))/(LN(2)/25)*Calculateur!V104*Calculateur!X104*VLOOKUP('Données projet'!$B$9,Paramètres!$A$1:$I$89,3,0)*0.475*44/12</f>
        <v>0</v>
      </c>
      <c r="AB104" s="21">
        <f>EXP(-LN(2)/2)*AB103+(1-EXP(-LN(2)/2))/(LN(2)/2)*V104*Y104*VLOOKUP('Données projet'!$B$9,Paramètres!$A$1:$I$89,3,0)*0.475*44/12</f>
        <v>5.0438982339901234E-11</v>
      </c>
      <c r="AC104" s="22">
        <f t="shared" si="57"/>
        <v>17.309123317546899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-5.6843418860808015E-14</v>
      </c>
      <c r="AJ104" s="13">
        <f>AI104*VLOOKUP('Données projet'!$B$10,Paramètres!$A$1:$I$89,3,0)*VLOOKUP('Données projet'!$B$10,Paramètres!$A$1:$I$89,5,0)</f>
        <v>-2.8642261895583942E-14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138.27364731587764</v>
      </c>
      <c r="AO104" s="59">
        <f t="shared" si="90"/>
        <v>372.50391467700013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17.045264730339486</v>
      </c>
      <c r="AV104" s="21">
        <f>EXP(-LN(2)/25)*AV103+(1-EXP(-LN(2)/25))/(LN(2)/25)*Calculateur!AQ104*Calculateur!AS104*VLOOKUP('Données projet'!$B$10,Paramètres!$A$1:$I$89,3,0)*0.475*44/12</f>
        <v>0</v>
      </c>
      <c r="AW104" s="21">
        <f>EXP(-LN(2)/2)*AW103+(1-EXP(-LN(2)/2))/(LN(2)/2)*AQ104*AT104*VLOOKUP('Données projet'!$B$10,Paramètres!$A$1:$I$89,3,0)*0.475*44/12</f>
        <v>4.9670095413988055E-11</v>
      </c>
      <c r="AX104" s="21">
        <f t="shared" si="60"/>
        <v>17.045264730389157</v>
      </c>
      <c r="AY104" s="7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5.1999999999999886</v>
      </c>
      <c r="BD104" s="12">
        <f>IF('Données projet'!$A$88&gt;35,BD103+BC104-BL103,IF(A104&lt;'Données projet'!$A$88,$BA$205^A104,IF(A104='Données projet'!$A$88,'Données projet'!$B$88,BD103+BC104-BL103)))</f>
        <v>311.19999999999976</v>
      </c>
      <c r="BE104" s="13">
        <f>BD104*VLOOKUP('Données projet'!$B$11,Paramètres!$A$1:$I$89,3,0)*VLOOKUP('Données projet'!$B$11,Paramètres!$A$1:$I$89,5,0)</f>
        <v>325.26623999999975</v>
      </c>
      <c r="BF104" s="13">
        <f t="shared" si="91"/>
        <v>76.448054183152152</v>
      </c>
      <c r="BG104" s="20">
        <f t="shared" si="61"/>
        <v>699.65239570232279</v>
      </c>
      <c r="BH104" s="59">
        <f t="shared" si="62"/>
        <v>973.95175303956512</v>
      </c>
      <c r="BI104" s="59">
        <f ca="1">AVERAGE(OFFSET($BH$3,0,0,'Données projet'!$E$11+1,1))-AVERAGE(OFFSET($H$3,0,0,'Données projet'!$E$11+1,1))</f>
        <v>638.07304290599211</v>
      </c>
      <c r="BJ104" s="59">
        <f t="shared" si="92"/>
        <v>408.22196233793511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89.307630197845853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89.307630197845853</v>
      </c>
      <c r="BT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5.1999999999999886</v>
      </c>
      <c r="BY104" s="12">
        <f>IF('Données projet'!$A$114&gt;35,BY103+BX104-CG103,IF(A104&lt;'Données projet'!$A$114,$BV$205^A104,IF(A104='Données projet'!$A$114,'Données projet'!$B$114,BY103+BX104-CG103)))</f>
        <v>311.19999999999976</v>
      </c>
      <c r="BZ104" s="13">
        <f>BY104*VLOOKUP('Données projet'!$B$12,Paramètres!$A$1:$I$89,3,0)*VLOOKUP('Données projet'!$B$12,Paramètres!$A$1:$I$89,5,0)</f>
        <v>354.39455999999973</v>
      </c>
      <c r="CA104" s="13">
        <f t="shared" si="93"/>
        <v>82.466738603690843</v>
      </c>
      <c r="CB104" s="20">
        <f t="shared" si="64"/>
        <v>760.86676173476098</v>
      </c>
      <c r="CC104" s="59">
        <f t="shared" si="65"/>
        <v>1035.1661190720033</v>
      </c>
      <c r="CD104" s="59">
        <f ca="1">AVERAGE(OFFSET($CC$3,0,0,'Données projet'!$E$12+1,1))-AVERAGE(OFFSET($H$3,0,0,'Données projet'!$E$12+1,1))</f>
        <v>685.99951993586967</v>
      </c>
      <c r="CE104" s="59">
        <f t="shared" si="94"/>
        <v>437.98014017823095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97.305328424518578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97.305328424518578</v>
      </c>
      <c r="CO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5.1999999999999886</v>
      </c>
      <c r="CT104" s="12">
        <f>IF('Données projet'!$A$140&gt;35,CT103+CS104-DB103,IF(A104&lt;'Données projet'!$A$140,$CQ$205^A104,IF(A104='Données projet'!$A$140,'Données projet'!$B$140,CT103+CS104-DB103)))</f>
        <v>311.19999999999976</v>
      </c>
      <c r="CU104" s="17">
        <f>CT104*VLOOKUP('Données projet'!$B$13,Paramètres!$A$1:$I$89,3,0)*VLOOKUP('Données projet'!$B$13,Paramètres!$A$1:$I$89,5,0)</f>
        <v>315.55679999999978</v>
      </c>
      <c r="CV104" s="13">
        <f t="shared" si="95"/>
        <v>74.428108513271013</v>
      </c>
      <c r="CW104" s="20">
        <f t="shared" si="67"/>
        <v>679.22371566061327</v>
      </c>
      <c r="CX104" s="59">
        <f t="shared" si="68"/>
        <v>953.52307299785571</v>
      </c>
      <c r="CY104" s="59">
        <f ca="1">AVERAGE(OFFSET($CX$3,0,0,'Données projet'!$E$13+1,1))-AVERAGE(OFFSET($H$3,0,0,'Données projet'!$E$13+1,1))</f>
        <v>622.07867348539082</v>
      </c>
      <c r="CZ104" s="59">
        <f t="shared" si="96"/>
        <v>398.29010684041634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86.641730788954931</v>
      </c>
      <c r="DG104" s="21">
        <f>EXP(-LN(2)/25)*DG103+(1-EXP(-LN(2)/25))/(LN(2)/25)*Calculateur!DB104*Calculateur!DD104*VLOOKUP('Données projet'!$B$13,Paramètres!$A$1:$I$89,3,0)*0.475*44/12</f>
        <v>0</v>
      </c>
      <c r="DH104" s="21">
        <f>EXP(-LN(2)/2)*DH103+(1-EXP(-LN(2)/2))/(LN(2)/2)*DB104*DE104*VLOOKUP('Données projet'!$B$13,Paramètres!$A$1:$I$89,3,0)*0.475*44/12</f>
        <v>0</v>
      </c>
      <c r="DI104" s="22">
        <f t="shared" si="69"/>
        <v>86.641730788954931</v>
      </c>
      <c r="DJ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5.1999999999999886</v>
      </c>
      <c r="DO104" s="12">
        <f>IF('Données projet'!$A$166&gt;35,DO103+DN104-DW103,IF(A104&lt;'Données projet'!$A$166,$DL$205^A104,IF(A104='Données projet'!$A$166,'Données projet'!$B$166,DO103+DN104-DW103)))</f>
        <v>311.19999999999976</v>
      </c>
      <c r="DP104" s="17">
        <f>DO104*VLOOKUP('Données projet'!$B$14,Paramètres!$A$1:$I$89,3,0)*VLOOKUP('Données projet'!$B$14,Paramètres!$A$1:$I$89,5,0)</f>
        <v>296.13791999999978</v>
      </c>
      <c r="DQ104" s="13">
        <f t="shared" si="97"/>
        <v>70.366213619725443</v>
      </c>
      <c r="DR104" s="20">
        <f t="shared" si="70"/>
        <v>638.32803272102137</v>
      </c>
      <c r="DS104" s="59">
        <f t="shared" si="71"/>
        <v>912.6273900582637</v>
      </c>
      <c r="DT104" s="59">
        <f ca="1">AVERAGE(OFFSET($DS$3,0,0,'Données projet'!$E$14+1,1))-AVERAGE(OFFSET($H$3,0,0,'Données projet'!$E$14+1,1))</f>
        <v>590.05965493677377</v>
      </c>
      <c r="DU104" s="59">
        <f t="shared" si="98"/>
        <v>378.40640480134505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81.3099319711731</v>
      </c>
      <c r="EB104" s="21">
        <f>EXP(-LN(2)/25)*EB103+(1-EXP(-LN(2)/25))/(LN(2)/25)*Calculateur!DW104*Calculateur!DY104*VLOOKUP('Données projet'!$B$14,Paramètres!$A$1:$I$89,3,0)*0.475*44/12</f>
        <v>0</v>
      </c>
      <c r="EC104" s="21">
        <f>EXP(-LN(2)/2)*EC103+(1-EXP(-LN(2)/2))/(LN(2)/2)*DW104*DZ104*VLOOKUP('Données projet'!$B$14,Paramètres!$A$1:$I$89,3,0)*0.475*44/12</f>
        <v>0</v>
      </c>
      <c r="ED104" s="22">
        <f t="shared" si="72"/>
        <v>81.3099319711731</v>
      </c>
      <c r="EE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64.808915637429749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2">
        <f>'Scénario référence'!$B$16*5+'Scénario référence'!$B$17*0+'Scénario référence'!$B$18*5</f>
        <v>4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14.666666666666666</v>
      </c>
      <c r="H105" s="66">
        <f t="shared" si="56"/>
        <v>159.86666666666667</v>
      </c>
      <c r="I105" s="6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-2.9085640562698246E-14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140.03175887621094</v>
      </c>
      <c r="T105" s="59">
        <f t="shared" si="88"/>
        <v>377.29475975964954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16.969701966763111</v>
      </c>
      <c r="AA105" s="21">
        <f>EXP(-LN(2)/25)*AA104+(1-EXP(-LN(2)/25))/(LN(2)/25)*Calculateur!V105*Calculateur!X105*VLOOKUP('Données projet'!$B$9,Paramètres!$A$1:$I$89,3,0)*0.475*44/12</f>
        <v>0</v>
      </c>
      <c r="AB105" s="21">
        <f>EXP(-LN(2)/2)*AB104+(1-EXP(-LN(2)/2))/(LN(2)/2)*V105*Y105*VLOOKUP('Données projet'!$B$9,Paramètres!$A$1:$I$89,3,0)*0.475*44/12</f>
        <v>3.5665746448692677E-11</v>
      </c>
      <c r="AC105" s="22">
        <f t="shared" si="57"/>
        <v>16.969701966798777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-5.6843418860808015E-14</v>
      </c>
      <c r="AJ105" s="13">
        <f>AI105*VLOOKUP('Données projet'!$B$10,Paramètres!$A$1:$I$89,3,0)*VLOOKUP('Données projet'!$B$10,Paramètres!$A$1:$I$89,5,0)</f>
        <v>-2.8642261895583942E-14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138.27364731587764</v>
      </c>
      <c r="AO105" s="59">
        <f t="shared" si="90"/>
        <v>372.50391467700013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16.711017485562436</v>
      </c>
      <c r="AV105" s="21">
        <f>EXP(-LN(2)/25)*AV104+(1-EXP(-LN(2)/25))/(LN(2)/25)*Calculateur!AQ105*Calculateur!AS105*VLOOKUP('Données projet'!$B$10,Paramètres!$A$1:$I$89,3,0)*0.475*44/12</f>
        <v>0</v>
      </c>
      <c r="AW105" s="21">
        <f>EXP(-LN(2)/2)*AW104+(1-EXP(-LN(2)/2))/(LN(2)/2)*AQ105*AT105*VLOOKUP('Données projet'!$B$10,Paramètres!$A$1:$I$89,3,0)*0.475*44/12</f>
        <v>3.5122061289413789E-11</v>
      </c>
      <c r="AX105" s="21">
        <f t="shared" si="60"/>
        <v>16.711017485597559</v>
      </c>
      <c r="AY105" s="7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5.1999999999999886</v>
      </c>
      <c r="BD105" s="12">
        <f>IF('Données projet'!$A$88&gt;35,BD104+BC105-BL104,IF(A105&lt;'Données projet'!$A$88,$BA$205^A105,IF(A105='Données projet'!$A$88,'Données projet'!$B$88,BD104+BC105-BL104)))</f>
        <v>316.39999999999975</v>
      </c>
      <c r="BE105" s="13">
        <f>BD105*VLOOKUP('Données projet'!$B$11,Paramètres!$A$1:$I$89,3,0)*VLOOKUP('Données projet'!$B$11,Paramètres!$A$1:$I$89,5,0)</f>
        <v>330.70127999999977</v>
      </c>
      <c r="BF105" s="13">
        <f t="shared" si="91"/>
        <v>77.575682439775377</v>
      </c>
      <c r="BG105" s="20">
        <f t="shared" si="61"/>
        <v>711.08237624927506</v>
      </c>
      <c r="BH105" s="59">
        <f t="shared" si="62"/>
        <v>985.71193051645434</v>
      </c>
      <c r="BI105" s="59">
        <f ca="1">AVERAGE(OFFSET($BH$3,0,0,'Données projet'!$E$11+1,1))-AVERAGE(OFFSET($H$3,0,0,'Données projet'!$E$11+1,1))</f>
        <v>638.07304290599211</v>
      </c>
      <c r="BJ105" s="59">
        <f t="shared" si="92"/>
        <v>408.22196233793511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87.556362041941824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87.556362041941824</v>
      </c>
      <c r="BT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5.1999999999999886</v>
      </c>
      <c r="BY105" s="12">
        <f>IF('Données projet'!$A$114&gt;35,BY104+BX105-CG104,IF(A105&lt;'Données projet'!$A$114,$BV$205^A105,IF(A105='Données projet'!$A$114,'Données projet'!$B$114,BY104+BX105-CG104)))</f>
        <v>316.39999999999975</v>
      </c>
      <c r="BZ105" s="13">
        <f>BY105*VLOOKUP('Données projet'!$B$12,Paramètres!$A$1:$I$89,3,0)*VLOOKUP('Données projet'!$B$12,Paramètres!$A$1:$I$89,5,0)</f>
        <v>360.31631999999973</v>
      </c>
      <c r="CA105" s="13">
        <f t="shared" si="93"/>
        <v>83.683143987381783</v>
      </c>
      <c r="CB105" s="20">
        <f t="shared" si="64"/>
        <v>773.2990664446894</v>
      </c>
      <c r="CC105" s="59">
        <f t="shared" si="65"/>
        <v>1047.9286207118687</v>
      </c>
      <c r="CD105" s="59">
        <f ca="1">AVERAGE(OFFSET($CC$3,0,0,'Données projet'!$E$12+1,1))-AVERAGE(OFFSET($H$3,0,0,'Données projet'!$E$12+1,1))</f>
        <v>685.99951993586967</v>
      </c>
      <c r="CE105" s="59">
        <f t="shared" si="94"/>
        <v>437.98014017823095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95.397230284503749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95.397230284503749</v>
      </c>
      <c r="CO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5.1999999999999886</v>
      </c>
      <c r="CT105" s="12">
        <f>IF('Données projet'!$A$140&gt;35,CT104+CS105-DB104,IF(A105&lt;'Données projet'!$A$140,$CQ$205^A105,IF(A105='Données projet'!$A$140,'Données projet'!$B$140,CT104+CS105-DB104)))</f>
        <v>316.39999999999975</v>
      </c>
      <c r="CU105" s="17">
        <f>CT105*VLOOKUP('Données projet'!$B$13,Paramètres!$A$1:$I$89,3,0)*VLOOKUP('Données projet'!$B$13,Paramètres!$A$1:$I$89,5,0)</f>
        <v>320.8295999999998</v>
      </c>
      <c r="CV105" s="13">
        <f t="shared" si="95"/>
        <v>75.525942057150615</v>
      </c>
      <c r="CW105" s="20">
        <f t="shared" si="67"/>
        <v>690.31923574953692</v>
      </c>
      <c r="CX105" s="59">
        <f t="shared" si="68"/>
        <v>964.9487900167162</v>
      </c>
      <c r="CY105" s="59">
        <f ca="1">AVERAGE(OFFSET($CX$3,0,0,'Données projet'!$E$13+1,1))-AVERAGE(OFFSET($H$3,0,0,'Données projet'!$E$13+1,1))</f>
        <v>622.07867348539082</v>
      </c>
      <c r="CZ105" s="59">
        <f t="shared" si="96"/>
        <v>398.29010684041634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84.942739294421173</v>
      </c>
      <c r="DG105" s="21">
        <f>EXP(-LN(2)/25)*DG104+(1-EXP(-LN(2)/25))/(LN(2)/25)*Calculateur!DB105*Calculateur!DD105*VLOOKUP('Données projet'!$B$13,Paramètres!$A$1:$I$89,3,0)*0.475*44/12</f>
        <v>0</v>
      </c>
      <c r="DH105" s="21">
        <f>EXP(-LN(2)/2)*DH104+(1-EXP(-LN(2)/2))/(LN(2)/2)*DB105*DE105*VLOOKUP('Données projet'!$B$13,Paramètres!$A$1:$I$89,3,0)*0.475*44/12</f>
        <v>0</v>
      </c>
      <c r="DI105" s="22">
        <f t="shared" si="69"/>
        <v>84.942739294421173</v>
      </c>
      <c r="DJ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5.1999999999999886</v>
      </c>
      <c r="DO105" s="12">
        <f>IF('Données projet'!$A$166&gt;35,DO104+DN105-DW104,IF(A105&lt;'Données projet'!$A$166,$DL$205^A105,IF(A105='Données projet'!$A$166,'Données projet'!$B$166,DO104+DN105-DW104)))</f>
        <v>316.39999999999975</v>
      </c>
      <c r="DP105" s="17">
        <f>DO105*VLOOKUP('Données projet'!$B$14,Paramètres!$A$1:$I$89,3,0)*VLOOKUP('Données projet'!$B$14,Paramètres!$A$1:$I$89,5,0)</f>
        <v>301.08623999999975</v>
      </c>
      <c r="DQ105" s="13">
        <f t="shared" si="97"/>
        <v>71.404133180098981</v>
      </c>
      <c r="DR105" s="20">
        <f t="shared" si="70"/>
        <v>648.75406662200533</v>
      </c>
      <c r="DS105" s="59">
        <f t="shared" si="71"/>
        <v>923.38362088918461</v>
      </c>
      <c r="DT105" s="59">
        <f ca="1">AVERAGE(OFFSET($DS$3,0,0,'Données projet'!$E$14+1,1))-AVERAGE(OFFSET($H$3,0,0,'Données projet'!$E$14+1,1))</f>
        <v>590.05965493677377</v>
      </c>
      <c r="DU105" s="59">
        <f t="shared" si="98"/>
        <v>378.40640480134505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79.715493799379885</v>
      </c>
      <c r="EB105" s="21">
        <f>EXP(-LN(2)/25)*EB104+(1-EXP(-LN(2)/25))/(LN(2)/25)*Calculateur!DW105*Calculateur!DY105*VLOOKUP('Données projet'!$B$14,Paramètres!$A$1:$I$89,3,0)*0.475*44/12</f>
        <v>0</v>
      </c>
      <c r="EC105" s="21">
        <f>EXP(-LN(2)/2)*EC104+(1-EXP(-LN(2)/2))/(LN(2)/2)*DW105*DZ105*VLOOKUP('Données projet'!$B$14,Paramètres!$A$1:$I$89,3,0)*0.475*44/12</f>
        <v>0</v>
      </c>
      <c r="ED105" s="22">
        <f t="shared" si="72"/>
        <v>79.715493799379885</v>
      </c>
      <c r="EE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64.898969345594352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2">
        <f>'Scénario référence'!$B$16*5+'Scénario référence'!$B$17*0+'Scénario référence'!$B$18*5</f>
        <v>4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14.666666666666666</v>
      </c>
      <c r="H106" s="66">
        <f t="shared" si="56"/>
        <v>159.86666666666667</v>
      </c>
      <c r="I106" s="6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-2.9085640562698246E-14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140.03175887621094</v>
      </c>
      <c r="T106" s="59">
        <f t="shared" si="88"/>
        <v>377.29475975964954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16.636936461691061</v>
      </c>
      <c r="AA106" s="21">
        <f>EXP(-LN(2)/25)*AA105+(1-EXP(-LN(2)/25))/(LN(2)/25)*Calculateur!V106*Calculateur!X106*VLOOKUP('Données projet'!$B$9,Paramètres!$A$1:$I$89,3,0)*0.475*44/12</f>
        <v>0</v>
      </c>
      <c r="AB106" s="21">
        <f>EXP(-LN(2)/2)*AB105+(1-EXP(-LN(2)/2))/(LN(2)/2)*V106*Y106*VLOOKUP('Données projet'!$B$9,Paramètres!$A$1:$I$89,3,0)*0.475*44/12</f>
        <v>2.5219491169950617E-11</v>
      </c>
      <c r="AC106" s="22">
        <f t="shared" si="57"/>
        <v>16.636936461716282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-5.6843418860808015E-14</v>
      </c>
      <c r="AJ106" s="13">
        <f>AI106*VLOOKUP('Données projet'!$B$10,Paramètres!$A$1:$I$89,3,0)*VLOOKUP('Données projet'!$B$10,Paramètres!$A$1:$I$89,5,0)</f>
        <v>-2.8642261895583942E-14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138.27364731587764</v>
      </c>
      <c r="AO106" s="59">
        <f t="shared" si="90"/>
        <v>372.50391467700013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16.383324625384777</v>
      </c>
      <c r="AV106" s="21">
        <f>EXP(-LN(2)/25)*AV105+(1-EXP(-LN(2)/25))/(LN(2)/25)*Calculateur!AQ106*Calculateur!AS106*VLOOKUP('Données projet'!$B$10,Paramètres!$A$1:$I$89,3,0)*0.475*44/12</f>
        <v>0</v>
      </c>
      <c r="AW106" s="21">
        <f>EXP(-LN(2)/2)*AW105+(1-EXP(-LN(2)/2))/(LN(2)/2)*AQ106*AT106*VLOOKUP('Données projet'!$B$10,Paramètres!$A$1:$I$89,3,0)*0.475*44/12</f>
        <v>2.4835047706994028E-11</v>
      </c>
      <c r="AX106" s="21">
        <f t="shared" si="60"/>
        <v>16.38332462540961</v>
      </c>
      <c r="AY106" s="7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5.1999999999999886</v>
      </c>
      <c r="BD106" s="12">
        <f>IF('Données projet'!$A$88&gt;35,BD105+BC106-BL105,IF(A106&lt;'Données projet'!$A$88,$BA$205^A106,IF(A106='Données projet'!$A$88,'Données projet'!$B$88,BD105+BC106-BL105)))</f>
        <v>321.59999999999974</v>
      </c>
      <c r="BE106" s="13">
        <f>BD106*VLOOKUP('Données projet'!$B$11,Paramètres!$A$1:$I$89,3,0)*VLOOKUP('Données projet'!$B$11,Paramètres!$A$1:$I$89,5,0)</f>
        <v>336.13631999999978</v>
      </c>
      <c r="BF106" s="13">
        <f t="shared" si="91"/>
        <v>78.701155478778873</v>
      </c>
      <c r="BG106" s="20">
        <f t="shared" si="61"/>
        <v>722.50860312553948</v>
      </c>
      <c r="BH106" s="59">
        <f t="shared" si="62"/>
        <v>997.46262614413104</v>
      </c>
      <c r="BI106" s="59">
        <f ca="1">AVERAGE(OFFSET($BH$3,0,0,'Données projet'!$E$11+1,1))-AVERAGE(OFFSET($H$3,0,0,'Données projet'!$E$11+1,1))</f>
        <v>638.07304290599211</v>
      </c>
      <c r="BJ106" s="59">
        <f t="shared" si="92"/>
        <v>408.22196233793511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85.839435186406973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85.839435186406973</v>
      </c>
      <c r="BT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5.1999999999999886</v>
      </c>
      <c r="BY106" s="12">
        <f>IF('Données projet'!$A$114&gt;35,BY105+BX106-CG105,IF(A106&lt;'Données projet'!$A$114,$BV$205^A106,IF(A106='Données projet'!$A$114,'Données projet'!$B$114,BY105+BX106-CG105)))</f>
        <v>321.59999999999974</v>
      </c>
      <c r="BZ106" s="13">
        <f>BY106*VLOOKUP('Données projet'!$B$12,Paramètres!$A$1:$I$89,3,0)*VLOOKUP('Données projet'!$B$12,Paramètres!$A$1:$I$89,5,0)</f>
        <v>366.23807999999968</v>
      </c>
      <c r="CA106" s="13">
        <f t="shared" si="93"/>
        <v>84.897224475168201</v>
      </c>
      <c r="CB106" s="20">
        <f t="shared" si="64"/>
        <v>785.72732196091738</v>
      </c>
      <c r="CC106" s="59">
        <f t="shared" si="65"/>
        <v>1060.6813449795088</v>
      </c>
      <c r="CD106" s="59">
        <f ca="1">AVERAGE(OFFSET($CC$3,0,0,'Données projet'!$E$12+1,1))-AVERAGE(OFFSET($H$3,0,0,'Données projet'!$E$12+1,1))</f>
        <v>685.99951993586967</v>
      </c>
      <c r="CE106" s="59">
        <f t="shared" si="94"/>
        <v>437.98014017823095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93.526548785189661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93.526548785189661</v>
      </c>
      <c r="CO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5.1999999999999886</v>
      </c>
      <c r="CT106" s="12">
        <f>IF('Données projet'!$A$140&gt;35,CT105+CS106-DB105,IF(A106&lt;'Données projet'!$A$140,$CQ$205^A106,IF(A106='Données projet'!$A$140,'Données projet'!$B$140,CT105+CS106-DB105)))</f>
        <v>321.59999999999974</v>
      </c>
      <c r="CU106" s="17">
        <f>CT106*VLOOKUP('Données projet'!$B$13,Paramètres!$A$1:$I$89,3,0)*VLOOKUP('Données projet'!$B$13,Paramètres!$A$1:$I$89,5,0)</f>
        <v>326.10239999999976</v>
      </c>
      <c r="CV106" s="13">
        <f t="shared" si="95"/>
        <v>76.621677329562218</v>
      </c>
      <c r="CW106" s="20">
        <f t="shared" si="67"/>
        <v>701.41110134898702</v>
      </c>
      <c r="CX106" s="59">
        <f t="shared" si="68"/>
        <v>976.36512436757857</v>
      </c>
      <c r="CY106" s="59">
        <f ca="1">AVERAGE(OFFSET($CX$3,0,0,'Données projet'!$E$13+1,1))-AVERAGE(OFFSET($H$3,0,0,'Données projet'!$E$13+1,1))</f>
        <v>622.07867348539082</v>
      </c>
      <c r="CZ106" s="59">
        <f t="shared" si="96"/>
        <v>398.29010684041634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83.277063986812735</v>
      </c>
      <c r="DG106" s="21">
        <f>EXP(-LN(2)/25)*DG105+(1-EXP(-LN(2)/25))/(LN(2)/25)*Calculateur!DB106*Calculateur!DD106*VLOOKUP('Données projet'!$B$13,Paramètres!$A$1:$I$89,3,0)*0.475*44/12</f>
        <v>0</v>
      </c>
      <c r="DH106" s="21">
        <f>EXP(-LN(2)/2)*DH105+(1-EXP(-LN(2)/2))/(LN(2)/2)*DB106*DE106*VLOOKUP('Données projet'!$B$13,Paramètres!$A$1:$I$89,3,0)*0.475*44/12</f>
        <v>0</v>
      </c>
      <c r="DI106" s="22">
        <f t="shared" si="69"/>
        <v>83.277063986812735</v>
      </c>
      <c r="DJ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5.1999999999999886</v>
      </c>
      <c r="DO106" s="12">
        <f>IF('Données projet'!$A$166&gt;35,DO105+DN106-DW105,IF(A106&lt;'Données projet'!$A$166,$DL$205^A106,IF(A106='Données projet'!$A$166,'Données projet'!$B$166,DO105+DN106-DW105)))</f>
        <v>321.59999999999974</v>
      </c>
      <c r="DP106" s="17">
        <f>DO106*VLOOKUP('Données projet'!$B$14,Paramètres!$A$1:$I$89,3,0)*VLOOKUP('Données projet'!$B$14,Paramètres!$A$1:$I$89,5,0)</f>
        <v>306.03455999999977</v>
      </c>
      <c r="DQ106" s="13">
        <f t="shared" si="97"/>
        <v>72.440068981630731</v>
      </c>
      <c r="DR106" s="20">
        <f t="shared" si="70"/>
        <v>659.17664547633979</v>
      </c>
      <c r="DS106" s="59">
        <f t="shared" si="71"/>
        <v>934.13066849493134</v>
      </c>
      <c r="DT106" s="59">
        <f ca="1">AVERAGE(OFFSET($DS$3,0,0,'Données projet'!$E$14+1,1))-AVERAGE(OFFSET($H$3,0,0,'Données projet'!$E$14+1,1))</f>
        <v>590.05965493677377</v>
      </c>
      <c r="DU106" s="59">
        <f t="shared" si="98"/>
        <v>378.40640480134505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78.152321587624272</v>
      </c>
      <c r="EB106" s="21">
        <f>EXP(-LN(2)/25)*EB105+(1-EXP(-LN(2)/25))/(LN(2)/25)*Calculateur!DW106*Calculateur!DY106*VLOOKUP('Données projet'!$B$14,Paramètres!$A$1:$I$89,3,0)*0.475*44/12</f>
        <v>0</v>
      </c>
      <c r="EC106" s="21">
        <f>EXP(-LN(2)/2)*EC105+(1-EXP(-LN(2)/2))/(LN(2)/2)*DW106*DZ106*VLOOKUP('Données projet'!$B$14,Paramètres!$A$1:$I$89,3,0)*0.475*44/12</f>
        <v>0</v>
      </c>
      <c r="ED106" s="22">
        <f t="shared" si="72"/>
        <v>78.152321587624272</v>
      </c>
      <c r="EE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64.987460823252221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2">
        <f>'Scénario référence'!$B$16*5+'Scénario référence'!$B$17*0+'Scénario référence'!$B$18*5</f>
        <v>4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14.666666666666666</v>
      </c>
      <c r="H107" s="66">
        <f t="shared" si="56"/>
        <v>159.86666666666667</v>
      </c>
      <c r="I107" s="6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-2.9085640562698246E-14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140.03175887621094</v>
      </c>
      <c r="T107" s="59">
        <f t="shared" si="88"/>
        <v>377.29475975964954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16.310696285206557</v>
      </c>
      <c r="AA107" s="21">
        <f>EXP(-LN(2)/25)*AA106+(1-EXP(-LN(2)/25))/(LN(2)/25)*Calculateur!V107*Calculateur!X107*VLOOKUP('Données projet'!$B$9,Paramètres!$A$1:$I$89,3,0)*0.475*44/12</f>
        <v>0</v>
      </c>
      <c r="AB107" s="21">
        <f>EXP(-LN(2)/2)*AB106+(1-EXP(-LN(2)/2))/(LN(2)/2)*V107*Y107*VLOOKUP('Données projet'!$B$9,Paramètres!$A$1:$I$89,3,0)*0.475*44/12</f>
        <v>1.7832873224346338E-11</v>
      </c>
      <c r="AC107" s="22">
        <f t="shared" si="57"/>
        <v>16.310696285224392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-5.6843418860808015E-14</v>
      </c>
      <c r="AJ107" s="13">
        <f>AI107*VLOOKUP('Données projet'!$B$10,Paramètres!$A$1:$I$89,3,0)*VLOOKUP('Données projet'!$B$10,Paramètres!$A$1:$I$89,5,0)</f>
        <v>-2.8642261895583942E-14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138.27364731587764</v>
      </c>
      <c r="AO107" s="59">
        <f t="shared" si="90"/>
        <v>372.50391467700013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16.062057622322293</v>
      </c>
      <c r="AV107" s="21">
        <f>EXP(-LN(2)/25)*AV106+(1-EXP(-LN(2)/25))/(LN(2)/25)*Calculateur!AQ107*Calculateur!AS107*VLOOKUP('Données projet'!$B$10,Paramètres!$A$1:$I$89,3,0)*0.475*44/12</f>
        <v>0</v>
      </c>
      <c r="AW107" s="21">
        <f>EXP(-LN(2)/2)*AW106+(1-EXP(-LN(2)/2))/(LN(2)/2)*AQ107*AT107*VLOOKUP('Données projet'!$B$10,Paramètres!$A$1:$I$89,3,0)*0.475*44/12</f>
        <v>1.7561030644706895E-11</v>
      </c>
      <c r="AX107" s="21">
        <f t="shared" si="60"/>
        <v>16.062057622339854</v>
      </c>
      <c r="AY107" s="7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5.1999999999999886</v>
      </c>
      <c r="BD107" s="12">
        <f>IF('Données projet'!$A$88&gt;35,BD106+BC107-BL106,IF(A107&lt;'Données projet'!$A$88,$BA$205^A107,IF(A107='Données projet'!$A$88,'Données projet'!$B$88,BD106+BC107-BL106)))</f>
        <v>326.79999999999973</v>
      </c>
      <c r="BE107" s="13">
        <f>BD107*VLOOKUP('Données projet'!$B$11,Paramètres!$A$1:$I$89,3,0)*VLOOKUP('Données projet'!$B$11,Paramètres!$A$1:$I$89,5,0)</f>
        <v>341.57135999999974</v>
      </c>
      <c r="BF107" s="13">
        <f t="shared" si="91"/>
        <v>79.824512171345873</v>
      </c>
      <c r="BG107" s="20">
        <f t="shared" si="61"/>
        <v>733.93114403176025</v>
      </c>
      <c r="BH107" s="59">
        <f t="shared" si="62"/>
        <v>1009.2040069943304</v>
      </c>
      <c r="BI107" s="59">
        <f ca="1">AVERAGE(OFFSET($BH$3,0,0,'Données projet'!$E$11+1,1))-AVERAGE(OFFSET($H$3,0,0,'Données projet'!$E$11+1,1))</f>
        <v>638.07304290599211</v>
      </c>
      <c r="BJ107" s="59">
        <f t="shared" si="92"/>
        <v>408.22196233793511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84.15617621928719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84.15617621928719</v>
      </c>
      <c r="BT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5.1999999999999886</v>
      </c>
      <c r="BY107" s="12">
        <f>IF('Données projet'!$A$114&gt;35,BY106+BX107-CG106,IF(A107&lt;'Données projet'!$A$114,$BV$205^A107,IF(A107='Données projet'!$A$114,'Données projet'!$B$114,BY106+BX107-CG106)))</f>
        <v>326.79999999999973</v>
      </c>
      <c r="BZ107" s="13">
        <f>BY107*VLOOKUP('Données projet'!$B$12,Paramètres!$A$1:$I$89,3,0)*VLOOKUP('Données projet'!$B$12,Paramètres!$A$1:$I$89,5,0)</f>
        <v>372.15983999999969</v>
      </c>
      <c r="CA107" s="13">
        <f t="shared" si="93"/>
        <v>86.109021998525492</v>
      </c>
      <c r="CB107" s="20">
        <f t="shared" si="64"/>
        <v>798.151601314098</v>
      </c>
      <c r="CC107" s="59">
        <f t="shared" si="65"/>
        <v>1073.424464276668</v>
      </c>
      <c r="CD107" s="59">
        <f ca="1">AVERAGE(OFFSET($CC$3,0,0,'Données projet'!$E$12+1,1))-AVERAGE(OFFSET($H$3,0,0,'Données projet'!$E$12+1,1))</f>
        <v>685.99951993586967</v>
      </c>
      <c r="CE107" s="59">
        <f t="shared" si="94"/>
        <v>437.98014017823095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91.692550209074071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91.692550209074071</v>
      </c>
      <c r="CO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5.1999999999999886</v>
      </c>
      <c r="CT107" s="12">
        <f>IF('Données projet'!$A$140&gt;35,CT106+CS107-DB106,IF(A107&lt;'Données projet'!$A$140,$CQ$205^A107,IF(A107='Données projet'!$A$140,'Données projet'!$B$140,CT106+CS107-DB106)))</f>
        <v>326.79999999999973</v>
      </c>
      <c r="CU107" s="17">
        <f>CT107*VLOOKUP('Données projet'!$B$13,Paramètres!$A$1:$I$89,3,0)*VLOOKUP('Données projet'!$B$13,Paramètres!$A$1:$I$89,5,0)</f>
        <v>331.37519999999972</v>
      </c>
      <c r="CV107" s="13">
        <f t="shared" si="95"/>
        <v>77.715352174616825</v>
      </c>
      <c r="CW107" s="20">
        <f t="shared" si="67"/>
        <v>712.49937837079051</v>
      </c>
      <c r="CX107" s="59">
        <f t="shared" si="68"/>
        <v>987.77224133336063</v>
      </c>
      <c r="CY107" s="59">
        <f ca="1">AVERAGE(OFFSET($CX$3,0,0,'Données projet'!$E$13+1,1))-AVERAGE(OFFSET($H$3,0,0,'Données projet'!$E$13+1,1))</f>
        <v>622.07867348539082</v>
      </c>
      <c r="CZ107" s="59">
        <f t="shared" si="96"/>
        <v>398.29010684041634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81.644051556024877</v>
      </c>
      <c r="DG107" s="21">
        <f>EXP(-LN(2)/25)*DG106+(1-EXP(-LN(2)/25))/(LN(2)/25)*Calculateur!DB107*Calculateur!DD107*VLOOKUP('Données projet'!$B$13,Paramètres!$A$1:$I$89,3,0)*0.475*44/12</f>
        <v>0</v>
      </c>
      <c r="DH107" s="21">
        <f>EXP(-LN(2)/2)*DH106+(1-EXP(-LN(2)/2))/(LN(2)/2)*DB107*DE107*VLOOKUP('Données projet'!$B$13,Paramètres!$A$1:$I$89,3,0)*0.475*44/12</f>
        <v>0</v>
      </c>
      <c r="DI107" s="22">
        <f t="shared" si="69"/>
        <v>81.644051556024877</v>
      </c>
      <c r="DJ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5.1999999999999886</v>
      </c>
      <c r="DO107" s="12">
        <f>IF('Données projet'!$A$166&gt;35,DO106+DN107-DW106,IF(A107&lt;'Données projet'!$A$166,$DL$205^A107,IF(A107='Données projet'!$A$166,'Données projet'!$B$166,DO106+DN107-DW106)))</f>
        <v>326.79999999999973</v>
      </c>
      <c r="DP107" s="17">
        <f>DO107*VLOOKUP('Données projet'!$B$14,Paramètres!$A$1:$I$89,3,0)*VLOOKUP('Données projet'!$B$14,Paramètres!$A$1:$I$89,5,0)</f>
        <v>310.98287999999974</v>
      </c>
      <c r="DQ107" s="13">
        <f t="shared" si="97"/>
        <v>73.47405680309889</v>
      </c>
      <c r="DR107" s="20">
        <f t="shared" si="70"/>
        <v>669.59583159873011</v>
      </c>
      <c r="DS107" s="59">
        <f t="shared" si="71"/>
        <v>944.86869456130023</v>
      </c>
      <c r="DT107" s="59">
        <f ca="1">AVERAGE(OFFSET($DS$3,0,0,'Données projet'!$E$14+1,1))-AVERAGE(OFFSET($H$3,0,0,'Données projet'!$E$14+1,1))</f>
        <v>590.05965493677377</v>
      </c>
      <c r="DU107" s="59">
        <f t="shared" si="98"/>
        <v>378.40640480134505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76.61980222950028</v>
      </c>
      <c r="EB107" s="21">
        <f>EXP(-LN(2)/25)*EB106+(1-EXP(-LN(2)/25))/(LN(2)/25)*Calculateur!DW107*Calculateur!DY107*VLOOKUP('Données projet'!$B$14,Paramètres!$A$1:$I$89,3,0)*0.475*44/12</f>
        <v>0</v>
      </c>
      <c r="EC107" s="21">
        <f>EXP(-LN(2)/2)*EC106+(1-EXP(-LN(2)/2))/(LN(2)/2)*DW107*DZ107*VLOOKUP('Données projet'!$B$14,Paramètres!$A$1:$I$89,3,0)*0.475*44/12</f>
        <v>0</v>
      </c>
      <c r="ED107" s="22">
        <f t="shared" si="72"/>
        <v>76.61980222950028</v>
      </c>
      <c r="EE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65.074417171610037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2">
        <f>'Scénario référence'!$B$16*5+'Scénario référence'!$B$17*0+'Scénario référence'!$B$18*5</f>
        <v>4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14.666666666666666</v>
      </c>
      <c r="H108" s="66">
        <f t="shared" si="56"/>
        <v>159.86666666666667</v>
      </c>
      <c r="I108" s="6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-2.9085640562698246E-14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140.03175887621094</v>
      </c>
      <c r="T108" s="59">
        <f t="shared" si="88"/>
        <v>377.29475975964954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15.990853479596053</v>
      </c>
      <c r="AA108" s="21">
        <f>EXP(-LN(2)/25)*AA107+(1-EXP(-LN(2)/25))/(LN(2)/25)*Calculateur!V108*Calculateur!X108*VLOOKUP('Données projet'!$B$9,Paramètres!$A$1:$I$89,3,0)*0.475*44/12</f>
        <v>0</v>
      </c>
      <c r="AB108" s="21">
        <f>EXP(-LN(2)/2)*AB107+(1-EXP(-LN(2)/2))/(LN(2)/2)*V108*Y108*VLOOKUP('Données projet'!$B$9,Paramètres!$A$1:$I$89,3,0)*0.475*44/12</f>
        <v>1.2609745584975309E-11</v>
      </c>
      <c r="AC108" s="22">
        <f t="shared" si="57"/>
        <v>15.990853479608663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-5.6843418860808015E-14</v>
      </c>
      <c r="AJ108" s="13">
        <f>AI108*VLOOKUP('Données projet'!$B$10,Paramètres!$A$1:$I$89,3,0)*VLOOKUP('Données projet'!$B$10,Paramètres!$A$1:$I$89,5,0)</f>
        <v>-2.8642261895583942E-14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138.27364731587764</v>
      </c>
      <c r="AO108" s="59">
        <f t="shared" si="90"/>
        <v>372.50391467700013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15.74709046923634</v>
      </c>
      <c r="AV108" s="21">
        <f>EXP(-LN(2)/25)*AV107+(1-EXP(-LN(2)/25))/(LN(2)/25)*Calculateur!AQ108*Calculateur!AS108*VLOOKUP('Données projet'!$B$10,Paramètres!$A$1:$I$89,3,0)*0.475*44/12</f>
        <v>0</v>
      </c>
      <c r="AW108" s="21">
        <f>EXP(-LN(2)/2)*AW107+(1-EXP(-LN(2)/2))/(LN(2)/2)*AQ108*AT108*VLOOKUP('Données projet'!$B$10,Paramètres!$A$1:$I$89,3,0)*0.475*44/12</f>
        <v>1.2417523853497014E-11</v>
      </c>
      <c r="AX108" s="21">
        <f t="shared" si="60"/>
        <v>15.747090469248757</v>
      </c>
      <c r="AY108" s="7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5.1999999999999886</v>
      </c>
      <c r="BD108" s="12">
        <f>IF('Données projet'!$A$88&gt;35,BD107+BC108-BL107,IF(A108&lt;'Données projet'!$A$88,$BA$205^A108,IF(A108='Données projet'!$A$88,'Données projet'!$B$88,BD107+BC108-BL107)))</f>
        <v>331.99999999999972</v>
      </c>
      <c r="BE108" s="13">
        <f>BD108*VLOOKUP('Données projet'!$B$11,Paramètres!$A$1:$I$89,3,0)*VLOOKUP('Données projet'!$B$11,Paramètres!$A$1:$I$89,5,0)</f>
        <v>347.00639999999976</v>
      </c>
      <c r="BF108" s="13">
        <f t="shared" si="91"/>
        <v>80.945790080684603</v>
      </c>
      <c r="BG108" s="20">
        <f t="shared" si="61"/>
        <v>745.35006439052529</v>
      </c>
      <c r="BH108" s="59">
        <f t="shared" si="62"/>
        <v>1020.9362361368653</v>
      </c>
      <c r="BI108" s="59">
        <f ca="1">AVERAGE(OFFSET($BH$3,0,0,'Données projet'!$E$11+1,1))-AVERAGE(OFFSET($H$3,0,0,'Données projet'!$E$11+1,1))</f>
        <v>638.07304290599211</v>
      </c>
      <c r="BJ108" s="59">
        <f t="shared" si="92"/>
        <v>408.22196233793511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82.505924933826023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82.505924933826023</v>
      </c>
      <c r="BT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5.1999999999999886</v>
      </c>
      <c r="BY108" s="12">
        <f>IF('Données projet'!$A$114&gt;35,BY107+BX108-CG107,IF(A108&lt;'Données projet'!$A$114,$BV$205^A108,IF(A108='Données projet'!$A$114,'Données projet'!$B$114,BY107+BX108-CG107)))</f>
        <v>331.99999999999972</v>
      </c>
      <c r="BZ108" s="13">
        <f>BY108*VLOOKUP('Données projet'!$B$12,Paramètres!$A$1:$I$89,3,0)*VLOOKUP('Données projet'!$B$12,Paramètres!$A$1:$I$89,5,0)</f>
        <v>378.0815999999997</v>
      </c>
      <c r="CA108" s="13">
        <f t="shared" si="93"/>
        <v>87.318577077978503</v>
      </c>
      <c r="CB108" s="20">
        <f t="shared" si="64"/>
        <v>810.57197507747867</v>
      </c>
      <c r="CC108" s="59">
        <f t="shared" si="65"/>
        <v>1086.1581468238187</v>
      </c>
      <c r="CD108" s="59">
        <f ca="1">AVERAGE(OFFSET($CC$3,0,0,'Données projet'!$E$12+1,1))-AVERAGE(OFFSET($H$3,0,0,'Données projet'!$E$12+1,1))</f>
        <v>685.99951993586967</v>
      </c>
      <c r="CE108" s="59">
        <f t="shared" si="94"/>
        <v>437.98014017823095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89.894515226407435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89.894515226407435</v>
      </c>
      <c r="CO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5.1999999999999886</v>
      </c>
      <c r="CT108" s="12">
        <f>IF('Données projet'!$A$140&gt;35,CT107+CS108-DB107,IF(A108&lt;'Données projet'!$A$140,$CQ$205^A108,IF(A108='Données projet'!$A$140,'Données projet'!$B$140,CT107+CS108-DB107)))</f>
        <v>331.99999999999972</v>
      </c>
      <c r="CU108" s="17">
        <f>CT108*VLOOKUP('Données projet'!$B$13,Paramètres!$A$1:$I$89,3,0)*VLOOKUP('Données projet'!$B$13,Paramètres!$A$1:$I$89,5,0)</f>
        <v>336.64799999999974</v>
      </c>
      <c r="CV108" s="13">
        <f t="shared" si="95"/>
        <v>78.807003163010307</v>
      </c>
      <c r="CW108" s="20">
        <f t="shared" si="67"/>
        <v>723.58413050890897</v>
      </c>
      <c r="CX108" s="59">
        <f t="shared" si="68"/>
        <v>999.170302255249</v>
      </c>
      <c r="CY108" s="59">
        <f ca="1">AVERAGE(OFFSET($CX$3,0,0,'Données projet'!$E$13+1,1))-AVERAGE(OFFSET($H$3,0,0,'Données projet'!$E$13+1,1))</f>
        <v>622.07867348539082</v>
      </c>
      <c r="CZ108" s="59">
        <f t="shared" si="96"/>
        <v>398.29010684041634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80.043061502965543</v>
      </c>
      <c r="DG108" s="21">
        <f>EXP(-LN(2)/25)*DG107+(1-EXP(-LN(2)/25))/(LN(2)/25)*Calculateur!DB108*Calculateur!DD108*VLOOKUP('Données projet'!$B$13,Paramètres!$A$1:$I$89,3,0)*0.475*44/12</f>
        <v>0</v>
      </c>
      <c r="DH108" s="21">
        <f>EXP(-LN(2)/2)*DH107+(1-EXP(-LN(2)/2))/(LN(2)/2)*DB108*DE108*VLOOKUP('Données projet'!$B$13,Paramètres!$A$1:$I$89,3,0)*0.475*44/12</f>
        <v>0</v>
      </c>
      <c r="DI108" s="22">
        <f t="shared" si="69"/>
        <v>80.043061502965543</v>
      </c>
      <c r="DJ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5.1999999999999886</v>
      </c>
      <c r="DO108" s="12">
        <f>IF('Données projet'!$A$166&gt;35,DO107+DN108-DW107,IF(A108&lt;'Données projet'!$A$166,$DL$205^A108,IF(A108='Données projet'!$A$166,'Données projet'!$B$166,DO107+DN108-DW107)))</f>
        <v>331.99999999999972</v>
      </c>
      <c r="DP108" s="17">
        <f>DO108*VLOOKUP('Données projet'!$B$14,Paramètres!$A$1:$I$89,3,0)*VLOOKUP('Données projet'!$B$14,Paramètres!$A$1:$I$89,5,0)</f>
        <v>315.93119999999971</v>
      </c>
      <c r="DQ108" s="13">
        <f t="shared" si="97"/>
        <v>74.506131219362985</v>
      </c>
      <c r="DR108" s="20">
        <f t="shared" si="70"/>
        <v>680.01168520705676</v>
      </c>
      <c r="DS108" s="59">
        <f t="shared" si="71"/>
        <v>955.59785695339679</v>
      </c>
      <c r="DT108" s="59">
        <f ca="1">AVERAGE(OFFSET($DS$3,0,0,'Données projet'!$E$14+1,1))-AVERAGE(OFFSET($H$3,0,0,'Données projet'!$E$14+1,1))</f>
        <v>590.05965493677377</v>
      </c>
      <c r="DU108" s="59">
        <f t="shared" si="98"/>
        <v>378.40640480134505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75.117334641244597</v>
      </c>
      <c r="EB108" s="21">
        <f>EXP(-LN(2)/25)*EB107+(1-EXP(-LN(2)/25))/(LN(2)/25)*Calculateur!DW108*Calculateur!DY108*VLOOKUP('Données projet'!$B$14,Paramètres!$A$1:$I$89,3,0)*0.475*44/12</f>
        <v>0</v>
      </c>
      <c r="EC108" s="21">
        <f>EXP(-LN(2)/2)*EC107+(1-EXP(-LN(2)/2))/(LN(2)/2)*DW108*DZ108*VLOOKUP('Données projet'!$B$14,Paramètres!$A$1:$I$89,3,0)*0.475*44/12</f>
        <v>0</v>
      </c>
      <c r="ED108" s="22">
        <f t="shared" si="72"/>
        <v>75.117334641244597</v>
      </c>
      <c r="EE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65.159865021729104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2">
        <f>'Scénario référence'!$B$16*5+'Scénario référence'!$B$17*0+'Scénario référence'!$B$18*5</f>
        <v>4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14.666666666666666</v>
      </c>
      <c r="H109" s="66">
        <f t="shared" si="56"/>
        <v>159.86666666666667</v>
      </c>
      <c r="I109" s="6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-2.9085640562698246E-14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140.03175887621094</v>
      </c>
      <c r="T109" s="59">
        <f t="shared" si="88"/>
        <v>377.29475975964954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15.677282596318722</v>
      </c>
      <c r="AA109" s="21">
        <f>EXP(-LN(2)/25)*AA108+(1-EXP(-LN(2)/25))/(LN(2)/25)*Calculateur!V109*Calculateur!X109*VLOOKUP('Données projet'!$B$9,Paramètres!$A$1:$I$89,3,0)*0.475*44/12</f>
        <v>0</v>
      </c>
      <c r="AB109" s="21">
        <f>EXP(-LN(2)/2)*AB108+(1-EXP(-LN(2)/2))/(LN(2)/2)*V109*Y109*VLOOKUP('Données projet'!$B$9,Paramètres!$A$1:$I$89,3,0)*0.475*44/12</f>
        <v>8.9164366121731691E-12</v>
      </c>
      <c r="AC109" s="22">
        <f t="shared" si="57"/>
        <v>15.67728259632764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-5.6843418860808015E-14</v>
      </c>
      <c r="AJ109" s="13">
        <f>AI109*VLOOKUP('Données projet'!$B$10,Paramètres!$A$1:$I$89,3,0)*VLOOKUP('Données projet'!$B$10,Paramètres!$A$1:$I$89,5,0)</f>
        <v>-2.8642261895583942E-14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138.27364731587764</v>
      </c>
      <c r="AO109" s="59">
        <f t="shared" si="90"/>
        <v>372.50391467700013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15.438299629911409</v>
      </c>
      <c r="AV109" s="21">
        <f>EXP(-LN(2)/25)*AV108+(1-EXP(-LN(2)/25))/(LN(2)/25)*Calculateur!AQ109*Calculateur!AS109*VLOOKUP('Données projet'!$B$10,Paramètres!$A$1:$I$89,3,0)*0.475*44/12</f>
        <v>0</v>
      </c>
      <c r="AW109" s="21">
        <f>EXP(-LN(2)/2)*AW108+(1-EXP(-LN(2)/2))/(LN(2)/2)*AQ109*AT109*VLOOKUP('Données projet'!$B$10,Paramètres!$A$1:$I$89,3,0)*0.475*44/12</f>
        <v>8.7805153223534473E-12</v>
      </c>
      <c r="AX109" s="21">
        <f t="shared" si="60"/>
        <v>15.43829962992019</v>
      </c>
      <c r="AY109" s="7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5.1999999999999886</v>
      </c>
      <c r="BD109" s="12">
        <f>IF('Données projet'!$A$88&gt;35,BD108+BC109-BL108,IF(A109&lt;'Données projet'!$A$88,$BA$205^A109,IF(A109='Données projet'!$A$88,'Données projet'!$B$88,BD108+BC109-BL108)))</f>
        <v>337.1999999999997</v>
      </c>
      <c r="BE109" s="13">
        <f>BD109*VLOOKUP('Données projet'!$B$11,Paramètres!$A$1:$I$89,3,0)*VLOOKUP('Données projet'!$B$11,Paramètres!$A$1:$I$89,5,0)</f>
        <v>352.44143999999972</v>
      </c>
      <c r="BF109" s="13">
        <f t="shared" si="91"/>
        <v>82.065025525824026</v>
      </c>
      <c r="BG109" s="20">
        <f t="shared" si="61"/>
        <v>756.76542745747622</v>
      </c>
      <c r="BH109" s="59">
        <f t="shared" si="62"/>
        <v>1032.6594727806412</v>
      </c>
      <c r="BI109" s="59">
        <f ca="1">AVERAGE(OFFSET($BH$3,0,0,'Données projet'!$E$11+1,1))-AVERAGE(OFFSET($H$3,0,0,'Données projet'!$E$11+1,1))</f>
        <v>638.07304290599211</v>
      </c>
      <c r="BJ109" s="59">
        <f t="shared" si="92"/>
        <v>408.22196233793511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80.888034069518852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80.888034069518852</v>
      </c>
      <c r="BT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5.1999999999999886</v>
      </c>
      <c r="BY109" s="12">
        <f>IF('Données projet'!$A$114&gt;35,BY108+BX109-CG108,IF(A109&lt;'Données projet'!$A$114,$BV$205^A109,IF(A109='Données projet'!$A$114,'Données projet'!$B$114,BY108+BX109-CG108)))</f>
        <v>337.1999999999997</v>
      </c>
      <c r="BZ109" s="13">
        <f>BY109*VLOOKUP('Données projet'!$B$12,Paramètres!$A$1:$I$89,3,0)*VLOOKUP('Données projet'!$B$12,Paramètres!$A$1:$I$89,5,0)</f>
        <v>384.00335999999965</v>
      </c>
      <c r="CA109" s="13">
        <f t="shared" si="93"/>
        <v>88.525928891919634</v>
      </c>
      <c r="CB109" s="20">
        <f t="shared" si="64"/>
        <v>822.98851148675942</v>
      </c>
      <c r="CC109" s="59">
        <f t="shared" si="65"/>
        <v>1098.8825568099244</v>
      </c>
      <c r="CD109" s="59">
        <f ca="1">AVERAGE(OFFSET($CC$3,0,0,'Données projet'!$E$12+1,1))-AVERAGE(OFFSET($H$3,0,0,'Données projet'!$E$12+1,1))</f>
        <v>685.99951993586967</v>
      </c>
      <c r="CE109" s="59">
        <f t="shared" si="94"/>
        <v>437.98014017823095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88.131738613057834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88.131738613057834</v>
      </c>
      <c r="CO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5.1999999999999886</v>
      </c>
      <c r="CT109" s="12">
        <f>IF('Données projet'!$A$140&gt;35,CT108+CS109-DB108,IF(A109&lt;'Données projet'!$A$140,$CQ$205^A109,IF(A109='Données projet'!$A$140,'Données projet'!$B$140,CT108+CS109-DB108)))</f>
        <v>337.1999999999997</v>
      </c>
      <c r="CU109" s="17">
        <f>CT109*VLOOKUP('Données projet'!$B$13,Paramètres!$A$1:$I$89,3,0)*VLOOKUP('Données projet'!$B$13,Paramètres!$A$1:$I$89,5,0)</f>
        <v>341.9207999999997</v>
      </c>
      <c r="CV109" s="13">
        <f t="shared" si="95"/>
        <v>79.896665654133528</v>
      </c>
      <c r="CW109" s="20">
        <f t="shared" si="67"/>
        <v>734.66541934761528</v>
      </c>
      <c r="CX109" s="59">
        <f t="shared" si="68"/>
        <v>1010.5594646707802</v>
      </c>
      <c r="CY109" s="59">
        <f ca="1">AVERAGE(OFFSET($CX$3,0,0,'Données projet'!$E$13+1,1))-AVERAGE(OFFSET($H$3,0,0,'Données projet'!$E$13+1,1))</f>
        <v>622.07867348539082</v>
      </c>
      <c r="CZ109" s="59">
        <f t="shared" si="96"/>
        <v>398.29010684041634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78.473465888339192</v>
      </c>
      <c r="DG109" s="21">
        <f>EXP(-LN(2)/25)*DG108+(1-EXP(-LN(2)/25))/(LN(2)/25)*Calculateur!DB109*Calculateur!DD109*VLOOKUP('Données projet'!$B$13,Paramètres!$A$1:$I$89,3,0)*0.475*44/12</f>
        <v>0</v>
      </c>
      <c r="DH109" s="21">
        <f>EXP(-LN(2)/2)*DH108+(1-EXP(-LN(2)/2))/(LN(2)/2)*DB109*DE109*VLOOKUP('Données projet'!$B$13,Paramètres!$A$1:$I$89,3,0)*0.475*44/12</f>
        <v>0</v>
      </c>
      <c r="DI109" s="22">
        <f t="shared" si="69"/>
        <v>78.473465888339192</v>
      </c>
      <c r="DJ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5.1999999999999886</v>
      </c>
      <c r="DO109" s="12">
        <f>IF('Données projet'!$A$166&gt;35,DO108+DN109-DW108,IF(A109&lt;'Données projet'!$A$166,$DL$205^A109,IF(A109='Données projet'!$A$166,'Données projet'!$B$166,DO108+DN109-DW108)))</f>
        <v>337.1999999999997</v>
      </c>
      <c r="DP109" s="17">
        <f>DO109*VLOOKUP('Données projet'!$B$14,Paramètres!$A$1:$I$89,3,0)*VLOOKUP('Données projet'!$B$14,Paramètres!$A$1:$I$89,5,0)</f>
        <v>320.87951999999973</v>
      </c>
      <c r="DQ109" s="13">
        <f t="shared" si="97"/>
        <v>75.53632566008443</v>
      </c>
      <c r="DR109" s="20">
        <f t="shared" si="70"/>
        <v>690.42426452464667</v>
      </c>
      <c r="DS109" s="59">
        <f t="shared" si="71"/>
        <v>966.31830984781163</v>
      </c>
      <c r="DT109" s="59">
        <f ca="1">AVERAGE(OFFSET($DS$3,0,0,'Données projet'!$E$14+1,1))-AVERAGE(OFFSET($H$3,0,0,'Données projet'!$E$14+1,1))</f>
        <v>590.05965493677377</v>
      </c>
      <c r="DU109" s="59">
        <f t="shared" si="98"/>
        <v>378.40640480134505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73.64432952597987</v>
      </c>
      <c r="EB109" s="21">
        <f>EXP(-LN(2)/25)*EB108+(1-EXP(-LN(2)/25))/(LN(2)/25)*Calculateur!DW109*Calculateur!DY109*VLOOKUP('Données projet'!$B$14,Paramètres!$A$1:$I$89,3,0)*0.475*44/12</f>
        <v>0</v>
      </c>
      <c r="EC109" s="21">
        <f>EXP(-LN(2)/2)*EC108+(1-EXP(-LN(2)/2))/(LN(2)/2)*DW109*DZ109*VLOOKUP('Données projet'!$B$14,Paramètres!$A$1:$I$89,3,0)*0.475*44/12</f>
        <v>0</v>
      </c>
      <c r="ED109" s="22">
        <f t="shared" si="72"/>
        <v>73.64432952597987</v>
      </c>
      <c r="EE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65.243830542681366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2">
        <f>'Scénario référence'!$B$16*5+'Scénario référence'!$B$17*0+'Scénario référence'!$B$18*5</f>
        <v>4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14.666666666666666</v>
      </c>
      <c r="H110" s="66">
        <f t="shared" si="56"/>
        <v>159.86666666666667</v>
      </c>
      <c r="I110" s="6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-2.9085640562698246E-14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140.03175887621094</v>
      </c>
      <c r="T110" s="59">
        <f t="shared" si="88"/>
        <v>377.29475975964954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15.369860646803108</v>
      </c>
      <c r="AA110" s="21">
        <f>EXP(-LN(2)/25)*AA109+(1-EXP(-LN(2)/25))/(LN(2)/25)*Calculateur!V110*Calculateur!X110*VLOOKUP('Données projet'!$B$9,Paramètres!$A$1:$I$89,3,0)*0.475*44/12</f>
        <v>0</v>
      </c>
      <c r="AB110" s="21">
        <f>EXP(-LN(2)/2)*AB109+(1-EXP(-LN(2)/2))/(LN(2)/2)*V110*Y110*VLOOKUP('Données projet'!$B$9,Paramètres!$A$1:$I$89,3,0)*0.475*44/12</f>
        <v>6.3048727924876543E-12</v>
      </c>
      <c r="AC110" s="22">
        <f t="shared" si="57"/>
        <v>15.369860646809412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-5.6843418860808015E-14</v>
      </c>
      <c r="AJ110" s="13">
        <f>AI110*VLOOKUP('Données projet'!$B$10,Paramètres!$A$1:$I$89,3,0)*VLOOKUP('Données projet'!$B$10,Paramètres!$A$1:$I$89,5,0)</f>
        <v>-2.8642261895583942E-14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138.27364731587764</v>
      </c>
      <c r="AO110" s="59">
        <f t="shared" si="90"/>
        <v>372.50391467700013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15.135563990601826</v>
      </c>
      <c r="AV110" s="21">
        <f>EXP(-LN(2)/25)*AV109+(1-EXP(-LN(2)/25))/(LN(2)/25)*Calculateur!AQ110*Calculateur!AS110*VLOOKUP('Données projet'!$B$10,Paramètres!$A$1:$I$89,3,0)*0.475*44/12</f>
        <v>0</v>
      </c>
      <c r="AW110" s="21">
        <f>EXP(-LN(2)/2)*AW109+(1-EXP(-LN(2)/2))/(LN(2)/2)*AQ110*AT110*VLOOKUP('Données projet'!$B$10,Paramètres!$A$1:$I$89,3,0)*0.475*44/12</f>
        <v>6.2087619267485069E-12</v>
      </c>
      <c r="AX110" s="21">
        <f t="shared" si="60"/>
        <v>15.135563990608034</v>
      </c>
      <c r="AY110" s="7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5.1999999999999886</v>
      </c>
      <c r="BD110" s="12">
        <f>IF('Données projet'!$A$88&gt;35,BD109+BC110-BL109,IF(A110&lt;'Données projet'!$A$88,$BA$205^A110,IF(A110='Données projet'!$A$88,'Données projet'!$B$88,BD109+BC110-BL109)))</f>
        <v>342.39999999999969</v>
      </c>
      <c r="BE110" s="13">
        <f>BD110*VLOOKUP('Données projet'!$B$11,Paramètres!$A$1:$I$89,3,0)*VLOOKUP('Données projet'!$B$11,Paramètres!$A$1:$I$89,5,0)</f>
        <v>357.87647999999973</v>
      </c>
      <c r="BF110" s="13">
        <f t="shared" si="91"/>
        <v>83.182253641363516</v>
      </c>
      <c r="BG110" s="20">
        <f t="shared" si="61"/>
        <v>768.17729442537427</v>
      </c>
      <c r="BH110" s="59">
        <f t="shared" si="62"/>
        <v>1044.3738724071086</v>
      </c>
      <c r="BI110" s="59">
        <f ca="1">AVERAGE(OFFSET($BH$3,0,0,'Données projet'!$E$11+1,1))-AVERAGE(OFFSET($H$3,0,0,'Données projet'!$E$11+1,1))</f>
        <v>638.07304290599211</v>
      </c>
      <c r="BJ110" s="59">
        <f t="shared" si="92"/>
        <v>408.22196233793511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79.301869058244762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79.301869058244762</v>
      </c>
      <c r="BT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5.1999999999999886</v>
      </c>
      <c r="BY110" s="12">
        <f>IF('Données projet'!$A$114&gt;35,BY109+BX110-CG109,IF(A110&lt;'Données projet'!$A$114,$BV$205^A110,IF(A110='Données projet'!$A$114,'Données projet'!$B$114,BY109+BX110-CG109)))</f>
        <v>342.39999999999969</v>
      </c>
      <c r="BZ110" s="13">
        <f>BY110*VLOOKUP('Données projet'!$B$12,Paramètres!$A$1:$I$89,3,0)*VLOOKUP('Données projet'!$B$12,Paramètres!$A$1:$I$89,5,0)</f>
        <v>389.92511999999965</v>
      </c>
      <c r="CA110" s="13">
        <f t="shared" si="93"/>
        <v>89.731115341062605</v>
      </c>
      <c r="CB110" s="20">
        <f t="shared" si="64"/>
        <v>835.40127655234994</v>
      </c>
      <c r="CC110" s="59">
        <f t="shared" si="65"/>
        <v>1111.5978545340845</v>
      </c>
      <c r="CD110" s="59">
        <f ca="1">AVERAGE(OFFSET($CC$3,0,0,'Données projet'!$E$12+1,1))-AVERAGE(OFFSET($H$3,0,0,'Données projet'!$E$12+1,1))</f>
        <v>685.99951993586967</v>
      </c>
      <c r="CE110" s="59">
        <f t="shared" si="94"/>
        <v>437.98014017823095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86.40352897390845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86.40352897390845</v>
      </c>
      <c r="CO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5.1999999999999886</v>
      </c>
      <c r="CT110" s="12">
        <f>IF('Données projet'!$A$140&gt;35,CT109+CS110-DB109,IF(A110&lt;'Données projet'!$A$140,$CQ$205^A110,IF(A110='Données projet'!$A$140,'Données projet'!$B$140,CT109+CS110-DB109)))</f>
        <v>342.39999999999969</v>
      </c>
      <c r="CU110" s="17">
        <f>CT110*VLOOKUP('Données projet'!$B$13,Paramètres!$A$1:$I$89,3,0)*VLOOKUP('Données projet'!$B$13,Paramètres!$A$1:$I$89,5,0)</f>
        <v>347.19359999999972</v>
      </c>
      <c r="CV110" s="13">
        <f t="shared" si="95"/>
        <v>80.984373854243287</v>
      </c>
      <c r="CW110" s="20">
        <f t="shared" si="67"/>
        <v>745.74330446280658</v>
      </c>
      <c r="CX110" s="59">
        <f t="shared" si="68"/>
        <v>1021.939882444541</v>
      </c>
      <c r="CY110" s="59">
        <f ca="1">AVERAGE(OFFSET($CX$3,0,0,'Données projet'!$E$13+1,1))-AVERAGE(OFFSET($H$3,0,0,'Données projet'!$E$13+1,1))</f>
        <v>622.07867348539082</v>
      </c>
      <c r="CZ110" s="59">
        <f t="shared" si="96"/>
        <v>398.29010684041634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76.93464908635687</v>
      </c>
      <c r="DG110" s="21">
        <f>EXP(-LN(2)/25)*DG109+(1-EXP(-LN(2)/25))/(LN(2)/25)*Calculateur!DB110*Calculateur!DD110*VLOOKUP('Données projet'!$B$13,Paramètres!$A$1:$I$89,3,0)*0.475*44/12</f>
        <v>0</v>
      </c>
      <c r="DH110" s="21">
        <f>EXP(-LN(2)/2)*DH109+(1-EXP(-LN(2)/2))/(LN(2)/2)*DB110*DE110*VLOOKUP('Données projet'!$B$13,Paramètres!$A$1:$I$89,3,0)*0.475*44/12</f>
        <v>0</v>
      </c>
      <c r="DI110" s="22">
        <f t="shared" si="69"/>
        <v>76.93464908635687</v>
      </c>
      <c r="DJ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5.1999999999999886</v>
      </c>
      <c r="DO110" s="12">
        <f>IF('Données projet'!$A$166&gt;35,DO109+DN110-DW109,IF(A110&lt;'Données projet'!$A$166,$DL$205^A110,IF(A110='Données projet'!$A$166,'Données projet'!$B$166,DO109+DN110-DW109)))</f>
        <v>342.39999999999969</v>
      </c>
      <c r="DP110" s="17">
        <f>DO110*VLOOKUP('Données projet'!$B$14,Paramètres!$A$1:$I$89,3,0)*VLOOKUP('Données projet'!$B$14,Paramètres!$A$1:$I$89,5,0)</f>
        <v>325.8278399999997</v>
      </c>
      <c r="DQ110" s="13">
        <f t="shared" si="97"/>
        <v>76.564672464722065</v>
      </c>
      <c r="DR110" s="20">
        <f t="shared" si="70"/>
        <v>700.833625876057</v>
      </c>
      <c r="DS110" s="59">
        <f t="shared" si="71"/>
        <v>977.03020385779143</v>
      </c>
      <c r="DT110" s="59">
        <f ca="1">AVERAGE(OFFSET($DS$3,0,0,'Données projet'!$E$14+1,1))-AVERAGE(OFFSET($H$3,0,0,'Données projet'!$E$14+1,1))</f>
        <v>590.05965493677377</v>
      </c>
      <c r="DU110" s="59">
        <f t="shared" si="98"/>
        <v>378.40640480134505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72.200209142581073</v>
      </c>
      <c r="EB110" s="21">
        <f>EXP(-LN(2)/25)*EB109+(1-EXP(-LN(2)/25))/(LN(2)/25)*Calculateur!DW110*Calculateur!DY110*VLOOKUP('Données projet'!$B$14,Paramètres!$A$1:$I$89,3,0)*0.475*44/12</f>
        <v>0</v>
      </c>
      <c r="EC110" s="21">
        <f>EXP(-LN(2)/2)*EC109+(1-EXP(-LN(2)/2))/(LN(2)/2)*DW110*DZ110*VLOOKUP('Données projet'!$B$14,Paramètres!$A$1:$I$89,3,0)*0.475*44/12</f>
        <v>0</v>
      </c>
      <c r="ED110" s="22">
        <f t="shared" si="72"/>
        <v>72.200209142581073</v>
      </c>
      <c r="EE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65.326339449563932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2">
        <f>'Scénario référence'!$B$16*5+'Scénario référence'!$B$17*0+'Scénario référence'!$B$18*5</f>
        <v>4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14.666666666666666</v>
      </c>
      <c r="H111" s="66">
        <f t="shared" si="56"/>
        <v>159.86666666666667</v>
      </c>
      <c r="I111" s="6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-2.9085640562698246E-14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140.03175887621094</v>
      </c>
      <c r="T111" s="59">
        <f t="shared" si="88"/>
        <v>377.29475975964954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15.06846705420862</v>
      </c>
      <c r="AA111" s="21">
        <f>EXP(-LN(2)/25)*AA110+(1-EXP(-LN(2)/25))/(LN(2)/25)*Calculateur!V111*Calculateur!X111*VLOOKUP('Données projet'!$B$9,Paramètres!$A$1:$I$89,3,0)*0.475*44/12</f>
        <v>0</v>
      </c>
      <c r="AB111" s="21">
        <f>EXP(-LN(2)/2)*AB110+(1-EXP(-LN(2)/2))/(LN(2)/2)*V111*Y111*VLOOKUP('Données projet'!$B$9,Paramètres!$A$1:$I$89,3,0)*0.475*44/12</f>
        <v>4.4582183060865846E-12</v>
      </c>
      <c r="AC111" s="22">
        <f t="shared" si="57"/>
        <v>15.068467054213079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-5.6843418860808015E-14</v>
      </c>
      <c r="AJ111" s="13">
        <f>AI111*VLOOKUP('Données projet'!$B$10,Paramètres!$A$1:$I$89,3,0)*VLOOKUP('Données projet'!$B$10,Paramètres!$A$1:$I$89,5,0)</f>
        <v>-2.8642261895583942E-14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138.27364731587764</v>
      </c>
      <c r="AO111" s="59">
        <f t="shared" si="90"/>
        <v>372.50391467700013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14.838764812528595</v>
      </c>
      <c r="AV111" s="21">
        <f>EXP(-LN(2)/25)*AV110+(1-EXP(-LN(2)/25))/(LN(2)/25)*Calculateur!AQ111*Calculateur!AS111*VLOOKUP('Données projet'!$B$10,Paramètres!$A$1:$I$89,3,0)*0.475*44/12</f>
        <v>0</v>
      </c>
      <c r="AW111" s="21">
        <f>EXP(-LN(2)/2)*AW110+(1-EXP(-LN(2)/2))/(LN(2)/2)*AQ111*AT111*VLOOKUP('Données projet'!$B$10,Paramètres!$A$1:$I$89,3,0)*0.475*44/12</f>
        <v>4.3902576611767237E-12</v>
      </c>
      <c r="AX111" s="21">
        <f t="shared" si="60"/>
        <v>14.838764812532984</v>
      </c>
      <c r="AY111" s="7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5.1999999999999886</v>
      </c>
      <c r="BD111" s="12">
        <f>IF('Données projet'!$A$88&gt;35,BD110+BC111-BL110,IF(A111&lt;'Données projet'!$A$88,$BA$205^A111,IF(A111='Données projet'!$A$88,'Données projet'!$B$88,BD110+BC111-BL110)))</f>
        <v>347.59999999999968</v>
      </c>
      <c r="BE111" s="13">
        <f>BD111*VLOOKUP('Données projet'!$B$11,Paramètres!$A$1:$I$89,3,0)*VLOOKUP('Données projet'!$B$11,Paramètres!$A$1:$I$89,5,0)</f>
        <v>363.31151999999969</v>
      </c>
      <c r="BF111" s="13">
        <f t="shared" si="91"/>
        <v>84.297508433487948</v>
      </c>
      <c r="BG111" s="20">
        <f t="shared" si="61"/>
        <v>779.58572452165754</v>
      </c>
      <c r="BH111" s="59">
        <f t="shared" si="62"/>
        <v>1056.0795868966968</v>
      </c>
      <c r="BI111" s="59">
        <f ca="1">AVERAGE(OFFSET($BH$3,0,0,'Données projet'!$E$11+1,1))-AVERAGE(OFFSET($H$3,0,0,'Données projet'!$E$11+1,1))</f>
        <v>638.07304290599211</v>
      </c>
      <c r="BJ111" s="59">
        <f t="shared" si="92"/>
        <v>408.22196233793511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77.746807775376624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77.746807775376624</v>
      </c>
      <c r="BT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5.1999999999999886</v>
      </c>
      <c r="BY111" s="12">
        <f>IF('Données projet'!$A$114&gt;35,BY110+BX111-CG110,IF(A111&lt;'Données projet'!$A$114,$BV$205^A111,IF(A111='Données projet'!$A$114,'Données projet'!$B$114,BY110+BX111-CG110)))</f>
        <v>347.59999999999968</v>
      </c>
      <c r="BZ111" s="13">
        <f>BY111*VLOOKUP('Données projet'!$B$12,Paramètres!$A$1:$I$89,3,0)*VLOOKUP('Données projet'!$B$12,Paramètres!$A$1:$I$89,5,0)</f>
        <v>395.84687999999966</v>
      </c>
      <c r="CA111" s="13">
        <f t="shared" si="93"/>
        <v>90.934173108867952</v>
      </c>
      <c r="CB111" s="20">
        <f t="shared" si="64"/>
        <v>847.81033416461094</v>
      </c>
      <c r="CC111" s="59">
        <f t="shared" si="65"/>
        <v>1124.3041965396501</v>
      </c>
      <c r="CD111" s="59">
        <f ca="1">AVERAGE(OFFSET($CC$3,0,0,'Données projet'!$E$12+1,1))-AVERAGE(OFFSET($H$3,0,0,'Données projet'!$E$12+1,1))</f>
        <v>685.99951993586967</v>
      </c>
      <c r="CE111" s="59">
        <f t="shared" si="94"/>
        <v>437.98014017823095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84.709208471678991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84.709208471678991</v>
      </c>
      <c r="CO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5.1999999999999886</v>
      </c>
      <c r="CT111" s="12">
        <f>IF('Données projet'!$A$140&gt;35,CT110+CS111-DB110,IF(A111&lt;'Données projet'!$A$140,$CQ$205^A111,IF(A111='Données projet'!$A$140,'Données projet'!$B$140,CT110+CS111-DB110)))</f>
        <v>347.59999999999968</v>
      </c>
      <c r="CU111" s="17">
        <f>CT111*VLOOKUP('Données projet'!$B$13,Paramètres!$A$1:$I$89,3,0)*VLOOKUP('Données projet'!$B$13,Paramètres!$A$1:$I$89,5,0)</f>
        <v>352.46639999999968</v>
      </c>
      <c r="CV111" s="13">
        <f t="shared" si="95"/>
        <v>82.070160870997427</v>
      </c>
      <c r="CW111" s="20">
        <f t="shared" si="67"/>
        <v>756.81784351698661</v>
      </c>
      <c r="CX111" s="59">
        <f t="shared" si="68"/>
        <v>1033.3117058920259</v>
      </c>
      <c r="CY111" s="59">
        <f ca="1">AVERAGE(OFFSET($CX$3,0,0,'Données projet'!$E$13+1,1))-AVERAGE(OFFSET($H$3,0,0,'Données projet'!$E$13+1,1))</f>
        <v>622.07867348539082</v>
      </c>
      <c r="CZ111" s="59">
        <f t="shared" si="96"/>
        <v>398.29010684041634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75.426007543275844</v>
      </c>
      <c r="DG111" s="21">
        <f>EXP(-LN(2)/25)*DG110+(1-EXP(-LN(2)/25))/(LN(2)/25)*Calculateur!DB111*Calculateur!DD111*VLOOKUP('Données projet'!$B$13,Paramètres!$A$1:$I$89,3,0)*0.475*44/12</f>
        <v>0</v>
      </c>
      <c r="DH111" s="21">
        <f>EXP(-LN(2)/2)*DH110+(1-EXP(-LN(2)/2))/(LN(2)/2)*DB111*DE111*VLOOKUP('Données projet'!$B$13,Paramètres!$A$1:$I$89,3,0)*0.475*44/12</f>
        <v>0</v>
      </c>
      <c r="DI111" s="22">
        <f t="shared" si="69"/>
        <v>75.426007543275844</v>
      </c>
      <c r="DJ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5.1999999999999886</v>
      </c>
      <c r="DO111" s="12">
        <f>IF('Données projet'!$A$166&gt;35,DO110+DN111-DW110,IF(A111&lt;'Données projet'!$A$166,$DL$205^A111,IF(A111='Données projet'!$A$166,'Données projet'!$B$166,DO110+DN111-DW110)))</f>
        <v>347.59999999999968</v>
      </c>
      <c r="DP111" s="17">
        <f>DO111*VLOOKUP('Données projet'!$B$14,Paramètres!$A$1:$I$89,3,0)*VLOOKUP('Données projet'!$B$14,Paramètres!$A$1:$I$89,5,0)</f>
        <v>330.77615999999972</v>
      </c>
      <c r="DQ111" s="13">
        <f t="shared" si="97"/>
        <v>77.591202934092081</v>
      </c>
      <c r="DR111" s="20">
        <f t="shared" si="70"/>
        <v>711.23982377687662</v>
      </c>
      <c r="DS111" s="59">
        <f t="shared" si="71"/>
        <v>987.73368615191589</v>
      </c>
      <c r="DT111" s="59">
        <f ca="1">AVERAGE(OFFSET($DS$3,0,0,'Données projet'!$E$14+1,1))-AVERAGE(OFFSET($H$3,0,0,'Données projet'!$E$14+1,1))</f>
        <v>590.05965493677377</v>
      </c>
      <c r="DU111" s="59">
        <f t="shared" si="98"/>
        <v>378.40640480134505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70.784407079074271</v>
      </c>
      <c r="EB111" s="21">
        <f>EXP(-LN(2)/25)*EB110+(1-EXP(-LN(2)/25))/(LN(2)/25)*Calculateur!DW111*Calculateur!DY111*VLOOKUP('Données projet'!$B$14,Paramètres!$A$1:$I$89,3,0)*0.475*44/12</f>
        <v>0</v>
      </c>
      <c r="EC111" s="21">
        <f>EXP(-LN(2)/2)*EC110+(1-EXP(-LN(2)/2))/(LN(2)/2)*DW111*DZ111*VLOOKUP('Données projet'!$B$14,Paramètres!$A$1:$I$89,3,0)*0.475*44/12</f>
        <v>0</v>
      </c>
      <c r="ED111" s="22">
        <f t="shared" si="72"/>
        <v>70.784407079074271</v>
      </c>
      <c r="EE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65.407417011374335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2">
        <f>'Scénario référence'!$B$16*5+'Scénario référence'!$B$17*0+'Scénario référence'!$B$18*5</f>
        <v>4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14.666666666666666</v>
      </c>
      <c r="H112" s="66">
        <f t="shared" si="56"/>
        <v>159.86666666666667</v>
      </c>
      <c r="I112" s="6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-2.9085640562698246E-14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140.03175887621094</v>
      </c>
      <c r="T112" s="59">
        <f t="shared" si="88"/>
        <v>377.29475975964954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14.77298360613297</v>
      </c>
      <c r="AA112" s="21">
        <f>EXP(-LN(2)/25)*AA111+(1-EXP(-LN(2)/25))/(LN(2)/25)*Calculateur!V112*Calculateur!X112*VLOOKUP('Données projet'!$B$9,Paramètres!$A$1:$I$89,3,0)*0.475*44/12</f>
        <v>0</v>
      </c>
      <c r="AB112" s="21">
        <f>EXP(-LN(2)/2)*AB111+(1-EXP(-LN(2)/2))/(LN(2)/2)*V112*Y112*VLOOKUP('Données projet'!$B$9,Paramètres!$A$1:$I$89,3,0)*0.475*44/12</f>
        <v>3.1524363962438271E-12</v>
      </c>
      <c r="AC112" s="22">
        <f t="shared" si="57"/>
        <v>14.772983606136123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-5.6843418860808015E-14</v>
      </c>
      <c r="AJ112" s="13">
        <f>AI112*VLOOKUP('Données projet'!$B$10,Paramètres!$A$1:$I$89,3,0)*VLOOKUP('Données projet'!$B$10,Paramètres!$A$1:$I$89,5,0)</f>
        <v>-2.8642261895583942E-14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138.27364731587764</v>
      </c>
      <c r="AO112" s="59">
        <f t="shared" si="90"/>
        <v>372.50391467700013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14.547785685307757</v>
      </c>
      <c r="AV112" s="21">
        <f>EXP(-LN(2)/25)*AV111+(1-EXP(-LN(2)/25))/(LN(2)/25)*Calculateur!AQ112*Calculateur!AS112*VLOOKUP('Données projet'!$B$10,Paramètres!$A$1:$I$89,3,0)*0.475*44/12</f>
        <v>0</v>
      </c>
      <c r="AW112" s="21">
        <f>EXP(-LN(2)/2)*AW111+(1-EXP(-LN(2)/2))/(LN(2)/2)*AQ112*AT112*VLOOKUP('Données projet'!$B$10,Paramètres!$A$1:$I$89,3,0)*0.475*44/12</f>
        <v>3.1043809633742535E-12</v>
      </c>
      <c r="AX112" s="21">
        <f t="shared" si="60"/>
        <v>14.547785685310862</v>
      </c>
      <c r="AY112" s="7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5.1999999999999886</v>
      </c>
      <c r="BD112" s="12">
        <f>IF('Données projet'!$A$88&gt;35,BD111+BC112-BL111,IF(A112&lt;'Données projet'!$A$88,$BA$205^A112,IF(A112='Données projet'!$A$88,'Données projet'!$B$88,BD111+BC112-BL111)))</f>
        <v>352.79999999999967</v>
      </c>
      <c r="BE112" s="13">
        <f>BD112*VLOOKUP('Données projet'!$B$11,Paramètres!$A$1:$I$89,3,0)*VLOOKUP('Données projet'!$B$11,Paramètres!$A$1:$I$89,5,0)</f>
        <v>368.7465599999997</v>
      </c>
      <c r="BF112" s="13">
        <f t="shared" si="91"/>
        <v>85.410822832538358</v>
      </c>
      <c r="BG112" s="20">
        <f t="shared" si="61"/>
        <v>790.9907751000037</v>
      </c>
      <c r="BH112" s="59">
        <f t="shared" si="62"/>
        <v>1067.7767646487523</v>
      </c>
      <c r="BI112" s="59">
        <f ca="1">AVERAGE(OFFSET($BH$3,0,0,'Données projet'!$E$11+1,1))-AVERAGE(OFFSET($H$3,0,0,'Données projet'!$E$11+1,1))</f>
        <v>638.07304290599211</v>
      </c>
      <c r="BJ112" s="59">
        <f t="shared" si="92"/>
        <v>408.22196233793511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76.222240295771812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76.222240295771812</v>
      </c>
      <c r="BT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5.1999999999999886</v>
      </c>
      <c r="BY112" s="12">
        <f>IF('Données projet'!$A$114&gt;35,BY111+BX112-CG111,IF(A112&lt;'Données projet'!$A$114,$BV$205^A112,IF(A112='Données projet'!$A$114,'Données projet'!$B$114,BY111+BX112-CG111)))</f>
        <v>352.79999999999967</v>
      </c>
      <c r="BZ112" s="13">
        <f>BY112*VLOOKUP('Données projet'!$B$12,Paramètres!$A$1:$I$89,3,0)*VLOOKUP('Données projet'!$B$12,Paramètres!$A$1:$I$89,5,0)</f>
        <v>401.76863999999961</v>
      </c>
      <c r="CA112" s="13">
        <f t="shared" si="93"/>
        <v>92.135137718251684</v>
      </c>
      <c r="CB112" s="20">
        <f t="shared" si="64"/>
        <v>860.21574619262094</v>
      </c>
      <c r="CC112" s="59">
        <f t="shared" si="65"/>
        <v>1137.0017357413694</v>
      </c>
      <c r="CD112" s="59">
        <f ca="1">AVERAGE(OFFSET($CC$3,0,0,'Données projet'!$E$12+1,1))-AVERAGE(OFFSET($H$3,0,0,'Données projet'!$E$12+1,1))</f>
        <v>685.99951993586967</v>
      </c>
      <c r="CE112" s="59">
        <f t="shared" si="94"/>
        <v>437.98014017823095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83.048112561064784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83.048112561064784</v>
      </c>
      <c r="CO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5.1999999999999886</v>
      </c>
      <c r="CT112" s="12">
        <f>IF('Données projet'!$A$140&gt;35,CT111+CS112-DB111,IF(A112&lt;'Données projet'!$A$140,$CQ$205^A112,IF(A112='Données projet'!$A$140,'Données projet'!$B$140,CT111+CS112-DB111)))</f>
        <v>352.79999999999967</v>
      </c>
      <c r="CU112" s="17">
        <f>CT112*VLOOKUP('Données projet'!$B$13,Paramètres!$A$1:$I$89,3,0)*VLOOKUP('Données projet'!$B$13,Paramètres!$A$1:$I$89,5,0)</f>
        <v>357.7391999999997</v>
      </c>
      <c r="CV112" s="13">
        <f t="shared" si="95"/>
        <v>83.154058764636318</v>
      </c>
      <c r="CW112" s="20">
        <f t="shared" si="67"/>
        <v>767.88909234840776</v>
      </c>
      <c r="CX112" s="59">
        <f t="shared" si="68"/>
        <v>1044.6750818971564</v>
      </c>
      <c r="CY112" s="59">
        <f ca="1">AVERAGE(OFFSET($CX$3,0,0,'Données projet'!$E$13+1,1))-AVERAGE(OFFSET($H$3,0,0,'Données projet'!$E$13+1,1))</f>
        <v>622.07867348539082</v>
      </c>
      <c r="CZ112" s="59">
        <f t="shared" si="96"/>
        <v>398.29010684041634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73.946949540674154</v>
      </c>
      <c r="DG112" s="21">
        <f>EXP(-LN(2)/25)*DG111+(1-EXP(-LN(2)/25))/(LN(2)/25)*Calculateur!DB112*Calculateur!DD112*VLOOKUP('Données projet'!$B$13,Paramètres!$A$1:$I$89,3,0)*0.475*44/12</f>
        <v>0</v>
      </c>
      <c r="DH112" s="21">
        <f>EXP(-LN(2)/2)*DH111+(1-EXP(-LN(2)/2))/(LN(2)/2)*DB112*DE112*VLOOKUP('Données projet'!$B$13,Paramètres!$A$1:$I$89,3,0)*0.475*44/12</f>
        <v>0</v>
      </c>
      <c r="DI112" s="22">
        <f t="shared" si="69"/>
        <v>73.946949540674154</v>
      </c>
      <c r="DJ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5.1999999999999886</v>
      </c>
      <c r="DO112" s="12">
        <f>IF('Données projet'!$A$166&gt;35,DO111+DN112-DW111,IF(A112&lt;'Données projet'!$A$166,$DL$205^A112,IF(A112='Données projet'!$A$166,'Données projet'!$B$166,DO111+DN112-DW111)))</f>
        <v>352.79999999999967</v>
      </c>
      <c r="DP112" s="17">
        <f>DO112*VLOOKUP('Données projet'!$B$14,Paramètres!$A$1:$I$89,3,0)*VLOOKUP('Données projet'!$B$14,Paramètres!$A$1:$I$89,5,0)</f>
        <v>335.72447999999969</v>
      </c>
      <c r="DQ112" s="13">
        <f t="shared" si="97"/>
        <v>78.615947378755294</v>
      </c>
      <c r="DR112" s="20">
        <f t="shared" si="70"/>
        <v>721.64291101799824</v>
      </c>
      <c r="DS112" s="59">
        <f t="shared" si="71"/>
        <v>998.42890056674673</v>
      </c>
      <c r="DT112" s="59">
        <f ca="1">AVERAGE(OFFSET($DS$3,0,0,'Données projet'!$E$14+1,1))-AVERAGE(OFFSET($H$3,0,0,'Données projet'!$E$14+1,1))</f>
        <v>590.05965493677377</v>
      </c>
      <c r="DU112" s="59">
        <f t="shared" si="98"/>
        <v>378.40640480134505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69.39636803047884</v>
      </c>
      <c r="EB112" s="21">
        <f>EXP(-LN(2)/25)*EB111+(1-EXP(-LN(2)/25))/(LN(2)/25)*Calculateur!DW112*Calculateur!DY112*VLOOKUP('Données projet'!$B$14,Paramètres!$A$1:$I$89,3,0)*0.475*44/12</f>
        <v>0</v>
      </c>
      <c r="EC112" s="21">
        <f>EXP(-LN(2)/2)*EC111+(1-EXP(-LN(2)/2))/(LN(2)/2)*DW112*DZ112*VLOOKUP('Données projet'!$B$14,Paramètres!$A$1:$I$89,3,0)*0.475*44/12</f>
        <v>0</v>
      </c>
      <c r="ED112" s="22">
        <f t="shared" si="72"/>
        <v>69.39636803047884</v>
      </c>
      <c r="EE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65.487088058749606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2">
        <f>'Scénario référence'!$B$16*5+'Scénario référence'!$B$17*0+'Scénario référence'!$B$18*5</f>
        <v>4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14.666666666666666</v>
      </c>
      <c r="H113" s="66">
        <f t="shared" si="56"/>
        <v>159.86666666666667</v>
      </c>
      <c r="I113" s="6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-2.9085640562698246E-14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140.03175887621094</v>
      </c>
      <c r="T113" s="59">
        <f t="shared" si="88"/>
        <v>377.29475975964954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14.483294408246977</v>
      </c>
      <c r="AA113" s="21">
        <f>EXP(-LN(2)/25)*AA112+(1-EXP(-LN(2)/25))/(LN(2)/25)*Calculateur!V113*Calculateur!X113*VLOOKUP('Données projet'!$B$9,Paramètres!$A$1:$I$89,3,0)*0.475*44/12</f>
        <v>0</v>
      </c>
      <c r="AB113" s="21">
        <f>EXP(-LN(2)/2)*AB112+(1-EXP(-LN(2)/2))/(LN(2)/2)*V113*Y113*VLOOKUP('Données projet'!$B$9,Paramètres!$A$1:$I$89,3,0)*0.475*44/12</f>
        <v>2.2291091530432923E-12</v>
      </c>
      <c r="AC113" s="22">
        <f t="shared" si="57"/>
        <v>14.483294408249206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-5.6843418860808015E-14</v>
      </c>
      <c r="AJ113" s="13">
        <f>AI113*VLOOKUP('Données projet'!$B$10,Paramètres!$A$1:$I$89,3,0)*VLOOKUP('Données projet'!$B$10,Paramètres!$A$1:$I$89,5,0)</f>
        <v>-2.8642261895583942E-14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138.27364731587764</v>
      </c>
      <c r="AO113" s="59">
        <f t="shared" si="90"/>
        <v>372.50391467700013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14.262512481291976</v>
      </c>
      <c r="AV113" s="21">
        <f>EXP(-LN(2)/25)*AV112+(1-EXP(-LN(2)/25))/(LN(2)/25)*Calculateur!AQ113*Calculateur!AS113*VLOOKUP('Données projet'!$B$10,Paramètres!$A$1:$I$89,3,0)*0.475*44/12</f>
        <v>0</v>
      </c>
      <c r="AW113" s="21">
        <f>EXP(-LN(2)/2)*AW112+(1-EXP(-LN(2)/2))/(LN(2)/2)*AQ113*AT113*VLOOKUP('Données projet'!$B$10,Paramètres!$A$1:$I$89,3,0)*0.475*44/12</f>
        <v>2.1951288305883618E-12</v>
      </c>
      <c r="AX113" s="21">
        <f t="shared" si="60"/>
        <v>14.262512481294172</v>
      </c>
      <c r="AY113" s="7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357.99999999999989</v>
      </c>
      <c r="BB113" s="12">
        <f>VLOOKUP(A113,'Données projet'!$A$87:$I$107,9,0)</f>
        <v>5.1999999999999886</v>
      </c>
      <c r="BC113" s="12">
        <f t="array" ref="BC113">INDEX(BB:BB,MIN(IF(ISNUMBER(BB113:BB309),ROW(BB113:BB309),"")))</f>
        <v>5.1999999999999886</v>
      </c>
      <c r="BD113" s="12">
        <f>IF('Données projet'!$A$88&gt;35,BD112+BC113-BL112,IF(A113&lt;'Données projet'!$A$88,$BA$205^A113,IF(A113='Données projet'!$A$88,'Données projet'!$B$88,BD112+BC113-BL112)))</f>
        <v>357.99999999999966</v>
      </c>
      <c r="BE113" s="13">
        <f>BD113*VLOOKUP('Données projet'!$B$11,Paramètres!$A$1:$I$89,3,0)*VLOOKUP('Données projet'!$B$11,Paramètres!$A$1:$I$89,5,0)</f>
        <v>374.18159999999966</v>
      </c>
      <c r="BF113" s="13">
        <f t="shared" si="91"/>
        <v>86.522228742392699</v>
      </c>
      <c r="BG113" s="20">
        <f t="shared" si="61"/>
        <v>802.39250172633331</v>
      </c>
      <c r="BH113" s="59">
        <f t="shared" si="62"/>
        <v>1079.4655506954259</v>
      </c>
      <c r="BI113" s="59">
        <f ca="1">AVERAGE(OFFSET($BH$3,0,0,'Données projet'!$E$11+1,1))-AVERAGE(OFFSET($H$3,0,0,'Données projet'!$E$11+1,1))</f>
        <v>638.07304290599211</v>
      </c>
      <c r="BJ113" s="59">
        <f t="shared" si="92"/>
        <v>408.22196233793511</v>
      </c>
      <c r="BK113" s="15">
        <f>IF(ISNA(VLOOKUP(A113,'Données projet'!$A$87:$I$107,3,0)),0,VLOOKUP(A113,'Données projet'!$A$87:$I$107,3,0))</f>
        <v>10</v>
      </c>
      <c r="BL113" s="15">
        <f>IF(ISNA(VLOOKUP(A113,'Données projet'!$A$87:$I$107,4,0)),0,VLOOKUP(A113,'Données projet'!$A$87:$I$107,4,0))</f>
        <v>51</v>
      </c>
      <c r="BM113" s="16">
        <f>IF(ISNA(VLOOKUP(A113,'Données projet'!$A$87:$I$107,5,0)),0%,VLOOKUP(A113,'Données projet'!$A$87:$I$107,5,0)*VLOOKUP('Données projet'!$B$11,Paramètres!$A$1:$I$89,7,0))</f>
        <v>0.36549999999999999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96.265503995789388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96.265503995789388</v>
      </c>
      <c r="BT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357.99999999999989</v>
      </c>
      <c r="BW113" s="12">
        <f>VLOOKUP(A113,'Données projet'!$A$113:$I$133,9,0)</f>
        <v>5.1999999999999886</v>
      </c>
      <c r="BX113" s="12">
        <f t="array" ref="BX113">INDEX(BW:BW,MIN(IF(ISNUMBER(BW113:BW309),ROW(BW113:BW309),"")))</f>
        <v>5.1999999999999886</v>
      </c>
      <c r="BY113" s="12">
        <f>IF('Données projet'!$A$114&gt;35,BY112+BX113-CG112,IF(A113&lt;'Données projet'!$A$114,$BV$205^A113,IF(A113='Données projet'!$A$114,'Données projet'!$B$114,BY112+BX113-CG112)))</f>
        <v>357.99999999999966</v>
      </c>
      <c r="BZ113" s="13">
        <f>BY113*VLOOKUP('Données projet'!$B$12,Paramètres!$A$1:$I$89,3,0)*VLOOKUP('Données projet'!$B$12,Paramètres!$A$1:$I$89,5,0)</f>
        <v>407.69039999999961</v>
      </c>
      <c r="CA113" s="13">
        <f t="shared" si="93"/>
        <v>93.334043584854555</v>
      </c>
      <c r="CB113" s="20">
        <f t="shared" si="64"/>
        <v>872.61757257695433</v>
      </c>
      <c r="CC113" s="59">
        <f t="shared" si="65"/>
        <v>1149.6906215460469</v>
      </c>
      <c r="CD113" s="59">
        <f ca="1">AVERAGE(OFFSET($CC$3,0,0,'Données projet'!$E$12+1,1))-AVERAGE(OFFSET($H$3,0,0,'Données projet'!$E$12+1,1))</f>
        <v>685.99951993586967</v>
      </c>
      <c r="CE113" s="59">
        <f t="shared" si="94"/>
        <v>437.98014017823095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0.36549999999999999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104.88629539839735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104.88629539839735</v>
      </c>
      <c r="CO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>
        <f>VLOOKUP(A113,'Données projet'!$A$139:$I$159,2,0)</f>
        <v>357.99999999999989</v>
      </c>
      <c r="CR113" s="12">
        <f>VLOOKUP(A113,'Données projet'!$A$139:$I$159,9,0)</f>
        <v>5.1999999999999886</v>
      </c>
      <c r="CS113" s="12">
        <f t="array" ref="CS113">INDEX(CR:CR,MIN(IF(ISNUMBER(CR113:CR309),ROW(CR113:CR309),"")))</f>
        <v>5.1999999999999886</v>
      </c>
      <c r="CT113" s="12">
        <f>IF('Données projet'!$A$140&gt;35,CT112+CS113-DB112,IF(A113&lt;'Données projet'!$A$140,$CQ$205^A113,IF(A113='Données projet'!$A$140,'Données projet'!$B$140,CT112+CS113-DB112)))</f>
        <v>357.99999999999966</v>
      </c>
      <c r="CU113" s="17">
        <f>CT113*VLOOKUP('Données projet'!$B$13,Paramètres!$A$1:$I$89,3,0)*VLOOKUP('Données projet'!$B$13,Paramètres!$A$1:$I$89,5,0)</f>
        <v>363.01199999999966</v>
      </c>
      <c r="CV113" s="13">
        <f t="shared" si="95"/>
        <v>84.236098596059009</v>
      </c>
      <c r="CW113" s="20">
        <f t="shared" si="67"/>
        <v>778.95710505480213</v>
      </c>
      <c r="CX113" s="59">
        <f t="shared" si="68"/>
        <v>1056.0301540238947</v>
      </c>
      <c r="CY113" s="59">
        <f ca="1">AVERAGE(OFFSET($CX$3,0,0,'Données projet'!$E$13+1,1))-AVERAGE(OFFSET($H$3,0,0,'Données projet'!$E$13+1,1))</f>
        <v>622.07867348539082</v>
      </c>
      <c r="CZ113" s="59">
        <f t="shared" si="96"/>
        <v>398.29010684041634</v>
      </c>
      <c r="DA113" s="15">
        <f>IF(ISNA(VLOOKUP(A113,'Données projet'!$A$139:$I$159,3,0)),0,VLOOKUP(A113,'Données projet'!$A$139:$I$159,3,0))</f>
        <v>10</v>
      </c>
      <c r="DB113" s="15">
        <f>IF(ISNA(VLOOKUP(A113,'Données projet'!$A$139:$I$159,4,0)),0,VLOOKUP(A113,'Données projet'!$A$139:$I$159,4,0))</f>
        <v>51</v>
      </c>
      <c r="DC113" s="16">
        <f>IF(ISNA(VLOOKUP(A113,'Données projet'!$A$139:$I$159,5,0)),0%,VLOOKUP(A113,'Données projet'!$A$139:$I$159,5,0)*VLOOKUP('Données projet'!$B$13,Paramètres!$A$1:$I$89,7,0))</f>
        <v>0.36549999999999999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93.391906861586719</v>
      </c>
      <c r="DG113" s="21">
        <f>EXP(-LN(2)/25)*DG112+(1-EXP(-LN(2)/25))/(LN(2)/25)*Calculateur!DB113*Calculateur!DD113*VLOOKUP('Données projet'!$B$13,Paramètres!$A$1:$I$89,3,0)*0.475*44/12</f>
        <v>0</v>
      </c>
      <c r="DH113" s="21">
        <f>EXP(-LN(2)/2)*DH112+(1-EXP(-LN(2)/2))/(LN(2)/2)*DB113*DE113*VLOOKUP('Données projet'!$B$13,Paramètres!$A$1:$I$89,3,0)*0.475*44/12</f>
        <v>0</v>
      </c>
      <c r="DI113" s="22">
        <f t="shared" si="69"/>
        <v>93.391906861586719</v>
      </c>
      <c r="DJ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>
        <f>VLOOKUP(A113,'Données projet'!$A$165:$I$185,2,0)</f>
        <v>357.99999999999989</v>
      </c>
      <c r="DM113" s="12">
        <f>VLOOKUP(A113,'Données projet'!$A$165:$I$185,9,0)</f>
        <v>5.1999999999999886</v>
      </c>
      <c r="DN113" s="12">
        <f t="array" ref="DN113">INDEX(DM:DM,MIN(IF(ISNUMBER(DM113:DM309),ROW(DM113:DM309),"")))</f>
        <v>5.1999999999999886</v>
      </c>
      <c r="DO113" s="12">
        <f>IF('Données projet'!$A$166&gt;35,DO112+DN113-DW112,IF(A113&lt;'Données projet'!$A$166,$DL$205^A113,IF(A113='Données projet'!$A$166,'Données projet'!$B$166,DO112+DN113-DW112)))</f>
        <v>357.99999999999966</v>
      </c>
      <c r="DP113" s="17">
        <f>DO113*VLOOKUP('Données projet'!$B$14,Paramètres!$A$1:$I$89,3,0)*VLOOKUP('Données projet'!$B$14,Paramètres!$A$1:$I$89,5,0)</f>
        <v>340.67279999999971</v>
      </c>
      <c r="DQ113" s="13">
        <f t="shared" si="97"/>
        <v>79.638935164470212</v>
      </c>
      <c r="DR113" s="20">
        <f t="shared" si="70"/>
        <v>732.04293874478515</v>
      </c>
      <c r="DS113" s="59">
        <f t="shared" si="71"/>
        <v>1009.1159877138778</v>
      </c>
      <c r="DT113" s="59">
        <f ca="1">AVERAGE(OFFSET($DS$3,0,0,'Données projet'!$E$14+1,1))-AVERAGE(OFFSET($H$3,0,0,'Données projet'!$E$14+1,1))</f>
        <v>590.05965493677377</v>
      </c>
      <c r="DU113" s="59">
        <f t="shared" si="98"/>
        <v>378.40640480134505</v>
      </c>
      <c r="DV113" s="15">
        <f>IF(ISNA(VLOOKUP(A113,'Données projet'!$A$165:$I$185,3,0)),0,VLOOKUP(A113,'Données projet'!$A$165:$I$185,3,0))</f>
        <v>10</v>
      </c>
      <c r="DW113" s="15">
        <f>IF(ISNA(VLOOKUP(A113,'Données projet'!$A$165:$I$185,4,0)),0,VLOOKUP(A113,'Données projet'!$A$165:$I$185,4,0))</f>
        <v>51</v>
      </c>
      <c r="DX113" s="16">
        <f>IF(ISNA(VLOOKUP(A113,'Données projet'!$A$165:$I$185,5,0)),0%,VLOOKUP(A113,'Données projet'!$A$165:$I$185,5,0)*VLOOKUP('Données projet'!$B$14,Paramètres!$A$1:$I$89,7,0))</f>
        <v>0.36549999999999999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87.644712593181396</v>
      </c>
      <c r="EB113" s="21">
        <f>EXP(-LN(2)/25)*EB112+(1-EXP(-LN(2)/25))/(LN(2)/25)*Calculateur!DW113*Calculateur!DY113*VLOOKUP('Données projet'!$B$14,Paramètres!$A$1:$I$89,3,0)*0.475*44/12</f>
        <v>0</v>
      </c>
      <c r="EC113" s="21">
        <f>EXP(-LN(2)/2)*EC112+(1-EXP(-LN(2)/2))/(LN(2)/2)*DW113*DZ113*VLOOKUP('Données projet'!$B$14,Paramètres!$A$1:$I$89,3,0)*0.475*44/12</f>
        <v>0</v>
      </c>
      <c r="ED113" s="22">
        <f t="shared" si="72"/>
        <v>87.644712593181396</v>
      </c>
      <c r="EE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65.565376991570702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2">
        <f>'Scénario référence'!$B$16*5+'Scénario référence'!$B$17*0+'Scénario référence'!$B$18*5</f>
        <v>4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14.666666666666666</v>
      </c>
      <c r="H114" s="66">
        <f t="shared" si="56"/>
        <v>159.86666666666667</v>
      </c>
      <c r="I114" s="6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-2.9085640562698246E-14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140.03175887621094</v>
      </c>
      <c r="T114" s="59">
        <f t="shared" si="88"/>
        <v>377.29475975964954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14.199285838838563</v>
      </c>
      <c r="AA114" s="21">
        <f>EXP(-LN(2)/25)*AA113+(1-EXP(-LN(2)/25))/(LN(2)/25)*Calculateur!V114*Calculateur!X114*VLOOKUP('Données projet'!$B$9,Paramètres!$A$1:$I$89,3,0)*0.475*44/12</f>
        <v>0</v>
      </c>
      <c r="AB114" s="21">
        <f>EXP(-LN(2)/2)*AB113+(1-EXP(-LN(2)/2))/(LN(2)/2)*V114*Y114*VLOOKUP('Données projet'!$B$9,Paramètres!$A$1:$I$89,3,0)*0.475*44/12</f>
        <v>1.5762181981219136E-12</v>
      </c>
      <c r="AC114" s="22">
        <f t="shared" si="57"/>
        <v>14.199285838840138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-5.6843418860808015E-14</v>
      </c>
      <c r="AJ114" s="13">
        <f>AI114*VLOOKUP('Données projet'!$B$10,Paramètres!$A$1:$I$89,3,0)*VLOOKUP('Données projet'!$B$10,Paramètres!$A$1:$I$89,5,0)</f>
        <v>-2.8642261895583942E-14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138.27364731587764</v>
      </c>
      <c r="AO114" s="59">
        <f t="shared" si="90"/>
        <v>372.50391467700013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13.982833310807472</v>
      </c>
      <c r="AV114" s="21">
        <f>EXP(-LN(2)/25)*AV113+(1-EXP(-LN(2)/25))/(LN(2)/25)*Calculateur!AQ114*Calculateur!AS114*VLOOKUP('Données projet'!$B$10,Paramètres!$A$1:$I$89,3,0)*0.475*44/12</f>
        <v>0</v>
      </c>
      <c r="AW114" s="21">
        <f>EXP(-LN(2)/2)*AW113+(1-EXP(-LN(2)/2))/(LN(2)/2)*AQ114*AT114*VLOOKUP('Données projet'!$B$10,Paramètres!$A$1:$I$89,3,0)*0.475*44/12</f>
        <v>1.5521904816871267E-12</v>
      </c>
      <c r="AX114" s="21">
        <f t="shared" si="60"/>
        <v>13.982833310809024</v>
      </c>
      <c r="AY114" s="7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4.5000000000000115</v>
      </c>
      <c r="BD114" s="12">
        <f>IF('Données projet'!$A$88&gt;35,BD113+BC114-BL113,IF(A114&lt;'Données projet'!$A$88,$BA$205^A114,IF(A114='Données projet'!$A$88,'Données projet'!$B$88,BD113+BC114-BL113)))</f>
        <v>311.49999999999966</v>
      </c>
      <c r="BE114" s="13">
        <f>BD114*VLOOKUP('Données projet'!$B$11,Paramètres!$A$1:$I$89,3,0)*VLOOKUP('Données projet'!$B$11,Paramètres!$A$1:$I$89,5,0)</f>
        <v>325.57979999999969</v>
      </c>
      <c r="BF114" s="13">
        <f t="shared" si="91"/>
        <v>76.513168944215863</v>
      </c>
      <c r="BG114" s="20">
        <f t="shared" si="61"/>
        <v>700.31192091117543</v>
      </c>
      <c r="BH114" s="59">
        <f t="shared" si="62"/>
        <v>977.66704946143773</v>
      </c>
      <c r="BI114" s="59">
        <f ca="1">AVERAGE(OFFSET($BH$3,0,0,'Données projet'!$E$11+1,1))-AVERAGE(OFFSET($H$3,0,0,'Données projet'!$E$11+1,1))</f>
        <v>638.07304290599211</v>
      </c>
      <c r="BJ114" s="59">
        <f t="shared" si="92"/>
        <v>408.22196233793511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94.377796178591652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94.377796178591652</v>
      </c>
      <c r="BT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4.5000000000000115</v>
      </c>
      <c r="BY114" s="12">
        <f>IF('Données projet'!$A$114&gt;35,BY113+BX114-CG113,IF(A114&lt;'Données projet'!$A$114,$BV$205^A114,IF(A114='Données projet'!$A$114,'Données projet'!$B$114,BY113+BX114-CG113)))</f>
        <v>311.49999999999966</v>
      </c>
      <c r="BZ114" s="13">
        <f>BY114*VLOOKUP('Données projet'!$B$12,Paramètres!$A$1:$I$89,3,0)*VLOOKUP('Données projet'!$B$12,Paramètres!$A$1:$I$89,5,0)</f>
        <v>354.73619999999966</v>
      </c>
      <c r="CA114" s="13">
        <f t="shared" si="93"/>
        <v>82.536979789516423</v>
      </c>
      <c r="CB114" s="20">
        <f t="shared" si="64"/>
        <v>761.58412146674038</v>
      </c>
      <c r="CC114" s="59">
        <f t="shared" si="65"/>
        <v>1038.9392500170027</v>
      </c>
      <c r="CD114" s="59">
        <f ca="1">AVERAGE(OFFSET($CC$3,0,0,'Données projet'!$E$12+1,1))-AVERAGE(OFFSET($H$3,0,0,'Données projet'!$E$12+1,1))</f>
        <v>685.99951993586967</v>
      </c>
      <c r="CE114" s="59">
        <f t="shared" si="94"/>
        <v>437.98014017823095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102.82953911995803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102.82953911995803</v>
      </c>
      <c r="CO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4.5000000000000115</v>
      </c>
      <c r="CT114" s="12">
        <f>IF('Données projet'!$A$140&gt;35,CT113+CS114-DB113,IF(A114&lt;'Données projet'!$A$140,$CQ$205^A114,IF(A114='Données projet'!$A$140,'Données projet'!$B$140,CT113+CS114-DB113)))</f>
        <v>311.49999999999966</v>
      </c>
      <c r="CU114" s="17">
        <f>CT114*VLOOKUP('Données projet'!$B$13,Paramètres!$A$1:$I$89,3,0)*VLOOKUP('Données projet'!$B$13,Paramètres!$A$1:$I$89,5,0)</f>
        <v>315.86099999999971</v>
      </c>
      <c r="CV114" s="13">
        <f t="shared" si="95"/>
        <v>74.491502782151358</v>
      </c>
      <c r="CW114" s="20">
        <f t="shared" si="67"/>
        <v>679.86394234557974</v>
      </c>
      <c r="CX114" s="59">
        <f t="shared" si="68"/>
        <v>957.21907089584204</v>
      </c>
      <c r="CY114" s="59">
        <f ca="1">AVERAGE(OFFSET($CX$3,0,0,'Données projet'!$E$13+1,1))-AVERAGE(OFFSET($H$3,0,0,'Données projet'!$E$13+1,1))</f>
        <v>622.07867348539082</v>
      </c>
      <c r="CZ114" s="59">
        <f t="shared" si="96"/>
        <v>398.29010684041634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91.560548531469522</v>
      </c>
      <c r="DG114" s="21">
        <f>EXP(-LN(2)/25)*DG113+(1-EXP(-LN(2)/25))/(LN(2)/25)*Calculateur!DB114*Calculateur!DD114*VLOOKUP('Données projet'!$B$13,Paramètres!$A$1:$I$89,3,0)*0.475*44/12</f>
        <v>0</v>
      </c>
      <c r="DH114" s="21">
        <f>EXP(-LN(2)/2)*DH113+(1-EXP(-LN(2)/2))/(LN(2)/2)*DB114*DE114*VLOOKUP('Données projet'!$B$13,Paramètres!$A$1:$I$89,3,0)*0.475*44/12</f>
        <v>0</v>
      </c>
      <c r="DI114" s="22">
        <f t="shared" si="69"/>
        <v>91.560548531469522</v>
      </c>
      <c r="DJ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4.5000000000000115</v>
      </c>
      <c r="DO114" s="12">
        <f>IF('Données projet'!$A$166&gt;35,DO113+DN114-DW113,IF(A114&lt;'Données projet'!$A$166,$DL$205^A114,IF(A114='Données projet'!$A$166,'Données projet'!$B$166,DO113+DN114-DW113)))</f>
        <v>311.49999999999966</v>
      </c>
      <c r="DP114" s="17">
        <f>DO114*VLOOKUP('Données projet'!$B$14,Paramètres!$A$1:$I$89,3,0)*VLOOKUP('Données projet'!$B$14,Paramètres!$A$1:$I$89,5,0)</f>
        <v>296.42339999999967</v>
      </c>
      <c r="DQ114" s="13">
        <f t="shared" si="97"/>
        <v>70.426148162674494</v>
      </c>
      <c r="DR114" s="20">
        <f t="shared" si="70"/>
        <v>638.92962971665747</v>
      </c>
      <c r="DS114" s="59">
        <f t="shared" si="71"/>
        <v>916.28475826691977</v>
      </c>
      <c r="DT114" s="59">
        <f ca="1">AVERAGE(OFFSET($DS$3,0,0,'Données projet'!$E$14+1,1))-AVERAGE(OFFSET($H$3,0,0,'Données projet'!$E$14+1,1))</f>
        <v>590.05965493677377</v>
      </c>
      <c r="DU114" s="59">
        <f t="shared" si="98"/>
        <v>378.40640480134505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85.926053237225247</v>
      </c>
      <c r="EB114" s="21">
        <f>EXP(-LN(2)/25)*EB113+(1-EXP(-LN(2)/25))/(LN(2)/25)*Calculateur!DW114*Calculateur!DY114*VLOOKUP('Données projet'!$B$14,Paramètres!$A$1:$I$89,3,0)*0.475*44/12</f>
        <v>0</v>
      </c>
      <c r="EC114" s="21">
        <f>EXP(-LN(2)/2)*EC113+(1-EXP(-LN(2)/2))/(LN(2)/2)*DW114*DZ114*VLOOKUP('Données projet'!$B$14,Paramètres!$A$1:$I$89,3,0)*0.475*44/12</f>
        <v>0</v>
      </c>
      <c r="ED114" s="22">
        <f t="shared" si="72"/>
        <v>85.926053237225247</v>
      </c>
      <c r="EE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65.642307786435168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2">
        <f>'Scénario référence'!$B$16*5+'Scénario référence'!$B$17*0+'Scénario référence'!$B$18*5</f>
        <v>4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14.666666666666666</v>
      </c>
      <c r="H115" s="66">
        <f t="shared" si="56"/>
        <v>159.86666666666667</v>
      </c>
      <c r="I115" s="6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-2.9085640562698246E-14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140.03175887621094</v>
      </c>
      <c r="T115" s="59">
        <f t="shared" si="88"/>
        <v>377.29475975964954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13.920846504248127</v>
      </c>
      <c r="AA115" s="21">
        <f>EXP(-LN(2)/25)*AA114+(1-EXP(-LN(2)/25))/(LN(2)/25)*Calculateur!V115*Calculateur!X115*VLOOKUP('Données projet'!$B$9,Paramètres!$A$1:$I$89,3,0)*0.475*44/12</f>
        <v>0</v>
      </c>
      <c r="AB115" s="21">
        <f>EXP(-LN(2)/2)*AB114+(1-EXP(-LN(2)/2))/(LN(2)/2)*V115*Y115*VLOOKUP('Données projet'!$B$9,Paramètres!$A$1:$I$89,3,0)*0.475*44/12</f>
        <v>1.1145545765216461E-12</v>
      </c>
      <c r="AC115" s="22">
        <f t="shared" si="57"/>
        <v>13.920846504249241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-5.6843418860808015E-14</v>
      </c>
      <c r="AJ115" s="13">
        <f>AI115*VLOOKUP('Données projet'!$B$10,Paramètres!$A$1:$I$89,3,0)*VLOOKUP('Données projet'!$B$10,Paramètres!$A$1:$I$89,5,0)</f>
        <v>-2.8642261895583942E-14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138.27364731587764</v>
      </c>
      <c r="AO115" s="59">
        <f t="shared" si="90"/>
        <v>372.50391467700013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13.708638478268719</v>
      </c>
      <c r="AV115" s="21">
        <f>EXP(-LN(2)/25)*AV114+(1-EXP(-LN(2)/25))/(LN(2)/25)*Calculateur!AQ115*Calculateur!AS115*VLOOKUP('Données projet'!$B$10,Paramètres!$A$1:$I$89,3,0)*0.475*44/12</f>
        <v>0</v>
      </c>
      <c r="AW115" s="21">
        <f>EXP(-LN(2)/2)*AW114+(1-EXP(-LN(2)/2))/(LN(2)/2)*AQ115*AT115*VLOOKUP('Données projet'!$B$10,Paramètres!$A$1:$I$89,3,0)*0.475*44/12</f>
        <v>1.0975644152941809E-12</v>
      </c>
      <c r="AX115" s="21">
        <f t="shared" si="60"/>
        <v>13.708638478269817</v>
      </c>
      <c r="AY115" s="7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4.5000000000000115</v>
      </c>
      <c r="BD115" s="12">
        <f>IF('Données projet'!$A$88&gt;35,BD114+BC115-BL114,IF(A115&lt;'Données projet'!$A$88,$BA$205^A115,IF(A115='Données projet'!$A$88,'Données projet'!$B$88,BD114+BC115-BL114)))</f>
        <v>315.99999999999966</v>
      </c>
      <c r="BE115" s="13">
        <f>BD115*VLOOKUP('Données projet'!$B$11,Paramètres!$A$1:$I$89,3,0)*VLOOKUP('Données projet'!$B$11,Paramètres!$A$1:$I$89,5,0)</f>
        <v>330.28319999999968</v>
      </c>
      <c r="BF115" s="13">
        <f t="shared" si="91"/>
        <v>77.489018825579151</v>
      </c>
      <c r="BG115" s="20">
        <f t="shared" si="61"/>
        <v>710.20328112121649</v>
      </c>
      <c r="BH115" s="59">
        <f t="shared" si="62"/>
        <v>987.83559580255064</v>
      </c>
      <c r="BI115" s="59">
        <f ca="1">AVERAGE(OFFSET($BH$3,0,0,'Données projet'!$E$11+1,1))-AVERAGE(OFFSET($H$3,0,0,'Données projet'!$E$11+1,1))</f>
        <v>638.07304290599211</v>
      </c>
      <c r="BJ115" s="59">
        <f t="shared" si="92"/>
        <v>408.22196233793511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92.52710516030109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92.52710516030109</v>
      </c>
      <c r="BT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4.5000000000000115</v>
      </c>
      <c r="BY115" s="12">
        <f>IF('Données projet'!$A$114&gt;35,BY114+BX115-CG114,IF(A115&lt;'Données projet'!$A$114,$BV$205^A115,IF(A115='Données projet'!$A$114,'Données projet'!$B$114,BY114+BX115-CG114)))</f>
        <v>315.99999999999966</v>
      </c>
      <c r="BZ115" s="13">
        <f>BY115*VLOOKUP('Données projet'!$B$12,Paramètres!$A$1:$I$89,3,0)*VLOOKUP('Données projet'!$B$12,Paramètres!$A$1:$I$89,5,0)</f>
        <v>359.86079999999964</v>
      </c>
      <c r="CA115" s="13">
        <f t="shared" si="93"/>
        <v>83.589657427197423</v>
      </c>
      <c r="CB115" s="20">
        <f t="shared" si="64"/>
        <v>772.34288001903485</v>
      </c>
      <c r="CC115" s="59">
        <f t="shared" si="65"/>
        <v>1049.975194700369</v>
      </c>
      <c r="CD115" s="59">
        <f ca="1">AVERAGE(OFFSET($CC$3,0,0,'Données projet'!$E$12+1,1))-AVERAGE(OFFSET($H$3,0,0,'Données projet'!$E$12+1,1))</f>
        <v>685.99951993586967</v>
      </c>
      <c r="CE115" s="59">
        <f t="shared" si="94"/>
        <v>437.98014017823095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100.81311457764144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100.81311457764144</v>
      </c>
      <c r="CO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4.5000000000000115</v>
      </c>
      <c r="CT115" s="12">
        <f>IF('Données projet'!$A$140&gt;35,CT114+CS115-DB114,IF(A115&lt;'Données projet'!$A$140,$CQ$205^A115,IF(A115='Données projet'!$A$140,'Données projet'!$B$140,CT114+CS115-DB114)))</f>
        <v>315.99999999999966</v>
      </c>
      <c r="CU115" s="17">
        <f>CT115*VLOOKUP('Données projet'!$B$13,Paramètres!$A$1:$I$89,3,0)*VLOOKUP('Données projet'!$B$13,Paramètres!$A$1:$I$89,5,0)</f>
        <v>320.42399999999964</v>
      </c>
      <c r="CV115" s="13">
        <f t="shared" si="95"/>
        <v>75.441568308852254</v>
      </c>
      <c r="CW115" s="20">
        <f t="shared" si="67"/>
        <v>689.4658648045837</v>
      </c>
      <c r="CX115" s="59">
        <f t="shared" si="68"/>
        <v>967.09817948591785</v>
      </c>
      <c r="CY115" s="59">
        <f ca="1">AVERAGE(OFFSET($CX$3,0,0,'Données projet'!$E$13+1,1))-AVERAGE(OFFSET($H$3,0,0,'Données projet'!$E$13+1,1))</f>
        <v>622.07867348539082</v>
      </c>
      <c r="CZ115" s="59">
        <f t="shared" si="96"/>
        <v>398.29010684041634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89.76510202118763</v>
      </c>
      <c r="DG115" s="21">
        <f>EXP(-LN(2)/25)*DG114+(1-EXP(-LN(2)/25))/(LN(2)/25)*Calculateur!DB115*Calculateur!DD115*VLOOKUP('Données projet'!$B$13,Paramètres!$A$1:$I$89,3,0)*0.475*44/12</f>
        <v>0</v>
      </c>
      <c r="DH115" s="21">
        <f>EXP(-LN(2)/2)*DH114+(1-EXP(-LN(2)/2))/(LN(2)/2)*DB115*DE115*VLOOKUP('Données projet'!$B$13,Paramètres!$A$1:$I$89,3,0)*0.475*44/12</f>
        <v>0</v>
      </c>
      <c r="DI115" s="22">
        <f t="shared" si="69"/>
        <v>89.76510202118763</v>
      </c>
      <c r="DJ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4.5000000000000115</v>
      </c>
      <c r="DO115" s="12">
        <f>IF('Données projet'!$A$166&gt;35,DO114+DN115-DW114,IF(A115&lt;'Données projet'!$A$166,$DL$205^A115,IF(A115='Données projet'!$A$166,'Données projet'!$B$166,DO114+DN115-DW114)))</f>
        <v>315.99999999999966</v>
      </c>
      <c r="DP115" s="17">
        <f>DO115*VLOOKUP('Données projet'!$B$14,Paramètres!$A$1:$I$89,3,0)*VLOOKUP('Données projet'!$B$14,Paramètres!$A$1:$I$89,5,0)</f>
        <v>300.70559999999966</v>
      </c>
      <c r="DQ115" s="13">
        <f t="shared" si="97"/>
        <v>71.324364107429332</v>
      </c>
      <c r="DR115" s="20">
        <f t="shared" si="70"/>
        <v>647.95218748710556</v>
      </c>
      <c r="DS115" s="59">
        <f t="shared" si="71"/>
        <v>925.58450216843971</v>
      </c>
      <c r="DT115" s="59">
        <f ca="1">AVERAGE(OFFSET($DS$3,0,0,'Données projet'!$E$14+1,1))-AVERAGE(OFFSET($H$3,0,0,'Données projet'!$E$14+1,1))</f>
        <v>590.05965493677377</v>
      </c>
      <c r="DU115" s="59">
        <f t="shared" si="98"/>
        <v>378.40640480134505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84.241095742960709</v>
      </c>
      <c r="EB115" s="21">
        <f>EXP(-LN(2)/25)*EB114+(1-EXP(-LN(2)/25))/(LN(2)/25)*Calculateur!DW115*Calculateur!DY115*VLOOKUP('Données projet'!$B$14,Paramètres!$A$1:$I$89,3,0)*0.475*44/12</f>
        <v>0</v>
      </c>
      <c r="EC115" s="21">
        <f>EXP(-LN(2)/2)*EC114+(1-EXP(-LN(2)/2))/(LN(2)/2)*DW115*DZ115*VLOOKUP('Données projet'!$B$14,Paramètres!$A$1:$I$89,3,0)*0.475*44/12</f>
        <v>0</v>
      </c>
      <c r="ED115" s="22">
        <f t="shared" si="72"/>
        <v>84.241095742960709</v>
      </c>
      <c r="EE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65.717904004000232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2">
        <f>'Scénario référence'!$B$16*5+'Scénario référence'!$B$17*0+'Scénario référence'!$B$18*5</f>
        <v>4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14.666666666666666</v>
      </c>
      <c r="H116" s="66">
        <f t="shared" si="56"/>
        <v>159.86666666666667</v>
      </c>
      <c r="I116" s="6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-2.9085640562698246E-14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140.03175887621094</v>
      </c>
      <c r="T116" s="59">
        <f t="shared" si="88"/>
        <v>377.29475975964954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13.647867195177785</v>
      </c>
      <c r="AA116" s="21">
        <f>EXP(-LN(2)/25)*AA115+(1-EXP(-LN(2)/25))/(LN(2)/25)*Calculateur!V116*Calculateur!X116*VLOOKUP('Données projet'!$B$9,Paramètres!$A$1:$I$89,3,0)*0.475*44/12</f>
        <v>0</v>
      </c>
      <c r="AB116" s="21">
        <f>EXP(-LN(2)/2)*AB115+(1-EXP(-LN(2)/2))/(LN(2)/2)*V116*Y116*VLOOKUP('Données projet'!$B$9,Paramètres!$A$1:$I$89,3,0)*0.475*44/12</f>
        <v>7.8810909906095679E-13</v>
      </c>
      <c r="AC116" s="22">
        <f t="shared" si="57"/>
        <v>13.647867195178573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-5.6843418860808015E-14</v>
      </c>
      <c r="AJ116" s="13">
        <f>AI116*VLOOKUP('Données projet'!$B$10,Paramètres!$A$1:$I$89,3,0)*VLOOKUP('Données projet'!$B$10,Paramètres!$A$1:$I$89,5,0)</f>
        <v>-2.8642261895583942E-14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138.27364731587764</v>
      </c>
      <c r="AO116" s="59">
        <f t="shared" si="90"/>
        <v>372.50391467700013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13.439820439153717</v>
      </c>
      <c r="AV116" s="21">
        <f>EXP(-LN(2)/25)*AV115+(1-EXP(-LN(2)/25))/(LN(2)/25)*Calculateur!AQ116*Calculateur!AS116*VLOOKUP('Données projet'!$B$10,Paramètres!$A$1:$I$89,3,0)*0.475*44/12</f>
        <v>0</v>
      </c>
      <c r="AW116" s="21">
        <f>EXP(-LN(2)/2)*AW115+(1-EXP(-LN(2)/2))/(LN(2)/2)*AQ116*AT116*VLOOKUP('Données projet'!$B$10,Paramètres!$A$1:$I$89,3,0)*0.475*44/12</f>
        <v>7.7609524084356337E-13</v>
      </c>
      <c r="AX116" s="21">
        <f t="shared" si="60"/>
        <v>13.439820439154493</v>
      </c>
      <c r="AY116" s="7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4.5000000000000115</v>
      </c>
      <c r="BD116" s="12">
        <f>IF('Données projet'!$A$88&gt;35,BD115+BC116-BL115,IF(A116&lt;'Données projet'!$A$88,$BA$205^A116,IF(A116='Données projet'!$A$88,'Données projet'!$B$88,BD115+BC116-BL115)))</f>
        <v>320.49999999999966</v>
      </c>
      <c r="BE116" s="13">
        <f>BD116*VLOOKUP('Données projet'!$B$11,Paramètres!$A$1:$I$89,3,0)*VLOOKUP('Données projet'!$B$11,Paramètres!$A$1:$I$89,5,0)</f>
        <v>334.98659999999967</v>
      </c>
      <c r="BF116" s="13">
        <f t="shared" si="91"/>
        <v>78.463252425249991</v>
      </c>
      <c r="BG116" s="20">
        <f t="shared" si="61"/>
        <v>720.09182630730982</v>
      </c>
      <c r="BH116" s="59">
        <f t="shared" si="62"/>
        <v>997.9965185600372</v>
      </c>
      <c r="BI116" s="59">
        <f ca="1">AVERAGE(OFFSET($BH$3,0,0,'Données projet'!$E$11+1,1))-AVERAGE(OFFSET($H$3,0,0,'Données projet'!$E$11+1,1))</f>
        <v>638.07304290599211</v>
      </c>
      <c r="BJ116" s="59">
        <f t="shared" si="92"/>
        <v>408.22196233793511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90.712705064069141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90.712705064069141</v>
      </c>
      <c r="BT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4.5000000000000115</v>
      </c>
      <c r="BY116" s="12">
        <f>IF('Données projet'!$A$114&gt;35,BY115+BX116-CG115,IF(A116&lt;'Données projet'!$A$114,$BV$205^A116,IF(A116='Données projet'!$A$114,'Données projet'!$B$114,BY115+BX116-CG115)))</f>
        <v>320.49999999999966</v>
      </c>
      <c r="BZ116" s="13">
        <f>BY116*VLOOKUP('Données projet'!$B$12,Paramètres!$A$1:$I$89,3,0)*VLOOKUP('Données projet'!$B$12,Paramètres!$A$1:$I$89,5,0)</f>
        <v>364.98539999999963</v>
      </c>
      <c r="CA116" s="13">
        <f t="shared" si="93"/>
        <v>84.640591534826982</v>
      </c>
      <c r="CB116" s="20">
        <f t="shared" si="64"/>
        <v>783.09860192315625</v>
      </c>
      <c r="CC116" s="59">
        <f t="shared" si="65"/>
        <v>1061.0032941758836</v>
      </c>
      <c r="CD116" s="59">
        <f ca="1">AVERAGE(OFFSET($CC$3,0,0,'Données projet'!$E$12+1,1))-AVERAGE(OFFSET($H$3,0,0,'Données projet'!$E$12+1,1))</f>
        <v>685.99951993586967</v>
      </c>
      <c r="CE116" s="59">
        <f t="shared" si="94"/>
        <v>437.98014017823095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98.836230890702154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98.836230890702154</v>
      </c>
      <c r="CO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4.5000000000000115</v>
      </c>
      <c r="CT116" s="12">
        <f>IF('Données projet'!$A$140&gt;35,CT115+CS116-DB115,IF(A116&lt;'Données projet'!$A$140,$CQ$205^A116,IF(A116='Données projet'!$A$140,'Données projet'!$B$140,CT115+CS116-DB115)))</f>
        <v>320.49999999999966</v>
      </c>
      <c r="CU116" s="17">
        <f>CT116*VLOOKUP('Données projet'!$B$13,Paramètres!$A$1:$I$89,3,0)*VLOOKUP('Données projet'!$B$13,Paramètres!$A$1:$I$89,5,0)</f>
        <v>324.98699999999968</v>
      </c>
      <c r="CV116" s="13">
        <f t="shared" si="95"/>
        <v>76.390060259999316</v>
      </c>
      <c r="CW116" s="20">
        <f t="shared" si="67"/>
        <v>699.06504661949828</v>
      </c>
      <c r="CX116" s="59">
        <f t="shared" si="68"/>
        <v>976.96973887222566</v>
      </c>
      <c r="CY116" s="59">
        <f ca="1">AVERAGE(OFFSET($CX$3,0,0,'Données projet'!$E$13+1,1))-AVERAGE(OFFSET($H$3,0,0,'Données projet'!$E$13+1,1))</f>
        <v>622.07867348539082</v>
      </c>
      <c r="CZ116" s="59">
        <f t="shared" si="96"/>
        <v>398.29010684041634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88.004863121858136</v>
      </c>
      <c r="DG116" s="21">
        <f>EXP(-LN(2)/25)*DG115+(1-EXP(-LN(2)/25))/(LN(2)/25)*Calculateur!DB116*Calculateur!DD116*VLOOKUP('Données projet'!$B$13,Paramètres!$A$1:$I$89,3,0)*0.475*44/12</f>
        <v>0</v>
      </c>
      <c r="DH116" s="21">
        <f>EXP(-LN(2)/2)*DH115+(1-EXP(-LN(2)/2))/(LN(2)/2)*DB116*DE116*VLOOKUP('Données projet'!$B$13,Paramètres!$A$1:$I$89,3,0)*0.475*44/12</f>
        <v>0</v>
      </c>
      <c r="DI116" s="22">
        <f t="shared" si="69"/>
        <v>88.004863121858136</v>
      </c>
      <c r="DJ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4.5000000000000115</v>
      </c>
      <c r="DO116" s="12">
        <f>IF('Données projet'!$A$166&gt;35,DO115+DN116-DW115,IF(A116&lt;'Données projet'!$A$166,$DL$205^A116,IF(A116='Données projet'!$A$166,'Données projet'!$B$166,DO115+DN116-DW115)))</f>
        <v>320.49999999999966</v>
      </c>
      <c r="DP116" s="17">
        <f>DO116*VLOOKUP('Données projet'!$B$14,Paramètres!$A$1:$I$89,3,0)*VLOOKUP('Données projet'!$B$14,Paramètres!$A$1:$I$89,5,0)</f>
        <v>304.98779999999971</v>
      </c>
      <c r="DQ116" s="13">
        <f t="shared" si="97"/>
        <v>72.22109235411196</v>
      </c>
      <c r="DR116" s="20">
        <f t="shared" si="70"/>
        <v>656.97215418341113</v>
      </c>
      <c r="DS116" s="59">
        <f t="shared" si="71"/>
        <v>934.87684643613852</v>
      </c>
      <c r="DT116" s="59">
        <f ca="1">AVERAGE(OFFSET($DS$3,0,0,'Données projet'!$E$14+1,1))-AVERAGE(OFFSET($H$3,0,0,'Données projet'!$E$14+1,1))</f>
        <v>590.05965493677377</v>
      </c>
      <c r="DU116" s="59">
        <f t="shared" si="98"/>
        <v>378.40640480134505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82.589179237436099</v>
      </c>
      <c r="EB116" s="21">
        <f>EXP(-LN(2)/25)*EB115+(1-EXP(-LN(2)/25))/(LN(2)/25)*Calculateur!DW116*Calculateur!DY116*VLOOKUP('Données projet'!$B$14,Paramètres!$A$1:$I$89,3,0)*0.475*44/12</f>
        <v>0</v>
      </c>
      <c r="EC116" s="21">
        <f>EXP(-LN(2)/2)*EC115+(1-EXP(-LN(2)/2))/(LN(2)/2)*DW116*DZ116*VLOOKUP('Données projet'!$B$14,Paramètres!$A$1:$I$89,3,0)*0.475*44/12</f>
        <v>0</v>
      </c>
      <c r="ED116" s="22">
        <f t="shared" si="72"/>
        <v>82.589179237436099</v>
      </c>
      <c r="EE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65.79218879619836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2">
        <f>'Scénario référence'!$B$16*5+'Scénario référence'!$B$17*0+'Scénario référence'!$B$18*5</f>
        <v>4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14.666666666666666</v>
      </c>
      <c r="H117" s="66">
        <f t="shared" si="56"/>
        <v>159.86666666666667</v>
      </c>
      <c r="I117" s="6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-2.9085640562698246E-14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140.03175887621094</v>
      </c>
      <c r="T117" s="59">
        <f t="shared" si="88"/>
        <v>377.29475975964954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13.380240843857374</v>
      </c>
      <c r="AA117" s="21">
        <f>EXP(-LN(2)/25)*AA116+(1-EXP(-LN(2)/25))/(LN(2)/25)*Calculateur!V117*Calculateur!X117*VLOOKUP('Données projet'!$B$9,Paramètres!$A$1:$I$89,3,0)*0.475*44/12</f>
        <v>0</v>
      </c>
      <c r="AB117" s="21">
        <f>EXP(-LN(2)/2)*AB116+(1-EXP(-LN(2)/2))/(LN(2)/2)*V117*Y117*VLOOKUP('Données projet'!$B$9,Paramètres!$A$1:$I$89,3,0)*0.475*44/12</f>
        <v>5.5727728826082307E-13</v>
      </c>
      <c r="AC117" s="22">
        <f t="shared" si="57"/>
        <v>13.380240843857932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-5.6843418860808015E-14</v>
      </c>
      <c r="AJ117" s="13">
        <f>AI117*VLOOKUP('Données projet'!$B$10,Paramètres!$A$1:$I$89,3,0)*VLOOKUP('Données projet'!$B$10,Paramètres!$A$1:$I$89,5,0)</f>
        <v>-2.8642261895583942E-14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138.27364731587764</v>
      </c>
      <c r="AO117" s="59">
        <f t="shared" si="90"/>
        <v>372.50391467700013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13.176273757822946</v>
      </c>
      <c r="AV117" s="21">
        <f>EXP(-LN(2)/25)*AV116+(1-EXP(-LN(2)/25))/(LN(2)/25)*Calculateur!AQ117*Calculateur!AS117*VLOOKUP('Données projet'!$B$10,Paramètres!$A$1:$I$89,3,0)*0.475*44/12</f>
        <v>0</v>
      </c>
      <c r="AW117" s="21">
        <f>EXP(-LN(2)/2)*AW116+(1-EXP(-LN(2)/2))/(LN(2)/2)*AQ117*AT117*VLOOKUP('Données projet'!$B$10,Paramètres!$A$1:$I$89,3,0)*0.475*44/12</f>
        <v>5.4878220764709046E-13</v>
      </c>
      <c r="AX117" s="21">
        <f t="shared" si="60"/>
        <v>13.176273757823495</v>
      </c>
      <c r="AY117" s="7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4.5000000000000115</v>
      </c>
      <c r="BD117" s="12">
        <f>IF('Données projet'!$A$88&gt;35,BD116+BC117-BL116,IF(A117&lt;'Données projet'!$A$88,$BA$205^A117,IF(A117='Données projet'!$A$88,'Données projet'!$B$88,BD116+BC117-BL116)))</f>
        <v>324.99999999999966</v>
      </c>
      <c r="BE117" s="13">
        <f>BD117*VLOOKUP('Données projet'!$B$11,Paramètres!$A$1:$I$89,3,0)*VLOOKUP('Données projet'!$B$11,Paramètres!$A$1:$I$89,5,0)</f>
        <v>339.68999999999966</v>
      </c>
      <c r="BF117" s="13">
        <f t="shared" si="91"/>
        <v>79.435895059237467</v>
      </c>
      <c r="BG117" s="20">
        <f t="shared" si="61"/>
        <v>729.97760056150457</v>
      </c>
      <c r="BH117" s="59">
        <f t="shared" si="62"/>
        <v>1008.1499452437065</v>
      </c>
      <c r="BI117" s="59">
        <f ca="1">AVERAGE(OFFSET($BH$3,0,0,'Données projet'!$E$11+1,1))-AVERAGE(OFFSET($H$3,0,0,'Données projet'!$E$11+1,1))</f>
        <v>638.07304290599211</v>
      </c>
      <c r="BJ117" s="59">
        <f t="shared" si="92"/>
        <v>408.22196233793511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88.933884247049519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88.933884247049519</v>
      </c>
      <c r="BT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4.5000000000000115</v>
      </c>
      <c r="BY117" s="12">
        <f>IF('Données projet'!$A$114&gt;35,BY116+BX117-CG116,IF(A117&lt;'Données projet'!$A$114,$BV$205^A117,IF(A117='Données projet'!$A$114,'Données projet'!$B$114,BY116+BX117-CG116)))</f>
        <v>324.99999999999966</v>
      </c>
      <c r="BZ117" s="13">
        <f>BY117*VLOOKUP('Données projet'!$B$12,Paramètres!$A$1:$I$89,3,0)*VLOOKUP('Données projet'!$B$12,Paramètres!$A$1:$I$89,5,0)</f>
        <v>370.10999999999962</v>
      </c>
      <c r="CA117" s="13">
        <f t="shared" si="93"/>
        <v>85.689809421520138</v>
      </c>
      <c r="CB117" s="20">
        <f t="shared" si="64"/>
        <v>793.85133474248016</v>
      </c>
      <c r="CC117" s="59">
        <f t="shared" si="65"/>
        <v>1072.0236794246821</v>
      </c>
      <c r="CD117" s="59">
        <f ca="1">AVERAGE(OFFSET($CC$3,0,0,'Données projet'!$E$12+1,1))-AVERAGE(OFFSET($H$3,0,0,'Données projet'!$E$12+1,1))</f>
        <v>685.99951993586967</v>
      </c>
      <c r="CE117" s="59">
        <f t="shared" si="94"/>
        <v>437.98014017823095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96.898112687083767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96.898112687083767</v>
      </c>
      <c r="CO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4.5000000000000115</v>
      </c>
      <c r="CT117" s="12">
        <f>IF('Données projet'!$A$140&gt;35,CT116+CS117-DB116,IF(A117&lt;'Données projet'!$A$140,$CQ$205^A117,IF(A117='Données projet'!$A$140,'Données projet'!$B$140,CT116+CS117-DB116)))</f>
        <v>324.99999999999966</v>
      </c>
      <c r="CU117" s="17">
        <f>CT117*VLOOKUP('Données projet'!$B$13,Paramètres!$A$1:$I$89,3,0)*VLOOKUP('Données projet'!$B$13,Paramètres!$A$1:$I$89,5,0)</f>
        <v>329.54999999999967</v>
      </c>
      <c r="CV117" s="13">
        <f t="shared" si="95"/>
        <v>77.337003282690503</v>
      </c>
      <c r="CW117" s="20">
        <f t="shared" si="67"/>
        <v>708.66153071735198</v>
      </c>
      <c r="CX117" s="59">
        <f t="shared" si="68"/>
        <v>986.8338753995539</v>
      </c>
      <c r="CY117" s="59">
        <f ca="1">AVERAGE(OFFSET($CX$3,0,0,'Données projet'!$E$13+1,1))-AVERAGE(OFFSET($H$3,0,0,'Données projet'!$E$13+1,1))</f>
        <v>622.07867348539082</v>
      </c>
      <c r="CZ117" s="59">
        <f t="shared" si="96"/>
        <v>398.29010684041634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86.27914143370478</v>
      </c>
      <c r="DG117" s="21">
        <f>EXP(-LN(2)/25)*DG116+(1-EXP(-LN(2)/25))/(LN(2)/25)*Calculateur!DB117*Calculateur!DD117*VLOOKUP('Données projet'!$B$13,Paramètres!$A$1:$I$89,3,0)*0.475*44/12</f>
        <v>0</v>
      </c>
      <c r="DH117" s="21">
        <f>EXP(-LN(2)/2)*DH116+(1-EXP(-LN(2)/2))/(LN(2)/2)*DB117*DE117*VLOOKUP('Données projet'!$B$13,Paramètres!$A$1:$I$89,3,0)*0.475*44/12</f>
        <v>0</v>
      </c>
      <c r="DI117" s="22">
        <f t="shared" si="69"/>
        <v>86.27914143370478</v>
      </c>
      <c r="DJ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4.5000000000000115</v>
      </c>
      <c r="DO117" s="12">
        <f>IF('Données projet'!$A$166&gt;35,DO116+DN117-DW116,IF(A117&lt;'Données projet'!$A$166,$DL$205^A117,IF(A117='Données projet'!$A$166,'Données projet'!$B$166,DO116+DN117-DW116)))</f>
        <v>324.99999999999966</v>
      </c>
      <c r="DP117" s="17">
        <f>DO117*VLOOKUP('Données projet'!$B$14,Paramètres!$A$1:$I$89,3,0)*VLOOKUP('Données projet'!$B$14,Paramètres!$A$1:$I$89,5,0)</f>
        <v>309.2699999999997</v>
      </c>
      <c r="DQ117" s="13">
        <f t="shared" si="97"/>
        <v>73.116356204711025</v>
      </c>
      <c r="DR117" s="20">
        <f t="shared" si="70"/>
        <v>665.98957038987123</v>
      </c>
      <c r="DS117" s="59">
        <f t="shared" si="71"/>
        <v>944.16191507207316</v>
      </c>
      <c r="DT117" s="59">
        <f ca="1">AVERAGE(OFFSET($DS$3,0,0,'Données projet'!$E$14+1,1))-AVERAGE(OFFSET($H$3,0,0,'Données projet'!$E$14+1,1))</f>
        <v>590.05965493677377</v>
      </c>
      <c r="DU117" s="59">
        <f t="shared" si="98"/>
        <v>378.40640480134505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80.969655807015243</v>
      </c>
      <c r="EB117" s="21">
        <f>EXP(-LN(2)/25)*EB116+(1-EXP(-LN(2)/25))/(LN(2)/25)*Calculateur!DW117*Calculateur!DY117*VLOOKUP('Données projet'!$B$14,Paramètres!$A$1:$I$89,3,0)*0.475*44/12</f>
        <v>0</v>
      </c>
      <c r="EC117" s="21">
        <f>EXP(-LN(2)/2)*EC116+(1-EXP(-LN(2)/2))/(LN(2)/2)*DW117*DZ117*VLOOKUP('Données projet'!$B$14,Paramètres!$A$1:$I$89,3,0)*0.475*44/12</f>
        <v>0</v>
      </c>
      <c r="ED117" s="22">
        <f t="shared" si="72"/>
        <v>80.969655807015243</v>
      </c>
      <c r="EE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65.865184913327795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2">
        <f>'Scénario référence'!$B$16*5+'Scénario référence'!$B$17*0+'Scénario référence'!$B$18*5</f>
        <v>4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14.666666666666666</v>
      </c>
      <c r="H118" s="66">
        <f t="shared" si="56"/>
        <v>159.86666666666667</v>
      </c>
      <c r="I118" s="6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-2.9085640562698246E-14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140.03175887621094</v>
      </c>
      <c r="T118" s="59">
        <f t="shared" si="88"/>
        <v>377.29475975964954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13.1178624820504</v>
      </c>
      <c r="AA118" s="21">
        <f>EXP(-LN(2)/25)*AA117+(1-EXP(-LN(2)/25))/(LN(2)/25)*Calculateur!V118*Calculateur!X118*VLOOKUP('Données projet'!$B$9,Paramètres!$A$1:$I$89,3,0)*0.475*44/12</f>
        <v>0</v>
      </c>
      <c r="AB118" s="21">
        <f>EXP(-LN(2)/2)*AB117+(1-EXP(-LN(2)/2))/(LN(2)/2)*V118*Y118*VLOOKUP('Données projet'!$B$9,Paramètres!$A$1:$I$89,3,0)*0.475*44/12</f>
        <v>3.9405454953047839E-13</v>
      </c>
      <c r="AC118" s="22">
        <f t="shared" si="57"/>
        <v>13.117862482050795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-5.6843418860808015E-14</v>
      </c>
      <c r="AJ118" s="13">
        <f>AI118*VLOOKUP('Données projet'!$B$10,Paramètres!$A$1:$I$89,3,0)*VLOOKUP('Données projet'!$B$10,Paramètres!$A$1:$I$89,5,0)</f>
        <v>-2.8642261895583942E-14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138.27364731587764</v>
      </c>
      <c r="AO118" s="59">
        <f t="shared" si="90"/>
        <v>372.50391467700013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12.917895066165469</v>
      </c>
      <c r="AV118" s="21">
        <f>EXP(-LN(2)/25)*AV117+(1-EXP(-LN(2)/25))/(LN(2)/25)*Calculateur!AQ118*Calculateur!AS118*VLOOKUP('Données projet'!$B$10,Paramètres!$A$1:$I$89,3,0)*0.475*44/12</f>
        <v>0</v>
      </c>
      <c r="AW118" s="21">
        <f>EXP(-LN(2)/2)*AW117+(1-EXP(-LN(2)/2))/(LN(2)/2)*AQ118*AT118*VLOOKUP('Données projet'!$B$10,Paramètres!$A$1:$I$89,3,0)*0.475*44/12</f>
        <v>3.8804762042178168E-13</v>
      </c>
      <c r="AX118" s="21">
        <f t="shared" si="60"/>
        <v>12.917895066165856</v>
      </c>
      <c r="AY118" s="7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4.5000000000000115</v>
      </c>
      <c r="BD118" s="12">
        <f>IF('Données projet'!$A$88&gt;35,BD117+BC118-BL117,IF(A118&lt;'Données projet'!$A$88,$BA$205^A118,IF(A118='Données projet'!$A$88,'Données projet'!$B$88,BD117+BC118-BL117)))</f>
        <v>329.49999999999966</v>
      </c>
      <c r="BE118" s="13">
        <f>BD118*VLOOKUP('Données projet'!$B$11,Paramètres!$A$1:$I$89,3,0)*VLOOKUP('Données projet'!$B$11,Paramètres!$A$1:$I$89,5,0)</f>
        <v>344.3933999999997</v>
      </c>
      <c r="BF118" s="13">
        <f t="shared" si="91"/>
        <v>80.40697130221703</v>
      </c>
      <c r="BG118" s="20">
        <f t="shared" si="61"/>
        <v>739.86064668469407</v>
      </c>
      <c r="BH118" s="59">
        <f t="shared" si="62"/>
        <v>1018.2960006251003</v>
      </c>
      <c r="BI118" s="59">
        <f ca="1">AVERAGE(OFFSET($BH$3,0,0,'Données projet'!$E$11+1,1))-AVERAGE(OFFSET($H$3,0,0,'Données projet'!$E$11+1,1))</f>
        <v>638.07304290599211</v>
      </c>
      <c r="BJ118" s="59">
        <f t="shared" si="92"/>
        <v>408.22196233793511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87.189945021278092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87.189945021278092</v>
      </c>
      <c r="BT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4.5000000000000115</v>
      </c>
      <c r="BY118" s="12">
        <f>IF('Données projet'!$A$114&gt;35,BY117+BX118-CG117,IF(A118&lt;'Données projet'!$A$114,$BV$205^A118,IF(A118='Données projet'!$A$114,'Données projet'!$B$114,BY117+BX118-CG117)))</f>
        <v>329.49999999999966</v>
      </c>
      <c r="BZ118" s="13">
        <f>BY118*VLOOKUP('Données projet'!$B$12,Paramètres!$A$1:$I$89,3,0)*VLOOKUP('Données projet'!$B$12,Paramètres!$A$1:$I$89,5,0)</f>
        <v>375.2345999999996</v>
      </c>
      <c r="CA118" s="13">
        <f t="shared" si="93"/>
        <v>86.737337596693735</v>
      </c>
      <c r="CB118" s="20">
        <f t="shared" si="64"/>
        <v>804.60112464757412</v>
      </c>
      <c r="CC118" s="59">
        <f t="shared" si="65"/>
        <v>1083.0364785879804</v>
      </c>
      <c r="CD118" s="59">
        <f ca="1">AVERAGE(OFFSET($CC$3,0,0,'Données projet'!$E$12+1,1))-AVERAGE(OFFSET($H$3,0,0,'Données projet'!$E$12+1,1))</f>
        <v>685.99951993586967</v>
      </c>
      <c r="CE118" s="59">
        <f t="shared" si="94"/>
        <v>437.98014017823095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94.99799979930296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94.99799979930296</v>
      </c>
      <c r="CO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4.5000000000000115</v>
      </c>
      <c r="CT118" s="12">
        <f>IF('Données projet'!$A$140&gt;35,CT117+CS118-DB117,IF(A118&lt;'Données projet'!$A$140,$CQ$205^A118,IF(A118='Données projet'!$A$140,'Données projet'!$B$140,CT117+CS118-DB117)))</f>
        <v>329.49999999999966</v>
      </c>
      <c r="CU118" s="17">
        <f>CT118*VLOOKUP('Données projet'!$B$13,Paramètres!$A$1:$I$89,3,0)*VLOOKUP('Données projet'!$B$13,Paramètres!$A$1:$I$89,5,0)</f>
        <v>334.11299999999966</v>
      </c>
      <c r="CV118" s="13">
        <f t="shared" si="95"/>
        <v>78.282421302277868</v>
      </c>
      <c r="CW118" s="20">
        <f t="shared" si="67"/>
        <v>718.25535876813331</v>
      </c>
      <c r="CX118" s="59">
        <f t="shared" si="68"/>
        <v>996.69071270853954</v>
      </c>
      <c r="CY118" s="59">
        <f ca="1">AVERAGE(OFFSET($CX$3,0,0,'Données projet'!$E$13+1,1))-AVERAGE(OFFSET($H$3,0,0,'Données projet'!$E$13+1,1))</f>
        <v>622.07867348539082</v>
      </c>
      <c r="CZ118" s="59">
        <f t="shared" si="96"/>
        <v>398.29010684041634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84.587260095269812</v>
      </c>
      <c r="DG118" s="21">
        <f>EXP(-LN(2)/25)*DG117+(1-EXP(-LN(2)/25))/(LN(2)/25)*Calculateur!DB118*Calculateur!DD118*VLOOKUP('Données projet'!$B$13,Paramètres!$A$1:$I$89,3,0)*0.475*44/12</f>
        <v>0</v>
      </c>
      <c r="DH118" s="21">
        <f>EXP(-LN(2)/2)*DH117+(1-EXP(-LN(2)/2))/(LN(2)/2)*DB118*DE118*VLOOKUP('Données projet'!$B$13,Paramètres!$A$1:$I$89,3,0)*0.475*44/12</f>
        <v>0</v>
      </c>
      <c r="DI118" s="22">
        <f t="shared" si="69"/>
        <v>84.587260095269812</v>
      </c>
      <c r="DJ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4.5000000000000115</v>
      </c>
      <c r="DO118" s="12">
        <f>IF('Données projet'!$A$166&gt;35,DO117+DN118-DW117,IF(A118&lt;'Données projet'!$A$166,$DL$205^A118,IF(A118='Données projet'!$A$166,'Données projet'!$B$166,DO117+DN118-DW117)))</f>
        <v>329.49999999999966</v>
      </c>
      <c r="DP118" s="17">
        <f>DO118*VLOOKUP('Données projet'!$B$14,Paramètres!$A$1:$I$89,3,0)*VLOOKUP('Données projet'!$B$14,Paramètres!$A$1:$I$89,5,0)</f>
        <v>313.55219999999969</v>
      </c>
      <c r="DQ118" s="13">
        <f t="shared" si="97"/>
        <v>74.010178278858788</v>
      </c>
      <c r="DR118" s="20">
        <f t="shared" si="70"/>
        <v>675.00447550234514</v>
      </c>
      <c r="DS118" s="59">
        <f t="shared" si="71"/>
        <v>953.43982944275137</v>
      </c>
      <c r="DT118" s="59">
        <f ca="1">AVERAGE(OFFSET($DS$3,0,0,'Données projet'!$E$14+1,1))-AVERAGE(OFFSET($H$3,0,0,'Données projet'!$E$14+1,1))</f>
        <v>590.05965493677377</v>
      </c>
      <c r="DU118" s="59">
        <f t="shared" si="98"/>
        <v>378.40640480134505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79.381890243253196</v>
      </c>
      <c r="EB118" s="21">
        <f>EXP(-LN(2)/25)*EB117+(1-EXP(-LN(2)/25))/(LN(2)/25)*Calculateur!DW118*Calculateur!DY118*VLOOKUP('Données projet'!$B$14,Paramètres!$A$1:$I$89,3,0)*0.475*44/12</f>
        <v>0</v>
      </c>
      <c r="EC118" s="21">
        <f>EXP(-LN(2)/2)*EC117+(1-EXP(-LN(2)/2))/(LN(2)/2)*DW118*DZ118*VLOOKUP('Données projet'!$B$14,Paramètres!$A$1:$I$89,3,0)*0.475*44/12</f>
        <v>0</v>
      </c>
      <c r="ED118" s="22">
        <f t="shared" si="72"/>
        <v>79.381890243253196</v>
      </c>
      <c r="EE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65.936914711019881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2">
        <f>'Scénario référence'!$B$16*5+'Scénario référence'!$B$17*0+'Scénario référence'!$B$18*5</f>
        <v>4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14.666666666666666</v>
      </c>
      <c r="H119" s="66">
        <f t="shared" si="56"/>
        <v>159.86666666666667</v>
      </c>
      <c r="I119" s="6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-2.9085640562698246E-14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140.03175887621094</v>
      </c>
      <c r="T119" s="59">
        <f t="shared" si="88"/>
        <v>377.29475975964954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12.860629199883462</v>
      </c>
      <c r="AA119" s="21">
        <f>EXP(-LN(2)/25)*AA118+(1-EXP(-LN(2)/25))/(LN(2)/25)*Calculateur!V119*Calculateur!X119*VLOOKUP('Données projet'!$B$9,Paramètres!$A$1:$I$89,3,0)*0.475*44/12</f>
        <v>0</v>
      </c>
      <c r="AB119" s="21">
        <f>EXP(-LN(2)/2)*AB118+(1-EXP(-LN(2)/2))/(LN(2)/2)*V119*Y119*VLOOKUP('Données projet'!$B$9,Paramètres!$A$1:$I$89,3,0)*0.475*44/12</f>
        <v>2.7863864413041154E-13</v>
      </c>
      <c r="AC119" s="22">
        <f t="shared" si="57"/>
        <v>12.860629199883741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-5.6843418860808015E-14</v>
      </c>
      <c r="AJ119" s="13">
        <f>AI119*VLOOKUP('Données projet'!$B$10,Paramètres!$A$1:$I$89,3,0)*VLOOKUP('Données projet'!$B$10,Paramètres!$A$1:$I$89,5,0)</f>
        <v>-2.8642261895583942E-14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138.27364731587764</v>
      </c>
      <c r="AO119" s="59">
        <f t="shared" si="90"/>
        <v>372.50391467700013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12.664583023055954</v>
      </c>
      <c r="AV119" s="21">
        <f>EXP(-LN(2)/25)*AV118+(1-EXP(-LN(2)/25))/(LN(2)/25)*Calculateur!AQ119*Calculateur!AS119*VLOOKUP('Données projet'!$B$10,Paramètres!$A$1:$I$89,3,0)*0.475*44/12</f>
        <v>0</v>
      </c>
      <c r="AW119" s="21">
        <f>EXP(-LN(2)/2)*AW118+(1-EXP(-LN(2)/2))/(LN(2)/2)*AQ119*AT119*VLOOKUP('Données projet'!$B$10,Paramètres!$A$1:$I$89,3,0)*0.475*44/12</f>
        <v>2.7439110382354523E-13</v>
      </c>
      <c r="AX119" s="21">
        <f t="shared" si="60"/>
        <v>12.664583023056228</v>
      </c>
      <c r="AY119" s="7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4.5000000000000115</v>
      </c>
      <c r="BD119" s="12">
        <f>IF('Données projet'!$A$88&gt;35,BD118+BC119-BL118,IF(A119&lt;'Données projet'!$A$88,$BA$205^A119,IF(A119='Données projet'!$A$88,'Données projet'!$B$88,BD118+BC119-BL118)))</f>
        <v>333.99999999999966</v>
      </c>
      <c r="BE119" s="13">
        <f>BD119*VLOOKUP('Données projet'!$B$11,Paramètres!$A$1:$I$89,3,0)*VLOOKUP('Données projet'!$B$11,Paramètres!$A$1:$I$89,5,0)</f>
        <v>349.09679999999963</v>
      </c>
      <c r="BF119" s="13">
        <f t="shared" si="91"/>
        <v>81.376505019061597</v>
      </c>
      <c r="BG119" s="20">
        <f t="shared" si="61"/>
        <v>749.74100624153164</v>
      </c>
      <c r="BH119" s="59">
        <f t="shared" si="62"/>
        <v>1028.4348068175129</v>
      </c>
      <c r="BI119" s="59">
        <f ca="1">AVERAGE(OFFSET($BH$3,0,0,'Données projet'!$E$11+1,1))-AVERAGE(OFFSET($H$3,0,0,'Données projet'!$E$11+1,1))</f>
        <v>638.07304290599211</v>
      </c>
      <c r="BJ119" s="59">
        <f t="shared" si="92"/>
        <v>408.22196233793511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85.48020338002614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85.48020338002614</v>
      </c>
      <c r="BT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4.5000000000000115</v>
      </c>
      <c r="BY119" s="12">
        <f>IF('Données projet'!$A$114&gt;35,BY118+BX119-CG118,IF(A119&lt;'Données projet'!$A$114,$BV$205^A119,IF(A119='Données projet'!$A$114,'Données projet'!$B$114,BY118+BX119-CG118)))</f>
        <v>333.99999999999966</v>
      </c>
      <c r="BZ119" s="13">
        <f>BY119*VLOOKUP('Données projet'!$B$12,Paramètres!$A$1:$I$89,3,0)*VLOOKUP('Données projet'!$B$12,Paramètres!$A$1:$I$89,5,0)</f>
        <v>380.35919999999959</v>
      </c>
      <c r="CA119" s="13">
        <f t="shared" si="93"/>
        <v>87.783201804079937</v>
      </c>
      <c r="CB119" s="20">
        <f t="shared" si="64"/>
        <v>815.34801647543861</v>
      </c>
      <c r="CC119" s="59">
        <f t="shared" si="65"/>
        <v>1094.0418170514199</v>
      </c>
      <c r="CD119" s="59">
        <f ca="1">AVERAGE(OFFSET($CC$3,0,0,'Données projet'!$E$12+1,1))-AVERAGE(OFFSET($H$3,0,0,'Données projet'!$E$12+1,1))</f>
        <v>685.99951993586967</v>
      </c>
      <c r="CE119" s="59">
        <f t="shared" si="94"/>
        <v>437.98014017823095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93.1351469662971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93.1351469662971</v>
      </c>
      <c r="CO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4.5000000000000115</v>
      </c>
      <c r="CT119" s="12">
        <f>IF('Données projet'!$A$140&gt;35,CT118+CS119-DB118,IF(A119&lt;'Données projet'!$A$140,$CQ$205^A119,IF(A119='Données projet'!$A$140,'Données projet'!$B$140,CT118+CS119-DB118)))</f>
        <v>333.99999999999966</v>
      </c>
      <c r="CU119" s="17">
        <f>CT119*VLOOKUP('Données projet'!$B$13,Paramètres!$A$1:$I$89,3,0)*VLOOKUP('Données projet'!$B$13,Paramètres!$A$1:$I$89,5,0)</f>
        <v>338.6759999999997</v>
      </c>
      <c r="CV119" s="13">
        <f t="shared" si="95"/>
        <v>79.226337553065648</v>
      </c>
      <c r="CW119" s="20">
        <f t="shared" si="67"/>
        <v>727.84657123825548</v>
      </c>
      <c r="CX119" s="59">
        <f t="shared" si="68"/>
        <v>1006.5403718142368</v>
      </c>
      <c r="CY119" s="59">
        <f ca="1">AVERAGE(OFFSET($CX$3,0,0,'Données projet'!$E$13+1,1))-AVERAGE(OFFSET($H$3,0,0,'Données projet'!$E$13+1,1))</f>
        <v>622.07867348539082</v>
      </c>
      <c r="CZ119" s="59">
        <f t="shared" si="96"/>
        <v>398.29010684041634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82.928555517935834</v>
      </c>
      <c r="DG119" s="21">
        <f>EXP(-LN(2)/25)*DG118+(1-EXP(-LN(2)/25))/(LN(2)/25)*Calculateur!DB119*Calculateur!DD119*VLOOKUP('Données projet'!$B$13,Paramètres!$A$1:$I$89,3,0)*0.475*44/12</f>
        <v>0</v>
      </c>
      <c r="DH119" s="21">
        <f>EXP(-LN(2)/2)*DH118+(1-EXP(-LN(2)/2))/(LN(2)/2)*DB119*DE119*VLOOKUP('Données projet'!$B$13,Paramètres!$A$1:$I$89,3,0)*0.475*44/12</f>
        <v>0</v>
      </c>
      <c r="DI119" s="22">
        <f t="shared" si="69"/>
        <v>82.928555517935834</v>
      </c>
      <c r="DJ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4.5000000000000115</v>
      </c>
      <c r="DO119" s="12">
        <f>IF('Données projet'!$A$166&gt;35,DO118+DN119-DW118,IF(A119&lt;'Données projet'!$A$166,$DL$205^A119,IF(A119='Données projet'!$A$166,'Données projet'!$B$166,DO118+DN119-DW118)))</f>
        <v>333.99999999999966</v>
      </c>
      <c r="DP119" s="17">
        <f>DO119*VLOOKUP('Données projet'!$B$14,Paramètres!$A$1:$I$89,3,0)*VLOOKUP('Données projet'!$B$14,Paramètres!$A$1:$I$89,5,0)</f>
        <v>317.83439999999968</v>
      </c>
      <c r="DQ119" s="13">
        <f t="shared" si="97"/>
        <v>74.902580542853059</v>
      </c>
      <c r="DR119" s="20">
        <f t="shared" si="70"/>
        <v>684.01690777880185</v>
      </c>
      <c r="DS119" s="59">
        <f t="shared" si="71"/>
        <v>962.71070835478315</v>
      </c>
      <c r="DT119" s="59">
        <f ca="1">AVERAGE(OFFSET($DS$3,0,0,'Données projet'!$E$14+1,1))-AVERAGE(OFFSET($H$3,0,0,'Données projet'!$E$14+1,1))</f>
        <v>590.05965493677377</v>
      </c>
      <c r="DU119" s="59">
        <f t="shared" si="98"/>
        <v>378.40640480134505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77.825259793755151</v>
      </c>
      <c r="EB119" s="21">
        <f>EXP(-LN(2)/25)*EB118+(1-EXP(-LN(2)/25))/(LN(2)/25)*Calculateur!DW119*Calculateur!DY119*VLOOKUP('Données projet'!$B$14,Paramètres!$A$1:$I$89,3,0)*0.475*44/12</f>
        <v>0</v>
      </c>
      <c r="EC119" s="21">
        <f>EXP(-LN(2)/2)*EC118+(1-EXP(-LN(2)/2))/(LN(2)/2)*DW119*DZ119*VLOOKUP('Données projet'!$B$14,Paramètres!$A$1:$I$89,3,0)*0.475*44/12</f>
        <v>0</v>
      </c>
      <c r="ED119" s="22">
        <f t="shared" si="72"/>
        <v>77.825259793755151</v>
      </c>
      <c r="EE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66.007400157085812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2">
        <f>'Scénario référence'!$B$16*5+'Scénario référence'!$B$17*0+'Scénario référence'!$B$18*5</f>
        <v>4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14.666666666666666</v>
      </c>
      <c r="H120" s="66">
        <f t="shared" si="56"/>
        <v>159.86666666666667</v>
      </c>
      <c r="I120" s="6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-2.9085640562698246E-14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140.03175887621094</v>
      </c>
      <c r="T120" s="59">
        <f t="shared" si="88"/>
        <v>377.29475975964954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12.608440105483009</v>
      </c>
      <c r="AA120" s="21">
        <f>EXP(-LN(2)/25)*AA119+(1-EXP(-LN(2)/25))/(LN(2)/25)*Calculateur!V120*Calculateur!X120*VLOOKUP('Données projet'!$B$9,Paramètres!$A$1:$I$89,3,0)*0.475*44/12</f>
        <v>0</v>
      </c>
      <c r="AB120" s="21">
        <f>EXP(-LN(2)/2)*AB119+(1-EXP(-LN(2)/2))/(LN(2)/2)*V120*Y120*VLOOKUP('Données projet'!$B$9,Paramètres!$A$1:$I$89,3,0)*0.475*44/12</f>
        <v>1.970272747652392E-13</v>
      </c>
      <c r="AC120" s="22">
        <f t="shared" si="57"/>
        <v>12.608440105483206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-5.6843418860808015E-14</v>
      </c>
      <c r="AJ120" s="13">
        <f>AI120*VLOOKUP('Données projet'!$B$10,Paramètres!$A$1:$I$89,3,0)*VLOOKUP('Données projet'!$B$10,Paramètres!$A$1:$I$89,5,0)</f>
        <v>-2.8642261895583942E-14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138.27364731587764</v>
      </c>
      <c r="AO120" s="59">
        <f t="shared" si="90"/>
        <v>372.50391467700013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12.416238274606727</v>
      </c>
      <c r="AV120" s="21">
        <f>EXP(-LN(2)/25)*AV119+(1-EXP(-LN(2)/25))/(LN(2)/25)*Calculateur!AQ120*Calculateur!AS120*VLOOKUP('Données projet'!$B$10,Paramètres!$A$1:$I$89,3,0)*0.475*44/12</f>
        <v>0</v>
      </c>
      <c r="AW120" s="21">
        <f>EXP(-LN(2)/2)*AW119+(1-EXP(-LN(2)/2))/(LN(2)/2)*AQ120*AT120*VLOOKUP('Données projet'!$B$10,Paramètres!$A$1:$I$89,3,0)*0.475*44/12</f>
        <v>1.9402381021089084E-13</v>
      </c>
      <c r="AX120" s="21">
        <f t="shared" si="60"/>
        <v>12.41623827460692</v>
      </c>
      <c r="AY120" s="7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4.5000000000000115</v>
      </c>
      <c r="BD120" s="12">
        <f>IF('Données projet'!$A$88&gt;35,BD119+BC120-BL119,IF(A120&lt;'Données projet'!$A$88,$BA$205^A120,IF(A120='Données projet'!$A$88,'Données projet'!$B$88,BD119+BC120-BL119)))</f>
        <v>338.49999999999966</v>
      </c>
      <c r="BE120" s="13">
        <f>BD120*VLOOKUP('Données projet'!$B$11,Paramètres!$A$1:$I$89,3,0)*VLOOKUP('Données projet'!$B$11,Paramètres!$A$1:$I$89,5,0)</f>
        <v>353.80019999999968</v>
      </c>
      <c r="BF120" s="13">
        <f t="shared" si="91"/>
        <v>82.344519394623873</v>
      </c>
      <c r="BG120" s="20">
        <f t="shared" si="61"/>
        <v>759.6187196123027</v>
      </c>
      <c r="BH120" s="59">
        <f t="shared" si="62"/>
        <v>1038.566483352532</v>
      </c>
      <c r="BI120" s="59">
        <f ca="1">AVERAGE(OFFSET($BH$3,0,0,'Données projet'!$E$11+1,1))-AVERAGE(OFFSET($H$3,0,0,'Données projet'!$E$11+1,1))</f>
        <v>638.07304290599211</v>
      </c>
      <c r="BJ120" s="59">
        <f t="shared" si="92"/>
        <v>408.22196233793511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83.803988729519716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83.803988729519716</v>
      </c>
      <c r="BT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4.5000000000000115</v>
      </c>
      <c r="BY120" s="12">
        <f>IF('Données projet'!$A$114&gt;35,BY119+BX120-CG119,IF(A120&lt;'Données projet'!$A$114,$BV$205^A120,IF(A120='Données projet'!$A$114,'Données projet'!$B$114,BY119+BX120-CG119)))</f>
        <v>338.49999999999966</v>
      </c>
      <c r="BZ120" s="13">
        <f>BY120*VLOOKUP('Données projet'!$B$12,Paramètres!$A$1:$I$89,3,0)*VLOOKUP('Données projet'!$B$12,Paramètres!$A$1:$I$89,5,0)</f>
        <v>385.48379999999958</v>
      </c>
      <c r="CA120" s="13">
        <f t="shared" si="93"/>
        <v>88.82742705385364</v>
      </c>
      <c r="CB120" s="20">
        <f t="shared" si="64"/>
        <v>826.09205378546085</v>
      </c>
      <c r="CC120" s="59">
        <f t="shared" si="65"/>
        <v>1105.0398175256901</v>
      </c>
      <c r="CD120" s="59">
        <f ca="1">AVERAGE(OFFSET($CC$3,0,0,'Données projet'!$E$12+1,1))-AVERAGE(OFFSET($H$3,0,0,'Données projet'!$E$12+1,1))</f>
        <v>685.99951993586967</v>
      </c>
      <c r="CE120" s="59">
        <f t="shared" si="94"/>
        <v>437.98014017823095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91.308823541118457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91.308823541118457</v>
      </c>
      <c r="CO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4.5000000000000115</v>
      </c>
      <c r="CT120" s="12">
        <f>IF('Données projet'!$A$140&gt;35,CT119+CS120-DB119,IF(A120&lt;'Données projet'!$A$140,$CQ$205^A120,IF(A120='Données projet'!$A$140,'Données projet'!$B$140,CT119+CS120-DB119)))</f>
        <v>338.49999999999966</v>
      </c>
      <c r="CU120" s="17">
        <f>CT120*VLOOKUP('Données projet'!$B$13,Paramètres!$A$1:$I$89,3,0)*VLOOKUP('Données projet'!$B$13,Paramètres!$A$1:$I$89,5,0)</f>
        <v>343.23899999999969</v>
      </c>
      <c r="CV120" s="13">
        <f t="shared" si="95"/>
        <v>80.168774607305735</v>
      </c>
      <c r="CW120" s="20">
        <f t="shared" si="67"/>
        <v>737.43520744105683</v>
      </c>
      <c r="CX120" s="59">
        <f t="shared" si="68"/>
        <v>1016.3829711812862</v>
      </c>
      <c r="CY120" s="59">
        <f ca="1">AVERAGE(OFFSET($CX$3,0,0,'Données projet'!$E$13+1,1))-AVERAGE(OFFSET($H$3,0,0,'Données projet'!$E$13+1,1))</f>
        <v>622.07867348539082</v>
      </c>
      <c r="CZ120" s="59">
        <f t="shared" si="96"/>
        <v>398.29010684041634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81.302377125653479</v>
      </c>
      <c r="DG120" s="21">
        <f>EXP(-LN(2)/25)*DG119+(1-EXP(-LN(2)/25))/(LN(2)/25)*Calculateur!DB120*Calculateur!DD120*VLOOKUP('Données projet'!$B$13,Paramètres!$A$1:$I$89,3,0)*0.475*44/12</f>
        <v>0</v>
      </c>
      <c r="DH120" s="21">
        <f>EXP(-LN(2)/2)*DH119+(1-EXP(-LN(2)/2))/(LN(2)/2)*DB120*DE120*VLOOKUP('Données projet'!$B$13,Paramètres!$A$1:$I$89,3,0)*0.475*44/12</f>
        <v>0</v>
      </c>
      <c r="DI120" s="22">
        <f t="shared" si="69"/>
        <v>81.302377125653479</v>
      </c>
      <c r="DJ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4.5000000000000115</v>
      </c>
      <c r="DO120" s="12">
        <f>IF('Données projet'!$A$166&gt;35,DO119+DN120-DW119,IF(A120&lt;'Données projet'!$A$166,$DL$205^A120,IF(A120='Données projet'!$A$166,'Données projet'!$B$166,DO119+DN120-DW119)))</f>
        <v>338.49999999999966</v>
      </c>
      <c r="DP120" s="17">
        <f>DO120*VLOOKUP('Données projet'!$B$14,Paramètres!$A$1:$I$89,3,0)*VLOOKUP('Données projet'!$B$14,Paramètres!$A$1:$I$89,5,0)</f>
        <v>322.11659999999966</v>
      </c>
      <c r="DQ120" s="13">
        <f t="shared" si="97"/>
        <v>75.793584337071238</v>
      </c>
      <c r="DR120" s="20">
        <f t="shared" si="70"/>
        <v>693.0269043870652</v>
      </c>
      <c r="DS120" s="59">
        <f t="shared" si="71"/>
        <v>971.97466812729454</v>
      </c>
      <c r="DT120" s="59">
        <f ca="1">AVERAGE(OFFSET($DS$3,0,0,'Données projet'!$E$14+1,1))-AVERAGE(OFFSET($H$3,0,0,'Données projet'!$E$14+1,1))</f>
        <v>590.05965493677377</v>
      </c>
      <c r="DU120" s="59">
        <f t="shared" si="98"/>
        <v>378.40640480134505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76.299153917920947</v>
      </c>
      <c r="EB120" s="21">
        <f>EXP(-LN(2)/25)*EB119+(1-EXP(-LN(2)/25))/(LN(2)/25)*Calculateur!DW120*Calculateur!DY120*VLOOKUP('Données projet'!$B$14,Paramètres!$A$1:$I$89,3,0)*0.475*44/12</f>
        <v>0</v>
      </c>
      <c r="EC120" s="21">
        <f>EXP(-LN(2)/2)*EC119+(1-EXP(-LN(2)/2))/(LN(2)/2)*DW120*DZ120*VLOOKUP('Données projet'!$B$14,Paramètres!$A$1:$I$89,3,0)*0.475*44/12</f>
        <v>0</v>
      </c>
      <c r="ED120" s="22">
        <f t="shared" si="72"/>
        <v>76.299153917920947</v>
      </c>
      <c r="EE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66.076662838244346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2">
        <f>'Scénario référence'!$B$16*5+'Scénario référence'!$B$17*0+'Scénario référence'!$B$18*5</f>
        <v>4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14.666666666666666</v>
      </c>
      <c r="H121" s="66">
        <f t="shared" si="56"/>
        <v>159.86666666666667</v>
      </c>
      <c r="I121" s="6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-2.9085640562698246E-14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140.03175887621094</v>
      </c>
      <c r="T121" s="59">
        <f t="shared" si="88"/>
        <v>377.29475975964954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12.361196285403588</v>
      </c>
      <c r="AA121" s="21">
        <f>EXP(-LN(2)/25)*AA120+(1-EXP(-LN(2)/25))/(LN(2)/25)*Calculateur!V121*Calculateur!X121*VLOOKUP('Données projet'!$B$9,Paramètres!$A$1:$I$89,3,0)*0.475*44/12</f>
        <v>0</v>
      </c>
      <c r="AB121" s="21">
        <f>EXP(-LN(2)/2)*AB120+(1-EXP(-LN(2)/2))/(LN(2)/2)*V121*Y121*VLOOKUP('Données projet'!$B$9,Paramètres!$A$1:$I$89,3,0)*0.475*44/12</f>
        <v>1.3931932206520577E-13</v>
      </c>
      <c r="AC121" s="22">
        <f t="shared" si="57"/>
        <v>12.361196285403727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-5.6843418860808015E-14</v>
      </c>
      <c r="AJ121" s="13">
        <f>AI121*VLOOKUP('Données projet'!$B$10,Paramètres!$A$1:$I$89,3,0)*VLOOKUP('Données projet'!$B$10,Paramètres!$A$1:$I$89,5,0)</f>
        <v>-2.8642261895583942E-14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138.27364731587764</v>
      </c>
      <c r="AO121" s="59">
        <f t="shared" si="90"/>
        <v>372.50391467700013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12.172763415199249</v>
      </c>
      <c r="AV121" s="21">
        <f>EXP(-LN(2)/25)*AV120+(1-EXP(-LN(2)/25))/(LN(2)/25)*Calculateur!AQ121*Calculateur!AS121*VLOOKUP('Données projet'!$B$10,Paramètres!$A$1:$I$89,3,0)*0.475*44/12</f>
        <v>0</v>
      </c>
      <c r="AW121" s="21">
        <f>EXP(-LN(2)/2)*AW120+(1-EXP(-LN(2)/2))/(LN(2)/2)*AQ121*AT121*VLOOKUP('Données projet'!$B$10,Paramètres!$A$1:$I$89,3,0)*0.475*44/12</f>
        <v>1.3719555191177261E-13</v>
      </c>
      <c r="AX121" s="21">
        <f t="shared" si="60"/>
        <v>12.172763415199386</v>
      </c>
      <c r="AY121" s="7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4.5000000000000115</v>
      </c>
      <c r="BD121" s="12">
        <f>IF('Données projet'!$A$88&gt;35,BD120+BC121-BL120,IF(A121&lt;'Données projet'!$A$88,$BA$205^A121,IF(A121='Données projet'!$A$88,'Données projet'!$B$88,BD120+BC121-BL120)))</f>
        <v>342.99999999999966</v>
      </c>
      <c r="BE121" s="13">
        <f>BD121*VLOOKUP('Données projet'!$B$11,Paramètres!$A$1:$I$89,3,0)*VLOOKUP('Données projet'!$B$11,Paramètres!$A$1:$I$89,5,0)</f>
        <v>358.50359999999966</v>
      </c>
      <c r="BF121" s="13">
        <f t="shared" si="91"/>
        <v>83.311036961891318</v>
      </c>
      <c r="BG121" s="20">
        <f t="shared" si="61"/>
        <v>769.49382604196023</v>
      </c>
      <c r="BH121" s="59">
        <f t="shared" si="62"/>
        <v>1048.6911472533143</v>
      </c>
      <c r="BI121" s="59">
        <f ca="1">AVERAGE(OFFSET($BH$3,0,0,'Données projet'!$E$11+1,1))-AVERAGE(OFFSET($H$3,0,0,'Données projet'!$E$11+1,1))</f>
        <v>638.07304290599211</v>
      </c>
      <c r="BJ121" s="59">
        <f t="shared" si="92"/>
        <v>408.22196233793511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82.160643625919732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82.160643625919732</v>
      </c>
      <c r="BT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4.5000000000000115</v>
      </c>
      <c r="BY121" s="12">
        <f>IF('Données projet'!$A$114&gt;35,BY120+BX121-CG120,IF(A121&lt;'Données projet'!$A$114,$BV$205^A121,IF(A121='Données projet'!$A$114,'Données projet'!$B$114,BY120+BX121-CG120)))</f>
        <v>342.99999999999966</v>
      </c>
      <c r="BZ121" s="13">
        <f>BY121*VLOOKUP('Données projet'!$B$12,Paramètres!$A$1:$I$89,3,0)*VLOOKUP('Données projet'!$B$12,Paramètres!$A$1:$I$89,5,0)</f>
        <v>390.60839999999962</v>
      </c>
      <c r="CA121" s="13">
        <f t="shared" si="93"/>
        <v>89.870037653003251</v>
      </c>
      <c r="CB121" s="20">
        <f t="shared" si="64"/>
        <v>836.83327891231329</v>
      </c>
      <c r="CC121" s="59">
        <f t="shared" si="65"/>
        <v>1116.0306001236675</v>
      </c>
      <c r="CD121" s="59">
        <f ca="1">AVERAGE(OFFSET($CC$3,0,0,'Données projet'!$E$12+1,1))-AVERAGE(OFFSET($H$3,0,0,'Données projet'!$E$12+1,1))</f>
        <v>685.99951993586967</v>
      </c>
      <c r="CE121" s="59">
        <f t="shared" si="94"/>
        <v>437.98014017823095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89.518313204360268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89.518313204360268</v>
      </c>
      <c r="CO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4.5000000000000115</v>
      </c>
      <c r="CT121" s="12">
        <f>IF('Données projet'!$A$140&gt;35,CT120+CS121-DB120,IF(A121&lt;'Données projet'!$A$140,$CQ$205^A121,IF(A121='Données projet'!$A$140,'Données projet'!$B$140,CT120+CS121-DB120)))</f>
        <v>342.99999999999966</v>
      </c>
      <c r="CU121" s="17">
        <f>CT121*VLOOKUP('Données projet'!$B$13,Paramètres!$A$1:$I$89,3,0)*VLOOKUP('Données projet'!$B$13,Paramètres!$A$1:$I$89,5,0)</f>
        <v>347.80199999999968</v>
      </c>
      <c r="CV121" s="13">
        <f t="shared" si="95"/>
        <v>81.109754402608502</v>
      </c>
      <c r="CW121" s="20">
        <f t="shared" si="67"/>
        <v>747.02130558454246</v>
      </c>
      <c r="CX121" s="59">
        <f t="shared" si="68"/>
        <v>1026.2186267958966</v>
      </c>
      <c r="CY121" s="59">
        <f ca="1">AVERAGE(OFFSET($CX$3,0,0,'Données projet'!$E$13+1,1))-AVERAGE(OFFSET($H$3,0,0,'Données projet'!$E$13+1,1))</f>
        <v>622.07867348539082</v>
      </c>
      <c r="CZ121" s="59">
        <f t="shared" si="96"/>
        <v>398.29010684041634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79.708087099772897</v>
      </c>
      <c r="DG121" s="21">
        <f>EXP(-LN(2)/25)*DG120+(1-EXP(-LN(2)/25))/(LN(2)/25)*Calculateur!DB121*Calculateur!DD121*VLOOKUP('Données projet'!$B$13,Paramètres!$A$1:$I$89,3,0)*0.475*44/12</f>
        <v>0</v>
      </c>
      <c r="DH121" s="21">
        <f>EXP(-LN(2)/2)*DH120+(1-EXP(-LN(2)/2))/(LN(2)/2)*DB121*DE121*VLOOKUP('Données projet'!$B$13,Paramètres!$A$1:$I$89,3,0)*0.475*44/12</f>
        <v>0</v>
      </c>
      <c r="DI121" s="22">
        <f t="shared" si="69"/>
        <v>79.708087099772897</v>
      </c>
      <c r="DJ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4.5000000000000115</v>
      </c>
      <c r="DO121" s="12">
        <f>IF('Données projet'!$A$166&gt;35,DO120+DN121-DW120,IF(A121&lt;'Données projet'!$A$166,$DL$205^A121,IF(A121='Données projet'!$A$166,'Données projet'!$B$166,DO120+DN121-DW120)))</f>
        <v>342.99999999999966</v>
      </c>
      <c r="DP121" s="17">
        <f>DO121*VLOOKUP('Données projet'!$B$14,Paramètres!$A$1:$I$89,3,0)*VLOOKUP('Données projet'!$B$14,Paramètres!$A$1:$I$89,5,0)</f>
        <v>326.39879999999971</v>
      </c>
      <c r="DQ121" s="13">
        <f t="shared" si="97"/>
        <v>76.683210401884025</v>
      </c>
      <c r="DR121" s="20">
        <f t="shared" si="70"/>
        <v>702.03450144994747</v>
      </c>
      <c r="DS121" s="59">
        <f t="shared" si="71"/>
        <v>981.23182266130163</v>
      </c>
      <c r="DT121" s="59">
        <f ca="1">AVERAGE(OFFSET($DS$3,0,0,'Données projet'!$E$14+1,1))-AVERAGE(OFFSET($H$3,0,0,'Données projet'!$E$14+1,1))</f>
        <v>590.05965493677377</v>
      </c>
      <c r="DU121" s="59">
        <f t="shared" si="98"/>
        <v>378.40640480134505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74.802974047479168</v>
      </c>
      <c r="EB121" s="21">
        <f>EXP(-LN(2)/25)*EB120+(1-EXP(-LN(2)/25))/(LN(2)/25)*Calculateur!DW121*Calculateur!DY121*VLOOKUP('Données projet'!$B$14,Paramètres!$A$1:$I$89,3,0)*0.475*44/12</f>
        <v>0</v>
      </c>
      <c r="EC121" s="21">
        <f>EXP(-LN(2)/2)*EC120+(1-EXP(-LN(2)/2))/(LN(2)/2)*DW121*DZ121*VLOOKUP('Données projet'!$B$14,Paramètres!$A$1:$I$89,3,0)*0.475*44/12</f>
        <v>0</v>
      </c>
      <c r="ED121" s="22">
        <f t="shared" si="72"/>
        <v>74.802974047479168</v>
      </c>
      <c r="EE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66.144723966732954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2">
        <f>'Scénario référence'!$B$16*5+'Scénario référence'!$B$17*0+'Scénario référence'!$B$18*5</f>
        <v>4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14.666666666666666</v>
      </c>
      <c r="H122" s="66">
        <f t="shared" si="56"/>
        <v>159.86666666666667</v>
      </c>
      <c r="I122" s="6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-2.9085640562698246E-14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140.03175887621094</v>
      </c>
      <c r="T122" s="59">
        <f t="shared" si="88"/>
        <v>377.29475975964954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12.118800765832086</v>
      </c>
      <c r="AA122" s="21">
        <f>EXP(-LN(2)/25)*AA121+(1-EXP(-LN(2)/25))/(LN(2)/25)*Calculateur!V122*Calculateur!X122*VLOOKUP('Données projet'!$B$9,Paramètres!$A$1:$I$89,3,0)*0.475*44/12</f>
        <v>0</v>
      </c>
      <c r="AB122" s="21">
        <f>EXP(-LN(2)/2)*AB121+(1-EXP(-LN(2)/2))/(LN(2)/2)*V122*Y122*VLOOKUP('Données projet'!$B$9,Paramètres!$A$1:$I$89,3,0)*0.475*44/12</f>
        <v>9.8513637382619598E-14</v>
      </c>
      <c r="AC122" s="22">
        <f t="shared" si="57"/>
        <v>12.118800765832184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-5.6843418860808015E-14</v>
      </c>
      <c r="AJ122" s="13">
        <f>AI122*VLOOKUP('Données projet'!$B$10,Paramètres!$A$1:$I$89,3,0)*VLOOKUP('Données projet'!$B$10,Paramètres!$A$1:$I$89,5,0)</f>
        <v>-2.8642261895583942E-14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138.27364731587764</v>
      </c>
      <c r="AO122" s="59">
        <f t="shared" si="90"/>
        <v>372.50391467700013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11.934062949279751</v>
      </c>
      <c r="AV122" s="21">
        <f>EXP(-LN(2)/25)*AV121+(1-EXP(-LN(2)/25))/(LN(2)/25)*Calculateur!AQ122*Calculateur!AS122*VLOOKUP('Données projet'!$B$10,Paramètres!$A$1:$I$89,3,0)*0.475*44/12</f>
        <v>0</v>
      </c>
      <c r="AW122" s="21">
        <f>EXP(-LN(2)/2)*AW121+(1-EXP(-LN(2)/2))/(LN(2)/2)*AQ122*AT122*VLOOKUP('Données projet'!$B$10,Paramètres!$A$1:$I$89,3,0)*0.475*44/12</f>
        <v>9.7011905105445421E-14</v>
      </c>
      <c r="AX122" s="21">
        <f t="shared" si="60"/>
        <v>11.934062949279848</v>
      </c>
      <c r="AY122" s="7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4.5000000000000115</v>
      </c>
      <c r="BD122" s="12">
        <f>IF('Données projet'!$A$88&gt;35,BD121+BC122-BL121,IF(A122&lt;'Données projet'!$A$88,$BA$205^A122,IF(A122='Données projet'!$A$88,'Données projet'!$B$88,BD121+BC122-BL121)))</f>
        <v>347.49999999999966</v>
      </c>
      <c r="BE122" s="13">
        <f>BD122*VLOOKUP('Données projet'!$B$11,Paramètres!$A$1:$I$89,3,0)*VLOOKUP('Données projet'!$B$11,Paramètres!$A$1:$I$89,5,0)</f>
        <v>363.20699999999971</v>
      </c>
      <c r="BF122" s="13">
        <f t="shared" si="91"/>
        <v>84.276079628620096</v>
      </c>
      <c r="BG122" s="20">
        <f t="shared" si="61"/>
        <v>779.36636368651273</v>
      </c>
      <c r="BH122" s="59">
        <f t="shared" si="62"/>
        <v>1058.8089131047946</v>
      </c>
      <c r="BI122" s="59">
        <f ca="1">AVERAGE(OFFSET($BH$3,0,0,'Données projet'!$E$11+1,1))-AVERAGE(OFFSET($H$3,0,0,'Données projet'!$E$11+1,1))</f>
        <v>638.07304290599211</v>
      </c>
      <c r="BJ122" s="59">
        <f t="shared" si="92"/>
        <v>408.22196233793511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80.549523517459804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80.549523517459804</v>
      </c>
      <c r="BT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4.5000000000000115</v>
      </c>
      <c r="BY122" s="12">
        <f>IF('Données projet'!$A$114&gt;35,BY121+BX122-CG121,IF(A122&lt;'Données projet'!$A$114,$BV$205^A122,IF(A122='Données projet'!$A$114,'Données projet'!$B$114,BY121+BX122-CG121)))</f>
        <v>347.49999999999966</v>
      </c>
      <c r="BZ122" s="13">
        <f>BY122*VLOOKUP('Données projet'!$B$12,Paramètres!$A$1:$I$89,3,0)*VLOOKUP('Données projet'!$B$12,Paramètres!$A$1:$I$89,5,0)</f>
        <v>395.73299999999961</v>
      </c>
      <c r="CA122" s="13">
        <f t="shared" si="93"/>
        <v>90.911057234062312</v>
      </c>
      <c r="CB122" s="20">
        <f t="shared" si="64"/>
        <v>847.57173301599107</v>
      </c>
      <c r="CC122" s="59">
        <f t="shared" si="65"/>
        <v>1127.0142824342729</v>
      </c>
      <c r="CD122" s="59">
        <f ca="1">AVERAGE(OFFSET($CC$3,0,0,'Données projet'!$E$12+1,1))-AVERAGE(OFFSET($H$3,0,0,'Données projet'!$E$12+1,1))</f>
        <v>685.99951993586967</v>
      </c>
      <c r="CE122" s="59">
        <f t="shared" si="94"/>
        <v>437.98014017823095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87.762913683202441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87.762913683202441</v>
      </c>
      <c r="CO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4.5000000000000115</v>
      </c>
      <c r="CT122" s="12">
        <f>IF('Données projet'!$A$140&gt;35,CT121+CS122-DB121,IF(A122&lt;'Données projet'!$A$140,$CQ$205^A122,IF(A122='Données projet'!$A$140,'Données projet'!$B$140,CT121+CS122-DB121)))</f>
        <v>347.49999999999966</v>
      </c>
      <c r="CU122" s="17">
        <f>CT122*VLOOKUP('Données projet'!$B$13,Paramètres!$A$1:$I$89,3,0)*VLOOKUP('Données projet'!$B$13,Paramètres!$A$1:$I$89,5,0)</f>
        <v>352.36499999999967</v>
      </c>
      <c r="CV122" s="13">
        <f t="shared" si="95"/>
        <v>82.049298267873496</v>
      </c>
      <c r="CW122" s="20">
        <f t="shared" si="67"/>
        <v>756.60490281654575</v>
      </c>
      <c r="CX122" s="59">
        <f t="shared" si="68"/>
        <v>1036.0474522348277</v>
      </c>
      <c r="CY122" s="59">
        <f ca="1">AVERAGE(OFFSET($CX$3,0,0,'Données projet'!$E$13+1,1))-AVERAGE(OFFSET($H$3,0,0,'Données projet'!$E$13+1,1))</f>
        <v>622.07867348539082</v>
      </c>
      <c r="CZ122" s="59">
        <f t="shared" si="96"/>
        <v>398.29010684041634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78.145060128878939</v>
      </c>
      <c r="DG122" s="21">
        <f>EXP(-LN(2)/25)*DG121+(1-EXP(-LN(2)/25))/(LN(2)/25)*Calculateur!DB122*Calculateur!DD122*VLOOKUP('Données projet'!$B$13,Paramètres!$A$1:$I$89,3,0)*0.475*44/12</f>
        <v>0</v>
      </c>
      <c r="DH122" s="21">
        <f>EXP(-LN(2)/2)*DH121+(1-EXP(-LN(2)/2))/(LN(2)/2)*DB122*DE122*VLOOKUP('Données projet'!$B$13,Paramètres!$A$1:$I$89,3,0)*0.475*44/12</f>
        <v>0</v>
      </c>
      <c r="DI122" s="22">
        <f t="shared" si="69"/>
        <v>78.145060128878939</v>
      </c>
      <c r="DJ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4.5000000000000115</v>
      </c>
      <c r="DO122" s="12">
        <f>IF('Données projet'!$A$166&gt;35,DO121+DN122-DW121,IF(A122&lt;'Données projet'!$A$166,$DL$205^A122,IF(A122='Données projet'!$A$166,'Données projet'!$B$166,DO121+DN122-DW121)))</f>
        <v>347.49999999999966</v>
      </c>
      <c r="DP122" s="17">
        <f>DO122*VLOOKUP('Données projet'!$B$14,Paramètres!$A$1:$I$89,3,0)*VLOOKUP('Données projet'!$B$14,Paramètres!$A$1:$I$89,5,0)</f>
        <v>330.6809999999997</v>
      </c>
      <c r="DQ122" s="13">
        <f t="shared" si="97"/>
        <v>77.571478902171805</v>
      </c>
      <c r="DR122" s="20">
        <f t="shared" si="70"/>
        <v>711.03973408794866</v>
      </c>
      <c r="DS122" s="59">
        <f t="shared" si="71"/>
        <v>990.48228350623049</v>
      </c>
      <c r="DT122" s="59">
        <f ca="1">AVERAGE(OFFSET($DS$3,0,0,'Données projet'!$E$14+1,1))-AVERAGE(OFFSET($H$3,0,0,'Données projet'!$E$14+1,1))</f>
        <v>590.05965493677377</v>
      </c>
      <c r="DU122" s="59">
        <f t="shared" si="98"/>
        <v>378.40640480134505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73.336133351717152</v>
      </c>
      <c r="EB122" s="21">
        <f>EXP(-LN(2)/25)*EB121+(1-EXP(-LN(2)/25))/(LN(2)/25)*Calculateur!DW122*Calculateur!DY122*VLOOKUP('Données projet'!$B$14,Paramètres!$A$1:$I$89,3,0)*0.475*44/12</f>
        <v>0</v>
      </c>
      <c r="EC122" s="21">
        <f>EXP(-LN(2)/2)*EC121+(1-EXP(-LN(2)/2))/(LN(2)/2)*DW122*DZ122*VLOOKUP('Données projet'!$B$14,Paramètres!$A$1:$I$89,3,0)*0.475*44/12</f>
        <v>0</v>
      </c>
      <c r="ED122" s="22">
        <f t="shared" si="72"/>
        <v>73.336133351717152</v>
      </c>
      <c r="EE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66.211604386804154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2">
        <f>'Scénario référence'!$B$16*5+'Scénario référence'!$B$17*0+'Scénario référence'!$B$18*5</f>
        <v>4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14.666666666666666</v>
      </c>
      <c r="H123" s="66">
        <f t="shared" si="56"/>
        <v>159.86666666666667</v>
      </c>
      <c r="I123" s="6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-2.9085640562698246E-14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140.03175887621094</v>
      </c>
      <c r="T123" s="59">
        <f t="shared" si="88"/>
        <v>377.29475975964954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11.881158474552713</v>
      </c>
      <c r="AA123" s="21">
        <f>EXP(-LN(2)/25)*AA122+(1-EXP(-LN(2)/25))/(LN(2)/25)*Calculateur!V123*Calculateur!X123*VLOOKUP('Données projet'!$B$9,Paramètres!$A$1:$I$89,3,0)*0.475*44/12</f>
        <v>0</v>
      </c>
      <c r="AB123" s="21">
        <f>EXP(-LN(2)/2)*AB122+(1-EXP(-LN(2)/2))/(LN(2)/2)*V123*Y123*VLOOKUP('Données projet'!$B$9,Paramètres!$A$1:$I$89,3,0)*0.475*44/12</f>
        <v>6.9659661032602884E-14</v>
      </c>
      <c r="AC123" s="22">
        <f t="shared" si="57"/>
        <v>11.881158474552782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-5.6843418860808015E-14</v>
      </c>
      <c r="AJ123" s="13">
        <f>AI123*VLOOKUP('Données projet'!$B$10,Paramètres!$A$1:$I$89,3,0)*VLOOKUP('Données projet'!$B$10,Paramètres!$A$1:$I$89,5,0)</f>
        <v>-2.8642261895583942E-14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138.27364731587764</v>
      </c>
      <c r="AO123" s="59">
        <f t="shared" si="90"/>
        <v>372.50391467700013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11.700043253904026</v>
      </c>
      <c r="AV123" s="21">
        <f>EXP(-LN(2)/25)*AV122+(1-EXP(-LN(2)/25))/(LN(2)/25)*Calculateur!AQ123*Calculateur!AS123*VLOOKUP('Données projet'!$B$10,Paramètres!$A$1:$I$89,3,0)*0.475*44/12</f>
        <v>0</v>
      </c>
      <c r="AW123" s="21">
        <f>EXP(-LN(2)/2)*AW122+(1-EXP(-LN(2)/2))/(LN(2)/2)*AQ123*AT123*VLOOKUP('Données projet'!$B$10,Paramètres!$A$1:$I$89,3,0)*0.475*44/12</f>
        <v>6.8597775955886307E-14</v>
      </c>
      <c r="AX123" s="21">
        <f t="shared" si="60"/>
        <v>11.700043253904095</v>
      </c>
      <c r="AY123" s="7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352</v>
      </c>
      <c r="BB123" s="12">
        <f>VLOOKUP(A123,'Données projet'!$A$87:$I$107,9,0)</f>
        <v>4.5000000000000115</v>
      </c>
      <c r="BC123" s="12">
        <f t="array" ref="BC123">INDEX(BB:BB,MIN(IF(ISNUMBER(BB123:BB319),ROW(BB123:BB319),"")))</f>
        <v>4.5000000000000115</v>
      </c>
      <c r="BD123" s="12">
        <f>IF('Données projet'!$A$88&gt;35,BD122+BC123-BL122,IF(A123&lt;'Données projet'!$A$88,$BA$205^A123,IF(A123='Données projet'!$A$88,'Données projet'!$B$88,BD122+BC123-BL122)))</f>
        <v>351.99999999999966</v>
      </c>
      <c r="BE123" s="13">
        <f>BD123*VLOOKUP('Données projet'!$B$11,Paramètres!$A$1:$I$89,3,0)*VLOOKUP('Données projet'!$B$11,Paramètres!$A$1:$I$89,5,0)</f>
        <v>367.91039999999964</v>
      </c>
      <c r="BF123" s="13">
        <f t="shared" si="91"/>
        <v>85.239668702551384</v>
      </c>
      <c r="BG123" s="20">
        <f t="shared" si="61"/>
        <v>789.23636965694311</v>
      </c>
      <c r="BH123" s="59">
        <f t="shared" si="62"/>
        <v>1068.9198931210108</v>
      </c>
      <c r="BI123" s="59">
        <f ca="1">AVERAGE(OFFSET($BH$3,0,0,'Données projet'!$E$11+1,1))-AVERAGE(OFFSET($H$3,0,0,'Données projet'!$E$11+1,1))</f>
        <v>638.07304290599211</v>
      </c>
      <c r="BJ123" s="59">
        <f t="shared" si="92"/>
        <v>408.22196233793511</v>
      </c>
      <c r="BK123" s="15">
        <f>IF(ISNA(VLOOKUP(A123,'Données projet'!$A$87:$I$107,3,0)),0,VLOOKUP(A123,'Données projet'!$A$87:$I$107,3,0))</f>
        <v>11</v>
      </c>
      <c r="BL123" s="15">
        <f>IF(ISNA(VLOOKUP(A123,'Données projet'!$A$87:$I$107,4,0)),0,VLOOKUP(A123,'Données projet'!$A$87:$I$107,4,0))</f>
        <v>47</v>
      </c>
      <c r="BM123" s="16">
        <f>IF(ISNA(VLOOKUP(A123,'Données projet'!$A$87:$I$107,5,0)),0%,VLOOKUP(A123,'Données projet'!$A$87:$I$107,5,0)*VLOOKUP('Données projet'!$B$11,Paramètres!$A$1:$I$89,7,0))</f>
        <v>0.36549999999999999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98.818682002196596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98.818682002196596</v>
      </c>
      <c r="BT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352</v>
      </c>
      <c r="BW123" s="12">
        <f>VLOOKUP(A123,'Données projet'!$A$113:$I$133,9,0)</f>
        <v>4.5000000000000115</v>
      </c>
      <c r="BX123" s="12">
        <f t="array" ref="BX123">INDEX(BW:BW,MIN(IF(ISNUMBER(BW123:BW319),ROW(BW123:BW319),"")))</f>
        <v>4.5000000000000115</v>
      </c>
      <c r="BY123" s="12">
        <f>IF('Données projet'!$A$114&gt;35,BY122+BX123-CG122,IF(A123&lt;'Données projet'!$A$114,$BV$205^A123,IF(A123='Données projet'!$A$114,'Données projet'!$B$114,BY122+BX123-CG122)))</f>
        <v>351.99999999999966</v>
      </c>
      <c r="BZ123" s="13">
        <f>BY123*VLOOKUP('Données projet'!$B$12,Paramètres!$A$1:$I$89,3,0)*VLOOKUP('Données projet'!$B$12,Paramètres!$A$1:$I$89,5,0)</f>
        <v>400.85759999999965</v>
      </c>
      <c r="CA123" s="13">
        <f t="shared" si="93"/>
        <v>91.950508782310905</v>
      </c>
      <c r="CB123" s="20">
        <f t="shared" si="64"/>
        <v>858.30745612919088</v>
      </c>
      <c r="CC123" s="59">
        <f t="shared" si="65"/>
        <v>1137.9909795932585</v>
      </c>
      <c r="CD123" s="59">
        <f ca="1">AVERAGE(OFFSET($CC$3,0,0,'Données projet'!$E$12+1,1))-AVERAGE(OFFSET($H$3,0,0,'Données projet'!$E$12+1,1))</f>
        <v>685.99951993586967</v>
      </c>
      <c r="CE123" s="59">
        <f t="shared" si="94"/>
        <v>437.98014017823095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47</v>
      </c>
      <c r="CH123" s="16">
        <f>IF(ISNA(VLOOKUP(A123,'Données projet'!$A$113:$I$133,5,0)),0%,VLOOKUP(A123,'Données projet'!$A$113:$I$133,5,0)*VLOOKUP('Données projet'!$B$12,Paramètres!$A$1:$I$89,7,0))</f>
        <v>0.36549999999999999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107.6681162113485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107.6681162113485</v>
      </c>
      <c r="CO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>
        <f>VLOOKUP(A123,'Données projet'!$A$139:$I$159,2,0)</f>
        <v>352</v>
      </c>
      <c r="CR123" s="12">
        <f>VLOOKUP(A123,'Données projet'!$A$139:$I$159,9,0)</f>
        <v>4.5000000000000115</v>
      </c>
      <c r="CS123" s="12">
        <f t="array" ref="CS123">INDEX(CR:CR,MIN(IF(ISNUMBER(CR123:CR319),ROW(CR123:CR319),"")))</f>
        <v>4.5000000000000115</v>
      </c>
      <c r="CT123" s="12">
        <f>IF('Données projet'!$A$140&gt;35,CT122+CS123-DB122,IF(A123&lt;'Données projet'!$A$140,$CQ$205^A123,IF(A123='Données projet'!$A$140,'Données projet'!$B$140,CT122+CS123-DB122)))</f>
        <v>351.99999999999966</v>
      </c>
      <c r="CU123" s="17">
        <f>CT123*VLOOKUP('Données projet'!$B$13,Paramètres!$A$1:$I$89,3,0)*VLOOKUP('Données projet'!$B$13,Paramètres!$A$1:$I$89,5,0)</f>
        <v>356.92799999999966</v>
      </c>
      <c r="CV123" s="13">
        <f t="shared" si="95"/>
        <v>82.987426947838912</v>
      </c>
      <c r="CW123" s="20">
        <f t="shared" si="67"/>
        <v>766.18603526748541</v>
      </c>
      <c r="CX123" s="59">
        <f t="shared" si="68"/>
        <v>1045.8695587315531</v>
      </c>
      <c r="CY123" s="59">
        <f ca="1">AVERAGE(OFFSET($CX$3,0,0,'Données projet'!$E$13+1,1))-AVERAGE(OFFSET($H$3,0,0,'Données projet'!$E$13+1,1))</f>
        <v>622.07867348539082</v>
      </c>
      <c r="CZ123" s="59">
        <f t="shared" si="96"/>
        <v>398.29010684041634</v>
      </c>
      <c r="DA123" s="15">
        <f>IF(ISNA(VLOOKUP(A123,'Données projet'!$A$139:$I$159,3,0)),0,VLOOKUP(A123,'Données projet'!$A$139:$I$159,3,0))</f>
        <v>11</v>
      </c>
      <c r="DB123" s="15">
        <f>IF(ISNA(VLOOKUP(A123,'Données projet'!$A$139:$I$159,4,0)),0,VLOOKUP(A123,'Données projet'!$A$139:$I$159,4,0))</f>
        <v>47</v>
      </c>
      <c r="DC123" s="16">
        <f>IF(ISNA(VLOOKUP(A123,'Données projet'!$A$139:$I$159,5,0)),0%,VLOOKUP(A123,'Données projet'!$A$139:$I$159,5,0)*VLOOKUP('Données projet'!$B$13,Paramètres!$A$1:$I$89,7,0))</f>
        <v>0.36549999999999999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95.868870599145978</v>
      </c>
      <c r="DG123" s="21">
        <f>EXP(-LN(2)/25)*DG122+(1-EXP(-LN(2)/25))/(LN(2)/25)*Calculateur!DB123*Calculateur!DD123*VLOOKUP('Données projet'!$B$13,Paramètres!$A$1:$I$89,3,0)*0.475*44/12</f>
        <v>0</v>
      </c>
      <c r="DH123" s="21">
        <f>EXP(-LN(2)/2)*DH122+(1-EXP(-LN(2)/2))/(LN(2)/2)*DB123*DE123*VLOOKUP('Données projet'!$B$13,Paramètres!$A$1:$I$89,3,0)*0.475*44/12</f>
        <v>0</v>
      </c>
      <c r="DI123" s="22">
        <f t="shared" si="69"/>
        <v>95.868870599145978</v>
      </c>
      <c r="DJ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>
        <f>VLOOKUP(A123,'Données projet'!$A$165:$I$185,2,0)</f>
        <v>352</v>
      </c>
      <c r="DM123" s="12">
        <f>VLOOKUP(A123,'Données projet'!$A$165:$I$185,9,0)</f>
        <v>4.5000000000000115</v>
      </c>
      <c r="DN123" s="12">
        <f t="array" ref="DN123">INDEX(DM:DM,MIN(IF(ISNUMBER(DM123:DM319),ROW(DM123:DM319),"")))</f>
        <v>4.5000000000000115</v>
      </c>
      <c r="DO123" s="12">
        <f>IF('Données projet'!$A$166&gt;35,DO122+DN123-DW122,IF(A123&lt;'Données projet'!$A$166,$DL$205^A123,IF(A123='Données projet'!$A$166,'Données projet'!$B$166,DO122+DN123-DW122)))</f>
        <v>351.99999999999966</v>
      </c>
      <c r="DP123" s="17">
        <f>DO123*VLOOKUP('Données projet'!$B$14,Paramètres!$A$1:$I$89,3,0)*VLOOKUP('Données projet'!$B$14,Paramètres!$A$1:$I$89,5,0)</f>
        <v>334.96319999999969</v>
      </c>
      <c r="DQ123" s="13">
        <f t="shared" si="97"/>
        <v>78.458409450533949</v>
      </c>
      <c r="DR123" s="20">
        <f t="shared" si="70"/>
        <v>720.04263645967933</v>
      </c>
      <c r="DS123" s="59">
        <f t="shared" si="71"/>
        <v>999.72615992374699</v>
      </c>
      <c r="DT123" s="59">
        <f ca="1">AVERAGE(OFFSET($DS$3,0,0,'Données projet'!$E$14+1,1))-AVERAGE(OFFSET($H$3,0,0,'Données projet'!$E$14+1,1))</f>
        <v>590.05965493677377</v>
      </c>
      <c r="DU123" s="59">
        <f t="shared" si="98"/>
        <v>378.40640480134505</v>
      </c>
      <c r="DV123" s="15">
        <f>IF(ISNA(VLOOKUP(A123,'Données projet'!$A$165:$I$185,3,0)),0,VLOOKUP(A123,'Données projet'!$A$165:$I$185,3,0))</f>
        <v>11</v>
      </c>
      <c r="DW123" s="15">
        <f>IF(ISNA(VLOOKUP(A123,'Données projet'!$A$165:$I$185,4,0)),0,VLOOKUP(A123,'Données projet'!$A$165:$I$185,4,0))</f>
        <v>47</v>
      </c>
      <c r="DX123" s="16">
        <f>IF(ISNA(VLOOKUP(A123,'Données projet'!$A$165:$I$185,5,0)),0%,VLOOKUP(A123,'Données projet'!$A$165:$I$185,5,0)*VLOOKUP('Données projet'!$B$14,Paramètres!$A$1:$I$89,7,0))</f>
        <v>0.36549999999999999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89.969247793044673</v>
      </c>
      <c r="EB123" s="21">
        <f>EXP(-LN(2)/25)*EB122+(1-EXP(-LN(2)/25))/(LN(2)/25)*Calculateur!DW123*Calculateur!DY123*VLOOKUP('Données projet'!$B$14,Paramètres!$A$1:$I$89,3,0)*0.475*44/12</f>
        <v>0</v>
      </c>
      <c r="EC123" s="21">
        <f>EXP(-LN(2)/2)*EC122+(1-EXP(-LN(2)/2))/(LN(2)/2)*DW123*DZ123*VLOOKUP('Données projet'!$B$14,Paramètres!$A$1:$I$89,3,0)*0.475*44/12</f>
        <v>0</v>
      </c>
      <c r="ED123" s="22">
        <f t="shared" si="72"/>
        <v>89.969247793044673</v>
      </c>
      <c r="EE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66.277324581109355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2">
        <f>'Scénario référence'!$B$16*5+'Scénario référence'!$B$17*0+'Scénario référence'!$B$18*5</f>
        <v>4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14.666666666666666</v>
      </c>
      <c r="H124" s="66">
        <f t="shared" si="56"/>
        <v>159.86666666666667</v>
      </c>
      <c r="I124" s="6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-2.9085640562698246E-14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140.03175887621094</v>
      </c>
      <c r="T124" s="59">
        <f t="shared" si="88"/>
        <v>377.29475975964954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11.648176203657842</v>
      </c>
      <c r="AA124" s="21">
        <f>EXP(-LN(2)/25)*AA123+(1-EXP(-LN(2)/25))/(LN(2)/25)*Calculateur!V124*Calculateur!X124*VLOOKUP('Données projet'!$B$9,Paramètres!$A$1:$I$89,3,0)*0.475*44/12</f>
        <v>0</v>
      </c>
      <c r="AB124" s="21">
        <f>EXP(-LN(2)/2)*AB123+(1-EXP(-LN(2)/2))/(LN(2)/2)*V124*Y124*VLOOKUP('Données projet'!$B$9,Paramètres!$A$1:$I$89,3,0)*0.475*44/12</f>
        <v>4.9256818691309799E-14</v>
      </c>
      <c r="AC124" s="22">
        <f t="shared" si="57"/>
        <v>11.648176203657892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-5.6843418860808015E-14</v>
      </c>
      <c r="AJ124" s="13">
        <f>AI124*VLOOKUP('Données projet'!$B$10,Paramètres!$A$1:$I$89,3,0)*VLOOKUP('Données projet'!$B$10,Paramètres!$A$1:$I$89,5,0)</f>
        <v>-2.8642261895583942E-14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138.27364731587764</v>
      </c>
      <c r="AO124" s="59">
        <f t="shared" si="90"/>
        <v>372.50391467700013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11.470612542016699</v>
      </c>
      <c r="AV124" s="21">
        <f>EXP(-LN(2)/25)*AV123+(1-EXP(-LN(2)/25))/(LN(2)/25)*Calculateur!AQ124*Calculateur!AS124*VLOOKUP('Données projet'!$B$10,Paramètres!$A$1:$I$89,3,0)*0.475*44/12</f>
        <v>0</v>
      </c>
      <c r="AW124" s="21">
        <f>EXP(-LN(2)/2)*AW123+(1-EXP(-LN(2)/2))/(LN(2)/2)*AQ124*AT124*VLOOKUP('Données projet'!$B$10,Paramètres!$A$1:$I$89,3,0)*0.475*44/12</f>
        <v>4.850595255272271E-14</v>
      </c>
      <c r="AX124" s="21">
        <f t="shared" si="60"/>
        <v>11.470612542016747</v>
      </c>
      <c r="AY124" s="7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4.0999999999999943</v>
      </c>
      <c r="BD124" s="12">
        <f>IF('Données projet'!$A$88&gt;35,BD123+BC124-BL123,IF(A124&lt;'Données projet'!$A$88,$BA$205^A124,IF(A124='Données projet'!$A$88,'Données projet'!$B$88,BD123+BC124-BL123)))</f>
        <v>309.09999999999968</v>
      </c>
      <c r="BE124" s="13">
        <f>BD124*VLOOKUP('Données projet'!$B$11,Paramètres!$A$1:$I$89,3,0)*VLOOKUP('Données projet'!$B$11,Paramètres!$A$1:$I$89,5,0)</f>
        <v>323.07131999999973</v>
      </c>
      <c r="BF124" s="13">
        <f t="shared" si="91"/>
        <v>75.992045818015569</v>
      </c>
      <c r="BG124" s="20">
        <f t="shared" si="61"/>
        <v>695.03536213304324</v>
      </c>
      <c r="BH124" s="59">
        <f t="shared" si="62"/>
        <v>974.95567928193941</v>
      </c>
      <c r="BI124" s="59">
        <f ca="1">AVERAGE(OFFSET($BH$3,0,0,'Données projet'!$E$11+1,1))-AVERAGE(OFFSET($H$3,0,0,'Données projet'!$E$11+1,1))</f>
        <v>638.07304290599211</v>
      </c>
      <c r="BJ124" s="59">
        <f t="shared" si="92"/>
        <v>408.22196233793511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96.880907921578029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96.880907921578029</v>
      </c>
      <c r="BT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4.0999999999999943</v>
      </c>
      <c r="BY124" s="12">
        <f>IF('Données projet'!$A$114&gt;35,BY123+BX124-CG123,IF(A124&lt;'Données projet'!$A$114,$BV$205^A124,IF(A124='Données projet'!$A$114,'Données projet'!$B$114,BY123+BX124-CG123)))</f>
        <v>309.09999999999968</v>
      </c>
      <c r="BZ124" s="13">
        <f>BY124*VLOOKUP('Données projet'!$B$12,Paramètres!$A$1:$I$89,3,0)*VLOOKUP('Données projet'!$B$12,Paramètres!$A$1:$I$89,5,0)</f>
        <v>352.00307999999967</v>
      </c>
      <c r="CA124" s="13">
        <f t="shared" si="93"/>
        <v>81.974829122793906</v>
      </c>
      <c r="CB124" s="20">
        <f t="shared" si="64"/>
        <v>755.8448583888653</v>
      </c>
      <c r="CC124" s="59">
        <f t="shared" si="65"/>
        <v>1035.7651755377615</v>
      </c>
      <c r="CD124" s="59">
        <f ca="1">AVERAGE(OFFSET($CC$3,0,0,'Données projet'!$E$12+1,1))-AVERAGE(OFFSET($H$3,0,0,'Données projet'!$E$12+1,1))</f>
        <v>685.99951993586967</v>
      </c>
      <c r="CE124" s="59">
        <f t="shared" si="94"/>
        <v>437.98014017823095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105.55681012351037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105.55681012351037</v>
      </c>
      <c r="CO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4.0999999999999943</v>
      </c>
      <c r="CT124" s="12">
        <f>IF('Données projet'!$A$140&gt;35,CT123+CS124-DB123,IF(A124&lt;'Données projet'!$A$140,$CQ$205^A124,IF(A124='Données projet'!$A$140,'Données projet'!$B$140,CT123+CS124-DB123)))</f>
        <v>309.09999999999968</v>
      </c>
      <c r="CU124" s="17">
        <f>CT124*VLOOKUP('Données projet'!$B$13,Paramètres!$A$1:$I$89,3,0)*VLOOKUP('Données projet'!$B$13,Paramètres!$A$1:$I$89,5,0)</f>
        <v>313.42739999999969</v>
      </c>
      <c r="CV124" s="13">
        <f t="shared" si="95"/>
        <v>73.984149011018303</v>
      </c>
      <c r="CW124" s="20">
        <f t="shared" si="67"/>
        <v>674.74178119418968</v>
      </c>
      <c r="CX124" s="59">
        <f t="shared" si="68"/>
        <v>954.66209834308597</v>
      </c>
      <c r="CY124" s="59">
        <f ca="1">AVERAGE(OFFSET($CX$3,0,0,'Données projet'!$E$13+1,1))-AVERAGE(OFFSET($H$3,0,0,'Données projet'!$E$13+1,1))</f>
        <v>622.07867348539082</v>
      </c>
      <c r="CZ124" s="59">
        <f t="shared" si="96"/>
        <v>398.29010684041634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93.988940520933937</v>
      </c>
      <c r="DG124" s="21">
        <f>EXP(-LN(2)/25)*DG123+(1-EXP(-LN(2)/25))/(LN(2)/25)*Calculateur!DB124*Calculateur!DD124*VLOOKUP('Données projet'!$B$13,Paramètres!$A$1:$I$89,3,0)*0.475*44/12</f>
        <v>0</v>
      </c>
      <c r="DH124" s="21">
        <f>EXP(-LN(2)/2)*DH123+(1-EXP(-LN(2)/2))/(LN(2)/2)*DB124*DE124*VLOOKUP('Données projet'!$B$13,Paramètres!$A$1:$I$89,3,0)*0.475*44/12</f>
        <v>0</v>
      </c>
      <c r="DI124" s="22">
        <f t="shared" si="69"/>
        <v>93.988940520933937</v>
      </c>
      <c r="DJ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4.0999999999999943</v>
      </c>
      <c r="DO124" s="12">
        <f>IF('Données projet'!$A$166&gt;35,DO123+DN124-DW123,IF(A124&lt;'Données projet'!$A$166,$DL$205^A124,IF(A124='Données projet'!$A$166,'Données projet'!$B$166,DO123+DN124-DW123)))</f>
        <v>309.09999999999968</v>
      </c>
      <c r="DP124" s="17">
        <f>DO124*VLOOKUP('Données projet'!$B$14,Paramètres!$A$1:$I$89,3,0)*VLOOKUP('Données projet'!$B$14,Paramètres!$A$1:$I$89,5,0)</f>
        <v>294.13955999999968</v>
      </c>
      <c r="DQ124" s="13">
        <f t="shared" si="97"/>
        <v>69.946483093207291</v>
      </c>
      <c r="DR124" s="20">
        <f t="shared" si="70"/>
        <v>634.11652505400218</v>
      </c>
      <c r="DS124" s="59">
        <f t="shared" si="71"/>
        <v>914.03684220289847</v>
      </c>
      <c r="DT124" s="59">
        <f ca="1">AVERAGE(OFFSET($DS$3,0,0,'Données projet'!$E$14+1,1))-AVERAGE(OFFSET($H$3,0,0,'Données projet'!$E$14+1,1))</f>
        <v>590.05965493677377</v>
      </c>
      <c r="DU124" s="59">
        <f t="shared" si="98"/>
        <v>378.40640480134505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88.205005719645683</v>
      </c>
      <c r="EB124" s="21">
        <f>EXP(-LN(2)/25)*EB123+(1-EXP(-LN(2)/25))/(LN(2)/25)*Calculateur!DW124*Calculateur!DY124*VLOOKUP('Données projet'!$B$14,Paramètres!$A$1:$I$89,3,0)*0.475*44/12</f>
        <v>0</v>
      </c>
      <c r="EC124" s="21">
        <f>EXP(-LN(2)/2)*EC123+(1-EXP(-LN(2)/2))/(LN(2)/2)*DW124*DZ124*VLOOKUP('Données projet'!$B$14,Paramètres!$A$1:$I$89,3,0)*0.475*44/12</f>
        <v>0</v>
      </c>
      <c r="ED124" s="22">
        <f t="shared" si="72"/>
        <v>88.205005719645683</v>
      </c>
      <c r="EE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66.341904676971694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2">
        <f>'Scénario référence'!$B$16*5+'Scénario référence'!$B$17*0+'Scénario référence'!$B$18*5</f>
        <v>4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14.666666666666666</v>
      </c>
      <c r="H125" s="66">
        <f t="shared" si="56"/>
        <v>159.86666666666667</v>
      </c>
      <c r="I125" s="6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-2.9085640562698246E-14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140.03175887621094</v>
      </c>
      <c r="T125" s="59">
        <f t="shared" si="88"/>
        <v>377.29475975964954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11.419762572990066</v>
      </c>
      <c r="AA125" s="21">
        <f>EXP(-LN(2)/25)*AA124+(1-EXP(-LN(2)/25))/(LN(2)/25)*Calculateur!V125*Calculateur!X125*VLOOKUP('Données projet'!$B$9,Paramètres!$A$1:$I$89,3,0)*0.475*44/12</f>
        <v>0</v>
      </c>
      <c r="AB125" s="21">
        <f>EXP(-LN(2)/2)*AB124+(1-EXP(-LN(2)/2))/(LN(2)/2)*V125*Y125*VLOOKUP('Données projet'!$B$9,Paramètres!$A$1:$I$89,3,0)*0.475*44/12</f>
        <v>3.4829830516301442E-14</v>
      </c>
      <c r="AC125" s="22">
        <f t="shared" si="57"/>
        <v>11.419762572990102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-5.6843418860808015E-14</v>
      </c>
      <c r="AJ125" s="13">
        <f>AI125*VLOOKUP('Données projet'!$B$10,Paramètres!$A$1:$I$89,3,0)*VLOOKUP('Données projet'!$B$10,Paramètres!$A$1:$I$89,5,0)</f>
        <v>-2.8642261895583942E-14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138.27364731587764</v>
      </c>
      <c r="AO125" s="59">
        <f t="shared" si="90"/>
        <v>372.50391467700013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11.245680826450567</v>
      </c>
      <c r="AV125" s="21">
        <f>EXP(-LN(2)/25)*AV124+(1-EXP(-LN(2)/25))/(LN(2)/25)*Calculateur!AQ125*Calculateur!AS125*VLOOKUP('Données projet'!$B$10,Paramètres!$A$1:$I$89,3,0)*0.475*44/12</f>
        <v>0</v>
      </c>
      <c r="AW125" s="21">
        <f>EXP(-LN(2)/2)*AW124+(1-EXP(-LN(2)/2))/(LN(2)/2)*AQ125*AT125*VLOOKUP('Données projet'!$B$10,Paramètres!$A$1:$I$89,3,0)*0.475*44/12</f>
        <v>3.4298887977943154E-14</v>
      </c>
      <c r="AX125" s="21">
        <f t="shared" si="60"/>
        <v>11.245680826450601</v>
      </c>
      <c r="AY125" s="7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4.0999999999999943</v>
      </c>
      <c r="BD125" s="12">
        <f>IF('Données projet'!$A$88&gt;35,BD124+BC125-BL124,IF(A125&lt;'Données projet'!$A$88,$BA$205^A125,IF(A125='Données projet'!$A$88,'Données projet'!$B$88,BD124+BC125-BL124)))</f>
        <v>313.1999999999997</v>
      </c>
      <c r="BE125" s="13">
        <f>BD125*VLOOKUP('Données projet'!$B$11,Paramètres!$A$1:$I$89,3,0)*VLOOKUP('Données projet'!$B$11,Paramètres!$A$1:$I$89,5,0)</f>
        <v>327.35663999999974</v>
      </c>
      <c r="BF125" s="13">
        <f t="shared" si="91"/>
        <v>76.882014947633721</v>
      </c>
      <c r="BG125" s="20">
        <f t="shared" si="61"/>
        <v>704.04899070046156</v>
      </c>
      <c r="BH125" s="59">
        <f t="shared" si="62"/>
        <v>984.20199369314594</v>
      </c>
      <c r="BI125" s="59">
        <f ca="1">AVERAGE(OFFSET($BH$3,0,0,'Données projet'!$E$11+1,1))-AVERAGE(OFFSET($H$3,0,0,'Données projet'!$E$11+1,1))</f>
        <v>638.07304290599211</v>
      </c>
      <c r="BJ125" s="59">
        <f t="shared" si="92"/>
        <v>408.22196233793511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94.981132408754917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94.981132408754917</v>
      </c>
      <c r="BT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4.0999999999999943</v>
      </c>
      <c r="BY125" s="12">
        <f>IF('Données projet'!$A$114&gt;35,BY124+BX125-CG124,IF(A125&lt;'Données projet'!$A$114,$BV$205^A125,IF(A125='Données projet'!$A$114,'Données projet'!$B$114,BY124+BX125-CG124)))</f>
        <v>313.1999999999997</v>
      </c>
      <c r="BZ125" s="13">
        <f>BY125*VLOOKUP('Données projet'!$B$12,Paramètres!$A$1:$I$89,3,0)*VLOOKUP('Données projet'!$B$12,Paramètres!$A$1:$I$89,5,0)</f>
        <v>356.67215999999968</v>
      </c>
      <c r="CA125" s="13">
        <f t="shared" si="93"/>
        <v>82.93486469677643</v>
      </c>
      <c r="CB125" s="20">
        <f t="shared" si="64"/>
        <v>765.64890134688494</v>
      </c>
      <c r="CC125" s="59">
        <f t="shared" si="65"/>
        <v>1045.8019043395693</v>
      </c>
      <c r="CD125" s="59">
        <f ca="1">AVERAGE(OFFSET($CC$3,0,0,'Données projet'!$E$12+1,1))-AVERAGE(OFFSET($H$3,0,0,'Données projet'!$E$12+1,1))</f>
        <v>685.99951993586967</v>
      </c>
      <c r="CE125" s="59">
        <f t="shared" si="94"/>
        <v>437.98014017823095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103.48690546028519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103.48690546028519</v>
      </c>
      <c r="CO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4.0999999999999943</v>
      </c>
      <c r="CT125" s="12">
        <f>IF('Données projet'!$A$140&gt;35,CT124+CS125-DB124,IF(A125&lt;'Données projet'!$A$140,$CQ$205^A125,IF(A125='Données projet'!$A$140,'Données projet'!$B$140,CT124+CS125-DB124)))</f>
        <v>313.1999999999997</v>
      </c>
      <c r="CU125" s="17">
        <f>CT125*VLOOKUP('Données projet'!$B$13,Paramètres!$A$1:$I$89,3,0)*VLOOKUP('Données projet'!$B$13,Paramètres!$A$1:$I$89,5,0)</f>
        <v>317.58479999999975</v>
      </c>
      <c r="CV125" s="13">
        <f t="shared" si="95"/>
        <v>74.85060296671989</v>
      </c>
      <c r="CW125" s="20">
        <f t="shared" si="67"/>
        <v>683.49166016703657</v>
      </c>
      <c r="CX125" s="59">
        <f t="shared" si="68"/>
        <v>963.64466315972095</v>
      </c>
      <c r="CY125" s="59">
        <f ca="1">AVERAGE(OFFSET($CX$3,0,0,'Données projet'!$E$13+1,1))-AVERAGE(OFFSET($H$3,0,0,'Données projet'!$E$13+1,1))</f>
        <v>622.07867348539082</v>
      </c>
      <c r="CZ125" s="59">
        <f t="shared" si="96"/>
        <v>398.29010684041634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92.145874724911508</v>
      </c>
      <c r="DG125" s="21">
        <f>EXP(-LN(2)/25)*DG124+(1-EXP(-LN(2)/25))/(LN(2)/25)*Calculateur!DB125*Calculateur!DD125*VLOOKUP('Données projet'!$B$13,Paramètres!$A$1:$I$89,3,0)*0.475*44/12</f>
        <v>0</v>
      </c>
      <c r="DH125" s="21">
        <f>EXP(-LN(2)/2)*DH124+(1-EXP(-LN(2)/2))/(LN(2)/2)*DB125*DE125*VLOOKUP('Données projet'!$B$13,Paramètres!$A$1:$I$89,3,0)*0.475*44/12</f>
        <v>0</v>
      </c>
      <c r="DI125" s="22">
        <f t="shared" si="69"/>
        <v>92.145874724911508</v>
      </c>
      <c r="DJ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4.0999999999999943</v>
      </c>
      <c r="DO125" s="12">
        <f>IF('Données projet'!$A$166&gt;35,DO124+DN125-DW124,IF(A125&lt;'Données projet'!$A$166,$DL$205^A125,IF(A125='Données projet'!$A$166,'Données projet'!$B$166,DO124+DN125-DW124)))</f>
        <v>313.1999999999997</v>
      </c>
      <c r="DP125" s="17">
        <f>DO125*VLOOKUP('Données projet'!$B$14,Paramètres!$A$1:$I$89,3,0)*VLOOKUP('Données projet'!$B$14,Paramètres!$A$1:$I$89,5,0)</f>
        <v>298.04111999999975</v>
      </c>
      <c r="DQ125" s="13">
        <f t="shared" si="97"/>
        <v>70.765650546961453</v>
      </c>
      <c r="DR125" s="20">
        <f t="shared" si="70"/>
        <v>642.33845870262405</v>
      </c>
      <c r="DS125" s="59">
        <f t="shared" si="71"/>
        <v>922.49146169530843</v>
      </c>
      <c r="DT125" s="59">
        <f ca="1">AVERAGE(OFFSET($DS$3,0,0,'Données projet'!$E$14+1,1))-AVERAGE(OFFSET($H$3,0,0,'Données projet'!$E$14+1,1))</f>
        <v>590.05965493677377</v>
      </c>
      <c r="DU125" s="59">
        <f t="shared" si="98"/>
        <v>378.40640480134505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86.475359357224633</v>
      </c>
      <c r="EB125" s="21">
        <f>EXP(-LN(2)/25)*EB124+(1-EXP(-LN(2)/25))/(LN(2)/25)*Calculateur!DW125*Calculateur!DY125*VLOOKUP('Données projet'!$B$14,Paramètres!$A$1:$I$89,3,0)*0.475*44/12</f>
        <v>0</v>
      </c>
      <c r="EC125" s="21">
        <f>EXP(-LN(2)/2)*EC124+(1-EXP(-LN(2)/2))/(LN(2)/2)*DW125*DZ125*VLOOKUP('Données projet'!$B$14,Paramètres!$A$1:$I$89,3,0)*0.475*44/12</f>
        <v>0</v>
      </c>
      <c r="ED125" s="22">
        <f t="shared" si="72"/>
        <v>86.475359357224633</v>
      </c>
      <c r="EE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66.405364452550288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2">
        <f>'Scénario référence'!$B$16*5+'Scénario référence'!$B$17*0+'Scénario référence'!$B$18*5</f>
        <v>4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14.666666666666666</v>
      </c>
      <c r="H126" s="66">
        <f t="shared" si="56"/>
        <v>159.86666666666667</v>
      </c>
      <c r="I126" s="6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-2.9085640562698246E-14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140.03175887621094</v>
      </c>
      <c r="T126" s="59">
        <f t="shared" si="88"/>
        <v>377.29475975964954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11.195827994301128</v>
      </c>
      <c r="AA126" s="21">
        <f>EXP(-LN(2)/25)*AA125+(1-EXP(-LN(2)/25))/(LN(2)/25)*Calculateur!V126*Calculateur!X126*VLOOKUP('Données projet'!$B$9,Paramètres!$A$1:$I$89,3,0)*0.475*44/12</f>
        <v>0</v>
      </c>
      <c r="AB126" s="21">
        <f>EXP(-LN(2)/2)*AB125+(1-EXP(-LN(2)/2))/(LN(2)/2)*V126*Y126*VLOOKUP('Données projet'!$B$9,Paramètres!$A$1:$I$89,3,0)*0.475*44/12</f>
        <v>2.46284093456549E-14</v>
      </c>
      <c r="AC126" s="22">
        <f t="shared" si="57"/>
        <v>11.195827994301153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-5.6843418860808015E-14</v>
      </c>
      <c r="AJ126" s="13">
        <f>AI126*VLOOKUP('Données projet'!$B$10,Paramètres!$A$1:$I$89,3,0)*VLOOKUP('Données projet'!$B$10,Paramètres!$A$1:$I$89,5,0)</f>
        <v>-2.8642261895583942E-14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138.27364731587764</v>
      </c>
      <c r="AO126" s="59">
        <f t="shared" si="90"/>
        <v>372.50391467700013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11.025159884631886</v>
      </c>
      <c r="AV126" s="21">
        <f>EXP(-LN(2)/25)*AV125+(1-EXP(-LN(2)/25))/(LN(2)/25)*Calculateur!AQ126*Calculateur!AS126*VLOOKUP('Données projet'!$B$10,Paramètres!$A$1:$I$89,3,0)*0.475*44/12</f>
        <v>0</v>
      </c>
      <c r="AW126" s="21">
        <f>EXP(-LN(2)/2)*AW125+(1-EXP(-LN(2)/2))/(LN(2)/2)*AQ126*AT126*VLOOKUP('Données projet'!$B$10,Paramètres!$A$1:$I$89,3,0)*0.475*44/12</f>
        <v>2.4252976276361355E-14</v>
      </c>
      <c r="AX126" s="21">
        <f t="shared" si="60"/>
        <v>11.025159884631911</v>
      </c>
      <c r="AY126" s="7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4.0999999999999943</v>
      </c>
      <c r="BD126" s="12">
        <f>IF('Données projet'!$A$88&gt;35,BD125+BC126-BL125,IF(A126&lt;'Données projet'!$A$88,$BA$205^A126,IF(A126='Données projet'!$A$88,'Données projet'!$B$88,BD125+BC126-BL125)))</f>
        <v>317.29999999999973</v>
      </c>
      <c r="BE126" s="13">
        <f>BD126*VLOOKUP('Données projet'!$B$11,Paramètres!$A$1:$I$89,3,0)*VLOOKUP('Données projet'!$B$11,Paramètres!$A$1:$I$89,5,0)</f>
        <v>331.64195999999976</v>
      </c>
      <c r="BF126" s="13">
        <f t="shared" si="91"/>
        <v>77.770628974255516</v>
      </c>
      <c r="BG126" s="20">
        <f t="shared" si="61"/>
        <v>713.06025913016128</v>
      </c>
      <c r="BH126" s="59">
        <f t="shared" si="62"/>
        <v>993.44191138745168</v>
      </c>
      <c r="BI126" s="59">
        <f ca="1">AVERAGE(OFFSET($BH$3,0,0,'Données projet'!$E$11+1,1))-AVERAGE(OFFSET($H$3,0,0,'Données projet'!$E$11+1,1))</f>
        <v>638.07304290599211</v>
      </c>
      <c r="BJ126" s="59">
        <f t="shared" si="92"/>
        <v>408.22196233793511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93.118610334989611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93.118610334989611</v>
      </c>
      <c r="BT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4.0999999999999943</v>
      </c>
      <c r="BY126" s="12">
        <f>IF('Données projet'!$A$114&gt;35,BY125+BX126-CG125,IF(A126&lt;'Données projet'!$A$114,$BV$205^A126,IF(A126='Données projet'!$A$114,'Données projet'!$B$114,BY125+BX126-CG125)))</f>
        <v>317.29999999999973</v>
      </c>
      <c r="BZ126" s="13">
        <f>BY126*VLOOKUP('Données projet'!$B$12,Paramètres!$A$1:$I$89,3,0)*VLOOKUP('Données projet'!$B$12,Paramètres!$A$1:$I$89,5,0)</f>
        <v>361.34123999999969</v>
      </c>
      <c r="CA126" s="13">
        <f t="shared" si="93"/>
        <v>83.893438481760256</v>
      </c>
      <c r="CB126" s="20">
        <f t="shared" si="64"/>
        <v>775.45039835573198</v>
      </c>
      <c r="CC126" s="59">
        <f t="shared" si="65"/>
        <v>1055.8320506130224</v>
      </c>
      <c r="CD126" s="59">
        <f ca="1">AVERAGE(OFFSET($CC$3,0,0,'Données projet'!$E$12+1,1))-AVERAGE(OFFSET($H$3,0,0,'Données projet'!$E$12+1,1))</f>
        <v>685.99951993586967</v>
      </c>
      <c r="CE126" s="59">
        <f t="shared" si="94"/>
        <v>437.98014017823095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101.45759036498866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101.45759036498866</v>
      </c>
      <c r="CO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4.0999999999999943</v>
      </c>
      <c r="CT126" s="12">
        <f>IF('Données projet'!$A$140&gt;35,CT125+CS126-DB125,IF(A126&lt;'Données projet'!$A$140,$CQ$205^A126,IF(A126='Données projet'!$A$140,'Données projet'!$B$140,CT125+CS126-DB125)))</f>
        <v>317.29999999999973</v>
      </c>
      <c r="CU126" s="17">
        <f>CT126*VLOOKUP('Données projet'!$B$13,Paramètres!$A$1:$I$89,3,0)*VLOOKUP('Données projet'!$B$13,Paramètres!$A$1:$I$89,5,0)</f>
        <v>321.74219999999974</v>
      </c>
      <c r="CV126" s="13">
        <f t="shared" si="95"/>
        <v>75.715737624580058</v>
      </c>
      <c r="CW126" s="20">
        <f t="shared" si="67"/>
        <v>692.23924136280982</v>
      </c>
      <c r="CX126" s="59">
        <f t="shared" si="68"/>
        <v>972.62089362010033</v>
      </c>
      <c r="CY126" s="59">
        <f ca="1">AVERAGE(OFFSET($CX$3,0,0,'Données projet'!$E$13+1,1))-AVERAGE(OFFSET($H$3,0,0,'Données projet'!$E$13+1,1))</f>
        <v>622.07867348539082</v>
      </c>
      <c r="CZ126" s="59">
        <f t="shared" si="96"/>
        <v>398.29010684041634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90.338950324989952</v>
      </c>
      <c r="DG126" s="21">
        <f>EXP(-LN(2)/25)*DG125+(1-EXP(-LN(2)/25))/(LN(2)/25)*Calculateur!DB126*Calculateur!DD126*VLOOKUP('Données projet'!$B$13,Paramètres!$A$1:$I$89,3,0)*0.475*44/12</f>
        <v>0</v>
      </c>
      <c r="DH126" s="21">
        <f>EXP(-LN(2)/2)*DH125+(1-EXP(-LN(2)/2))/(LN(2)/2)*DB126*DE126*VLOOKUP('Données projet'!$B$13,Paramètres!$A$1:$I$89,3,0)*0.475*44/12</f>
        <v>0</v>
      </c>
      <c r="DI126" s="22">
        <f t="shared" si="69"/>
        <v>90.338950324989952</v>
      </c>
      <c r="DJ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4.0999999999999943</v>
      </c>
      <c r="DO126" s="12">
        <f>IF('Données projet'!$A$166&gt;35,DO125+DN126-DW125,IF(A126&lt;'Données projet'!$A$166,$DL$205^A126,IF(A126='Données projet'!$A$166,'Données projet'!$B$166,DO125+DN126-DW125)))</f>
        <v>317.29999999999973</v>
      </c>
      <c r="DP126" s="17">
        <f>DO126*VLOOKUP('Données projet'!$B$14,Paramètres!$A$1:$I$89,3,0)*VLOOKUP('Données projet'!$B$14,Paramètres!$A$1:$I$89,5,0)</f>
        <v>301.94267999999977</v>
      </c>
      <c r="DQ126" s="13">
        <f t="shared" si="97"/>
        <v>71.583570703214875</v>
      </c>
      <c r="DR126" s="20">
        <f t="shared" si="70"/>
        <v>650.55821997476539</v>
      </c>
      <c r="DS126" s="59">
        <f t="shared" si="71"/>
        <v>930.9398722320559</v>
      </c>
      <c r="DT126" s="59">
        <f ca="1">AVERAGE(OFFSET($DS$3,0,0,'Données projet'!$E$14+1,1))-AVERAGE(OFFSET($H$3,0,0,'Données projet'!$E$14+1,1))</f>
        <v>590.05965493677377</v>
      </c>
      <c r="DU126" s="59">
        <f t="shared" si="98"/>
        <v>378.40640480134505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84.779630304990548</v>
      </c>
      <c r="EB126" s="21">
        <f>EXP(-LN(2)/25)*EB125+(1-EXP(-LN(2)/25))/(LN(2)/25)*Calculateur!DW126*Calculateur!DY126*VLOOKUP('Données projet'!$B$14,Paramètres!$A$1:$I$89,3,0)*0.475*44/12</f>
        <v>0</v>
      </c>
      <c r="EC126" s="21">
        <f>EXP(-LN(2)/2)*EC125+(1-EXP(-LN(2)/2))/(LN(2)/2)*DW126*DZ126*VLOOKUP('Données projet'!$B$14,Paramètres!$A$1:$I$89,3,0)*0.475*44/12</f>
        <v>0</v>
      </c>
      <c r="ED126" s="22">
        <f t="shared" si="72"/>
        <v>84.779630304990548</v>
      </c>
      <c r="EE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66.467723342897401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2">
        <f>'Scénario référence'!$B$16*5+'Scénario référence'!$B$17*0+'Scénario référence'!$B$18*5</f>
        <v>4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14.666666666666666</v>
      </c>
      <c r="H127" s="66">
        <f t="shared" si="56"/>
        <v>159.86666666666667</v>
      </c>
      <c r="I127" s="6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-2.9085640562698246E-14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140.03175887621094</v>
      </c>
      <c r="T127" s="59">
        <f t="shared" si="88"/>
        <v>377.29475975964954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10.976284636113673</v>
      </c>
      <c r="AA127" s="21">
        <f>EXP(-LN(2)/25)*AA126+(1-EXP(-LN(2)/25))/(LN(2)/25)*Calculateur!V127*Calculateur!X127*VLOOKUP('Données projet'!$B$9,Paramètres!$A$1:$I$89,3,0)*0.475*44/12</f>
        <v>0</v>
      </c>
      <c r="AB127" s="21">
        <f>EXP(-LN(2)/2)*AB126+(1-EXP(-LN(2)/2))/(LN(2)/2)*V127*Y127*VLOOKUP('Données projet'!$B$9,Paramètres!$A$1:$I$89,3,0)*0.475*44/12</f>
        <v>1.7414915258150721E-14</v>
      </c>
      <c r="AC127" s="22">
        <f t="shared" si="57"/>
        <v>10.976284636113691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-5.6843418860808015E-14</v>
      </c>
      <c r="AJ127" s="13">
        <f>AI127*VLOOKUP('Données projet'!$B$10,Paramètres!$A$1:$I$89,3,0)*VLOOKUP('Données projet'!$B$10,Paramètres!$A$1:$I$89,5,0)</f>
        <v>-2.8642261895583942E-14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138.27364731587764</v>
      </c>
      <c r="AO127" s="59">
        <f t="shared" si="90"/>
        <v>372.50391467700013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10.808963223977777</v>
      </c>
      <c r="AV127" s="21">
        <f>EXP(-LN(2)/25)*AV126+(1-EXP(-LN(2)/25))/(LN(2)/25)*Calculateur!AQ127*Calculateur!AS127*VLOOKUP('Données projet'!$B$10,Paramètres!$A$1:$I$89,3,0)*0.475*44/12</f>
        <v>0</v>
      </c>
      <c r="AW127" s="21">
        <f>EXP(-LN(2)/2)*AW126+(1-EXP(-LN(2)/2))/(LN(2)/2)*AQ127*AT127*VLOOKUP('Données projet'!$B$10,Paramètres!$A$1:$I$89,3,0)*0.475*44/12</f>
        <v>1.7149443988971577E-14</v>
      </c>
      <c r="AX127" s="21">
        <f t="shared" si="60"/>
        <v>10.808963223977795</v>
      </c>
      <c r="AY127" s="7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4.0999999999999943</v>
      </c>
      <c r="BD127" s="12">
        <f>IF('Données projet'!$A$88&gt;35,BD126+BC127-BL126,IF(A127&lt;'Données projet'!$A$88,$BA$205^A127,IF(A127='Données projet'!$A$88,'Données projet'!$B$88,BD126+BC127-BL126)))</f>
        <v>321.39999999999975</v>
      </c>
      <c r="BE127" s="13">
        <f>BD127*VLOOKUP('Données projet'!$B$11,Paramètres!$A$1:$I$89,3,0)*VLOOKUP('Données projet'!$B$11,Paramètres!$A$1:$I$89,5,0)</f>
        <v>335.92727999999977</v>
      </c>
      <c r="BF127" s="13">
        <f t="shared" si="91"/>
        <v>78.657907432442556</v>
      </c>
      <c r="BG127" s="20">
        <f t="shared" si="61"/>
        <v>722.06920144483695</v>
      </c>
      <c r="BH127" s="59">
        <f t="shared" si="62"/>
        <v>1002.6755364131757</v>
      </c>
      <c r="BI127" s="59">
        <f ca="1">AVERAGE(OFFSET($BH$3,0,0,'Données projet'!$E$11+1,1))-AVERAGE(OFFSET($H$3,0,0,'Données projet'!$E$11+1,1))</f>
        <v>638.07304290599211</v>
      </c>
      <c r="BJ127" s="59">
        <f t="shared" si="92"/>
        <v>408.22196233793511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91.292611183064551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91.292611183064551</v>
      </c>
      <c r="BT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4.0999999999999943</v>
      </c>
      <c r="BY127" s="12">
        <f>IF('Données projet'!$A$114&gt;35,BY126+BX127-CG126,IF(A127&lt;'Données projet'!$A$114,$BV$205^A127,IF(A127='Données projet'!$A$114,'Données projet'!$B$114,BY126+BX127-CG126)))</f>
        <v>321.39999999999975</v>
      </c>
      <c r="BZ127" s="13">
        <f>BY127*VLOOKUP('Données projet'!$B$12,Paramètres!$A$1:$I$89,3,0)*VLOOKUP('Données projet'!$B$12,Paramètres!$A$1:$I$89,5,0)</f>
        <v>366.01031999999975</v>
      </c>
      <c r="CA127" s="13">
        <f t="shared" si="93"/>
        <v>84.850571550244908</v>
      </c>
      <c r="CB127" s="20">
        <f t="shared" si="64"/>
        <v>785.24938611667619</v>
      </c>
      <c r="CC127" s="59">
        <f t="shared" si="65"/>
        <v>1065.8557210850149</v>
      </c>
      <c r="CD127" s="59">
        <f ca="1">AVERAGE(OFFSET($CC$3,0,0,'Données projet'!$E$12+1,1))-AVERAGE(OFFSET($H$3,0,0,'Données projet'!$E$12+1,1))</f>
        <v>685.99951993586967</v>
      </c>
      <c r="CE127" s="59">
        <f t="shared" si="94"/>
        <v>437.98014017823095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99.468068900950911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99.468068900950911</v>
      </c>
      <c r="CO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4.0999999999999943</v>
      </c>
      <c r="CT127" s="12">
        <f>IF('Données projet'!$A$140&gt;35,CT126+CS127-DB126,IF(A127&lt;'Données projet'!$A$140,$CQ$205^A127,IF(A127='Données projet'!$A$140,'Données projet'!$B$140,CT126+CS127-DB126)))</f>
        <v>321.39999999999975</v>
      </c>
      <c r="CU127" s="17">
        <f>CT127*VLOOKUP('Données projet'!$B$13,Paramètres!$A$1:$I$89,3,0)*VLOOKUP('Données projet'!$B$13,Paramètres!$A$1:$I$89,5,0)</f>
        <v>325.89959999999979</v>
      </c>
      <c r="CV127" s="13">
        <f t="shared" si="95"/>
        <v>76.579572003009432</v>
      </c>
      <c r="CW127" s="20">
        <f t="shared" si="67"/>
        <v>700.9845579052411</v>
      </c>
      <c r="CX127" s="59">
        <f t="shared" si="68"/>
        <v>981.59089287357983</v>
      </c>
      <c r="CY127" s="59">
        <f ca="1">AVERAGE(OFFSET($CX$3,0,0,'Données projet'!$E$13+1,1))-AVERAGE(OFFSET($H$3,0,0,'Données projet'!$E$13+1,1))</f>
        <v>622.07867348539082</v>
      </c>
      <c r="CZ127" s="59">
        <f t="shared" si="96"/>
        <v>398.29010684041634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88.567458610435793</v>
      </c>
      <c r="DG127" s="21">
        <f>EXP(-LN(2)/25)*DG126+(1-EXP(-LN(2)/25))/(LN(2)/25)*Calculateur!DB127*Calculateur!DD127*VLOOKUP('Données projet'!$B$13,Paramètres!$A$1:$I$89,3,0)*0.475*44/12</f>
        <v>0</v>
      </c>
      <c r="DH127" s="21">
        <f>EXP(-LN(2)/2)*DH126+(1-EXP(-LN(2)/2))/(LN(2)/2)*DB127*DE127*VLOOKUP('Données projet'!$B$13,Paramètres!$A$1:$I$89,3,0)*0.475*44/12</f>
        <v>0</v>
      </c>
      <c r="DI127" s="22">
        <f t="shared" si="69"/>
        <v>88.567458610435793</v>
      </c>
      <c r="DJ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4.0999999999999943</v>
      </c>
      <c r="DO127" s="12">
        <f>IF('Données projet'!$A$166&gt;35,DO126+DN127-DW126,IF(A127&lt;'Données projet'!$A$166,$DL$205^A127,IF(A127='Données projet'!$A$166,'Données projet'!$B$166,DO126+DN127-DW126)))</f>
        <v>321.39999999999975</v>
      </c>
      <c r="DP127" s="17">
        <f>DO127*VLOOKUP('Données projet'!$B$14,Paramètres!$A$1:$I$89,3,0)*VLOOKUP('Données projet'!$B$14,Paramètres!$A$1:$I$89,5,0)</f>
        <v>305.84423999999973</v>
      </c>
      <c r="DQ127" s="13">
        <f t="shared" si="97"/>
        <v>72.400261542453123</v>
      </c>
      <c r="DR127" s="20">
        <f t="shared" si="70"/>
        <v>658.77584018643859</v>
      </c>
      <c r="DS127" s="59">
        <f t="shared" si="71"/>
        <v>939.38217515477731</v>
      </c>
      <c r="DT127" s="59">
        <f ca="1">AVERAGE(OFFSET($DS$3,0,0,'Données projet'!$E$14+1,1))-AVERAGE(OFFSET($H$3,0,0,'Données projet'!$E$14+1,1))</f>
        <v>590.05965493677377</v>
      </c>
      <c r="DU127" s="59">
        <f t="shared" si="98"/>
        <v>378.40640480134505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83.117153465178191</v>
      </c>
      <c r="EB127" s="21">
        <f>EXP(-LN(2)/25)*EB126+(1-EXP(-LN(2)/25))/(LN(2)/25)*Calculateur!DW127*Calculateur!DY127*VLOOKUP('Données projet'!$B$14,Paramètres!$A$1:$I$89,3,0)*0.475*44/12</f>
        <v>0</v>
      </c>
      <c r="EC127" s="21">
        <f>EXP(-LN(2)/2)*EC126+(1-EXP(-LN(2)/2))/(LN(2)/2)*DW127*DZ127*VLOOKUP('Données projet'!$B$14,Paramètres!$A$1:$I$89,3,0)*0.475*44/12</f>
        <v>0</v>
      </c>
      <c r="ED127" s="22">
        <f t="shared" si="72"/>
        <v>83.117153465178191</v>
      </c>
      <c r="EE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66.529000445910583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2">
        <f>'Scénario référence'!$B$16*5+'Scénario référence'!$B$17*0+'Scénario référence'!$B$18*5</f>
        <v>4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14.666666666666666</v>
      </c>
      <c r="H128" s="66">
        <f t="shared" si="56"/>
        <v>159.86666666666667</v>
      </c>
      <c r="I128" s="6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-2.9085640562698246E-14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140.03175887621094</v>
      </c>
      <c r="T128" s="59">
        <f t="shared" si="88"/>
        <v>377.29475975964954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10.761046389272048</v>
      </c>
      <c r="AA128" s="21">
        <f>EXP(-LN(2)/25)*AA127+(1-EXP(-LN(2)/25))/(LN(2)/25)*Calculateur!V128*Calculateur!X128*VLOOKUP('Données projet'!$B$9,Paramètres!$A$1:$I$89,3,0)*0.475*44/12</f>
        <v>0</v>
      </c>
      <c r="AB128" s="21">
        <f>EXP(-LN(2)/2)*AB127+(1-EXP(-LN(2)/2))/(LN(2)/2)*V128*Y128*VLOOKUP('Données projet'!$B$9,Paramètres!$A$1:$I$89,3,0)*0.475*44/12</f>
        <v>1.231420467282745E-14</v>
      </c>
      <c r="AC128" s="22">
        <f t="shared" si="57"/>
        <v>10.76104638927206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-5.6843418860808015E-14</v>
      </c>
      <c r="AJ128" s="13">
        <f>AI128*VLOOKUP('Données projet'!$B$10,Paramètres!$A$1:$I$89,3,0)*VLOOKUP('Données projet'!$B$10,Paramètres!$A$1:$I$89,5,0)</f>
        <v>-2.8642261895583942E-14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138.27364731587764</v>
      </c>
      <c r="AO128" s="59">
        <f t="shared" si="90"/>
        <v>372.50391467700013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10.597006047972153</v>
      </c>
      <c r="AV128" s="21">
        <f>EXP(-LN(2)/25)*AV127+(1-EXP(-LN(2)/25))/(LN(2)/25)*Calculateur!AQ128*Calculateur!AS128*VLOOKUP('Données projet'!$B$10,Paramètres!$A$1:$I$89,3,0)*0.475*44/12</f>
        <v>0</v>
      </c>
      <c r="AW128" s="21">
        <f>EXP(-LN(2)/2)*AW127+(1-EXP(-LN(2)/2))/(LN(2)/2)*AQ128*AT128*VLOOKUP('Données projet'!$B$10,Paramètres!$A$1:$I$89,3,0)*0.475*44/12</f>
        <v>1.2126488138180678E-14</v>
      </c>
      <c r="AX128" s="21">
        <f t="shared" si="60"/>
        <v>10.597006047972165</v>
      </c>
      <c r="AY128" s="7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4.0999999999999943</v>
      </c>
      <c r="BD128" s="12">
        <f>IF('Données projet'!$A$88&gt;35,BD127+BC128-BL127,IF(A128&lt;'Données projet'!$A$88,$BA$205^A128,IF(A128='Données projet'!$A$88,'Données projet'!$B$88,BD127+BC128-BL127)))</f>
        <v>325.49999999999977</v>
      </c>
      <c r="BE128" s="13">
        <f>BD128*VLOOKUP('Données projet'!$B$11,Paramètres!$A$1:$I$89,3,0)*VLOOKUP('Données projet'!$B$11,Paramètres!$A$1:$I$89,5,0)</f>
        <v>340.21259999999978</v>
      </c>
      <c r="BF128" s="13">
        <f t="shared" si="91"/>
        <v>79.543869329706027</v>
      </c>
      <c r="BG128" s="20">
        <f t="shared" si="61"/>
        <v>731.0758507492377</v>
      </c>
      <c r="BH128" s="59">
        <f t="shared" si="62"/>
        <v>1011.9029706859034</v>
      </c>
      <c r="BI128" s="59">
        <f ca="1">AVERAGE(OFFSET($BH$3,0,0,'Données projet'!$E$11+1,1))-AVERAGE(OFFSET($H$3,0,0,'Données projet'!$E$11+1,1))</f>
        <v>638.07304290599211</v>
      </c>
      <c r="BJ128" s="59">
        <f t="shared" si="92"/>
        <v>408.22196233793511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89.502418760759241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89.502418760759241</v>
      </c>
      <c r="BT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4.0999999999999943</v>
      </c>
      <c r="BY128" s="12">
        <f>IF('Données projet'!$A$114&gt;35,BY127+BX128-CG127,IF(A128&lt;'Données projet'!$A$114,$BV$205^A128,IF(A128='Données projet'!$A$114,'Données projet'!$B$114,BY127+BX128-CG127)))</f>
        <v>325.49999999999977</v>
      </c>
      <c r="BZ128" s="13">
        <f>BY128*VLOOKUP('Données projet'!$B$12,Paramètres!$A$1:$I$89,3,0)*VLOOKUP('Données projet'!$B$12,Paramètres!$A$1:$I$89,5,0)</f>
        <v>370.67939999999976</v>
      </c>
      <c r="CA128" s="13">
        <f t="shared" si="93"/>
        <v>85.806284406185171</v>
      </c>
      <c r="CB128" s="20">
        <f t="shared" si="64"/>
        <v>795.04590034077194</v>
      </c>
      <c r="CC128" s="59">
        <f t="shared" si="65"/>
        <v>1075.8730202774377</v>
      </c>
      <c r="CD128" s="59">
        <f ca="1">AVERAGE(OFFSET($CC$3,0,0,'Données projet'!$E$12+1,1))-AVERAGE(OFFSET($H$3,0,0,'Données projet'!$E$12+1,1))</f>
        <v>685.99951993586967</v>
      </c>
      <c r="CE128" s="59">
        <f t="shared" si="94"/>
        <v>437.98014017823095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97.51756073933467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97.51756073933467</v>
      </c>
      <c r="CO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4.0999999999999943</v>
      </c>
      <c r="CT128" s="12">
        <f>IF('Données projet'!$A$140&gt;35,CT127+CS128-DB127,IF(A128&lt;'Données projet'!$A$140,$CQ$205^A128,IF(A128='Données projet'!$A$140,'Données projet'!$B$140,CT127+CS128-DB127)))</f>
        <v>325.49999999999977</v>
      </c>
      <c r="CU128" s="17">
        <f>CT128*VLOOKUP('Données projet'!$B$13,Paramètres!$A$1:$I$89,3,0)*VLOOKUP('Données projet'!$B$13,Paramètres!$A$1:$I$89,5,0)</f>
        <v>330.05699999999979</v>
      </c>
      <c r="CV128" s="13">
        <f t="shared" si="95"/>
        <v>77.442124607293778</v>
      </c>
      <c r="CW128" s="20">
        <f t="shared" si="67"/>
        <v>709.7276420243694</v>
      </c>
      <c r="CX128" s="59">
        <f t="shared" si="68"/>
        <v>990.55476196103507</v>
      </c>
      <c r="CY128" s="59">
        <f ca="1">AVERAGE(OFFSET($CX$3,0,0,'Données projet'!$E$13+1,1))-AVERAGE(OFFSET($H$3,0,0,'Données projet'!$E$13+1,1))</f>
        <v>622.07867348539082</v>
      </c>
      <c r="CZ128" s="59">
        <f t="shared" si="96"/>
        <v>398.29010684041634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86.830704767900784</v>
      </c>
      <c r="DG128" s="21">
        <f>EXP(-LN(2)/25)*DG127+(1-EXP(-LN(2)/25))/(LN(2)/25)*Calculateur!DB128*Calculateur!DD128*VLOOKUP('Données projet'!$B$13,Paramètres!$A$1:$I$89,3,0)*0.475*44/12</f>
        <v>0</v>
      </c>
      <c r="DH128" s="21">
        <f>EXP(-LN(2)/2)*DH127+(1-EXP(-LN(2)/2))/(LN(2)/2)*DB128*DE128*VLOOKUP('Données projet'!$B$13,Paramètres!$A$1:$I$89,3,0)*0.475*44/12</f>
        <v>0</v>
      </c>
      <c r="DI128" s="22">
        <f t="shared" si="69"/>
        <v>86.830704767900784</v>
      </c>
      <c r="DJ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4.0999999999999943</v>
      </c>
      <c r="DO128" s="12">
        <f>IF('Données projet'!$A$166&gt;35,DO127+DN128-DW127,IF(A128&lt;'Données projet'!$A$166,$DL$205^A128,IF(A128='Données projet'!$A$166,'Données projet'!$B$166,DO127+DN128-DW127)))</f>
        <v>325.49999999999977</v>
      </c>
      <c r="DP128" s="17">
        <f>DO128*VLOOKUP('Données projet'!$B$14,Paramètres!$A$1:$I$89,3,0)*VLOOKUP('Données projet'!$B$14,Paramètres!$A$1:$I$89,5,0)</f>
        <v>309.7457999999998</v>
      </c>
      <c r="DQ128" s="13">
        <f t="shared" si="97"/>
        <v>73.215740560041013</v>
      </c>
      <c r="DR128" s="20">
        <f t="shared" si="70"/>
        <v>666.99134980873771</v>
      </c>
      <c r="DS128" s="59">
        <f t="shared" si="71"/>
        <v>947.81846974540338</v>
      </c>
      <c r="DT128" s="59">
        <f ca="1">AVERAGE(OFFSET($DS$3,0,0,'Données projet'!$E$14+1,1))-AVERAGE(OFFSET($H$3,0,0,'Données projet'!$E$14+1,1))</f>
        <v>590.05965493677377</v>
      </c>
      <c r="DU128" s="59">
        <f t="shared" si="98"/>
        <v>378.40640480134505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81.487276782183798</v>
      </c>
      <c r="EB128" s="21">
        <f>EXP(-LN(2)/25)*EB127+(1-EXP(-LN(2)/25))/(LN(2)/25)*Calculateur!DW128*Calculateur!DY128*VLOOKUP('Données projet'!$B$14,Paramètres!$A$1:$I$89,3,0)*0.475*44/12</f>
        <v>0</v>
      </c>
      <c r="EC128" s="21">
        <f>EXP(-LN(2)/2)*EC127+(1-EXP(-LN(2)/2))/(LN(2)/2)*DW128*DZ128*VLOOKUP('Données projet'!$B$14,Paramètres!$A$1:$I$89,3,0)*0.475*44/12</f>
        <v>0</v>
      </c>
      <c r="ED128" s="22">
        <f t="shared" si="72"/>
        <v>81.487276782183798</v>
      </c>
      <c r="EE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66.589214528181543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2">
        <f>'Scénario référence'!$B$16*5+'Scénario référence'!$B$17*0+'Scénario référence'!$B$18*5</f>
        <v>4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14.666666666666666</v>
      </c>
      <c r="H129" s="66">
        <f t="shared" si="56"/>
        <v>159.86666666666667</v>
      </c>
      <c r="I129" s="6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-2.9085640562698246E-14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140.03175887621094</v>
      </c>
      <c r="T129" s="59">
        <f t="shared" si="88"/>
        <v>377.29475975964954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10.55002883316862</v>
      </c>
      <c r="AA129" s="21">
        <f>EXP(-LN(2)/25)*AA128+(1-EXP(-LN(2)/25))/(LN(2)/25)*Calculateur!V129*Calculateur!X129*VLOOKUP('Données projet'!$B$9,Paramètres!$A$1:$I$89,3,0)*0.475*44/12</f>
        <v>0</v>
      </c>
      <c r="AB129" s="21">
        <f>EXP(-LN(2)/2)*AB128+(1-EXP(-LN(2)/2))/(LN(2)/2)*V129*Y129*VLOOKUP('Données projet'!$B$9,Paramètres!$A$1:$I$89,3,0)*0.475*44/12</f>
        <v>8.7074576290753605E-15</v>
      </c>
      <c r="AC129" s="22">
        <f t="shared" si="57"/>
        <v>10.550028833168628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-5.6843418860808015E-14</v>
      </c>
      <c r="AJ129" s="13">
        <f>AI129*VLOOKUP('Données projet'!$B$10,Paramètres!$A$1:$I$89,3,0)*VLOOKUP('Données projet'!$B$10,Paramètres!$A$1:$I$89,5,0)</f>
        <v>-2.8642261895583942E-14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138.27364731587764</v>
      </c>
      <c r="AO129" s="59">
        <f t="shared" si="90"/>
        <v>372.50391467700013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10.389205222906886</v>
      </c>
      <c r="AV129" s="21">
        <f>EXP(-LN(2)/25)*AV128+(1-EXP(-LN(2)/25))/(LN(2)/25)*Calculateur!AQ129*Calculateur!AS129*VLOOKUP('Données projet'!$B$10,Paramètres!$A$1:$I$89,3,0)*0.475*44/12</f>
        <v>0</v>
      </c>
      <c r="AW129" s="21">
        <f>EXP(-LN(2)/2)*AW128+(1-EXP(-LN(2)/2))/(LN(2)/2)*AQ129*AT129*VLOOKUP('Données projet'!$B$10,Paramètres!$A$1:$I$89,3,0)*0.475*44/12</f>
        <v>8.5747219944857884E-15</v>
      </c>
      <c r="AX129" s="21">
        <f t="shared" si="60"/>
        <v>10.389205222906895</v>
      </c>
      <c r="AY129" s="7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4.0999999999999943</v>
      </c>
      <c r="BD129" s="12">
        <f>IF('Données projet'!$A$88&gt;35,BD128+BC129-BL128,IF(A129&lt;'Données projet'!$A$88,$BA$205^A129,IF(A129='Données projet'!$A$88,'Données projet'!$B$88,BD128+BC129-BL128)))</f>
        <v>329.5999999999998</v>
      </c>
      <c r="BE129" s="13">
        <f>BD129*VLOOKUP('Données projet'!$B$11,Paramètres!$A$1:$I$89,3,0)*VLOOKUP('Données projet'!$B$11,Paramètres!$A$1:$I$89,5,0)</f>
        <v>344.49791999999985</v>
      </c>
      <c r="BF129" s="13">
        <f t="shared" si="91"/>
        <v>80.428533167182664</v>
      </c>
      <c r="BG129" s="20">
        <f t="shared" si="61"/>
        <v>740.08023926617625</v>
      </c>
      <c r="BH129" s="59">
        <f t="shared" si="62"/>
        <v>1021.1243140455697</v>
      </c>
      <c r="BI129" s="59">
        <f ca="1">AVERAGE(OFFSET($BH$3,0,0,'Données projet'!$E$11+1,1))-AVERAGE(OFFSET($H$3,0,0,'Données projet'!$E$11+1,1))</f>
        <v>638.07304290599211</v>
      </c>
      <c r="BJ129" s="59">
        <f t="shared" si="92"/>
        <v>408.22196233793511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87.747330919945767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87.747330919945767</v>
      </c>
      <c r="BT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4.0999999999999943</v>
      </c>
      <c r="BY129" s="12">
        <f>IF('Données projet'!$A$114&gt;35,BY128+BX129-CG128,IF(A129&lt;'Données projet'!$A$114,$BV$205^A129,IF(A129='Données projet'!$A$114,'Données projet'!$B$114,BY128+BX129-CG128)))</f>
        <v>329.5999999999998</v>
      </c>
      <c r="BZ129" s="13">
        <f>BY129*VLOOKUP('Données projet'!$B$12,Paramètres!$A$1:$I$89,3,0)*VLOOKUP('Données projet'!$B$12,Paramètres!$A$1:$I$89,5,0)</f>
        <v>375.34847999999977</v>
      </c>
      <c r="CA129" s="13">
        <f t="shared" si="93"/>
        <v>86.760597007295203</v>
      </c>
      <c r="CB129" s="20">
        <f t="shared" si="64"/>
        <v>804.83997578770538</v>
      </c>
      <c r="CC129" s="59">
        <f t="shared" si="65"/>
        <v>1085.8840505670987</v>
      </c>
      <c r="CD129" s="59">
        <f ca="1">AVERAGE(OFFSET($CC$3,0,0,'Données projet'!$E$12+1,1))-AVERAGE(OFFSET($H$3,0,0,'Données projet'!$E$12+1,1))</f>
        <v>685.99951993586967</v>
      </c>
      <c r="CE129" s="59">
        <f t="shared" si="94"/>
        <v>437.98014017823095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95.605300853075221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95.605300853075221</v>
      </c>
      <c r="CO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4.0999999999999943</v>
      </c>
      <c r="CT129" s="12">
        <f>IF('Données projet'!$A$140&gt;35,CT128+CS129-DB128,IF(A129&lt;'Données projet'!$A$140,$CQ$205^A129,IF(A129='Données projet'!$A$140,'Données projet'!$B$140,CT128+CS129-DB128)))</f>
        <v>329.5999999999998</v>
      </c>
      <c r="CU129" s="17">
        <f>CT129*VLOOKUP('Données projet'!$B$13,Paramètres!$A$1:$I$89,3,0)*VLOOKUP('Données projet'!$B$13,Paramètres!$A$1:$I$89,5,0)</f>
        <v>334.21439999999978</v>
      </c>
      <c r="CV129" s="13">
        <f t="shared" si="95"/>
        <v>78.30341344972436</v>
      </c>
      <c r="CW129" s="20">
        <f t="shared" si="67"/>
        <v>718.46852509160283</v>
      </c>
      <c r="CX129" s="59">
        <f t="shared" si="68"/>
        <v>999.51259987099616</v>
      </c>
      <c r="CY129" s="59">
        <f ca="1">AVERAGE(OFFSET($CX$3,0,0,'Données projet'!$E$13+1,1))-AVERAGE(OFFSET($H$3,0,0,'Données projet'!$E$13+1,1))</f>
        <v>622.07867348539082</v>
      </c>
      <c r="CZ129" s="59">
        <f t="shared" si="96"/>
        <v>398.29010684041634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85.128007608902649</v>
      </c>
      <c r="DG129" s="21">
        <f>EXP(-LN(2)/25)*DG128+(1-EXP(-LN(2)/25))/(LN(2)/25)*Calculateur!DB129*Calculateur!DD129*VLOOKUP('Données projet'!$B$13,Paramètres!$A$1:$I$89,3,0)*0.475*44/12</f>
        <v>0</v>
      </c>
      <c r="DH129" s="21">
        <f>EXP(-LN(2)/2)*DH128+(1-EXP(-LN(2)/2))/(LN(2)/2)*DB129*DE129*VLOOKUP('Données projet'!$B$13,Paramètres!$A$1:$I$89,3,0)*0.475*44/12</f>
        <v>0</v>
      </c>
      <c r="DI129" s="22">
        <f t="shared" si="69"/>
        <v>85.128007608902649</v>
      </c>
      <c r="DJ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4.0999999999999943</v>
      </c>
      <c r="DO129" s="12">
        <f>IF('Données projet'!$A$166&gt;35,DO128+DN129-DW128,IF(A129&lt;'Données projet'!$A$166,$DL$205^A129,IF(A129='Données projet'!$A$166,'Données projet'!$B$166,DO128+DN129-DW128)))</f>
        <v>329.5999999999998</v>
      </c>
      <c r="DP129" s="17">
        <f>DO129*VLOOKUP('Données projet'!$B$14,Paramètres!$A$1:$I$89,3,0)*VLOOKUP('Données projet'!$B$14,Paramètres!$A$1:$I$89,5,0)</f>
        <v>313.64735999999982</v>
      </c>
      <c r="DQ129" s="13">
        <f t="shared" si="97"/>
        <v>74.030024785253474</v>
      </c>
      <c r="DR129" s="20">
        <f t="shared" si="70"/>
        <v>675.2047785009828</v>
      </c>
      <c r="DS129" s="59">
        <f t="shared" si="71"/>
        <v>956.24885328037612</v>
      </c>
      <c r="DT129" s="59">
        <f ca="1">AVERAGE(OFFSET($DS$3,0,0,'Données projet'!$E$14+1,1))-AVERAGE(OFFSET($H$3,0,0,'Données projet'!$E$14+1,1))</f>
        <v>590.05965493677377</v>
      </c>
      <c r="DU129" s="59">
        <f t="shared" si="98"/>
        <v>378.40640480134505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79.889360986816314</v>
      </c>
      <c r="EB129" s="21">
        <f>EXP(-LN(2)/25)*EB128+(1-EXP(-LN(2)/25))/(LN(2)/25)*Calculateur!DW129*Calculateur!DY129*VLOOKUP('Données projet'!$B$14,Paramètres!$A$1:$I$89,3,0)*0.475*44/12</f>
        <v>0</v>
      </c>
      <c r="EC129" s="21">
        <f>EXP(-LN(2)/2)*EC128+(1-EXP(-LN(2)/2))/(LN(2)/2)*DW129*DZ129*VLOOKUP('Données projet'!$B$14,Paramètres!$A$1:$I$89,3,0)*0.475*44/12</f>
        <v>0</v>
      </c>
      <c r="ED129" s="22">
        <f t="shared" si="72"/>
        <v>79.889360986816314</v>
      </c>
      <c r="EE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66.648384030743642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2">
        <f>'Scénario référence'!$B$16*5+'Scénario référence'!$B$17*0+'Scénario référence'!$B$18*5</f>
        <v>4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14.666666666666666</v>
      </c>
      <c r="H130" s="66">
        <f t="shared" si="56"/>
        <v>159.86666666666667</v>
      </c>
      <c r="I130" s="6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-2.9085640562698246E-14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140.03175887621094</v>
      </c>
      <c r="T130" s="59">
        <f t="shared" si="88"/>
        <v>377.29475975964954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10.343149202632379</v>
      </c>
      <c r="AA130" s="21">
        <f>EXP(-LN(2)/25)*AA129+(1-EXP(-LN(2)/25))/(LN(2)/25)*Calculateur!V130*Calculateur!X130*VLOOKUP('Données projet'!$B$9,Paramètres!$A$1:$I$89,3,0)*0.475*44/12</f>
        <v>0</v>
      </c>
      <c r="AB130" s="21">
        <f>EXP(-LN(2)/2)*AB129+(1-EXP(-LN(2)/2))/(LN(2)/2)*V130*Y130*VLOOKUP('Données projet'!$B$9,Paramètres!$A$1:$I$89,3,0)*0.475*44/12</f>
        <v>6.1571023364137249E-15</v>
      </c>
      <c r="AC130" s="22">
        <f t="shared" si="57"/>
        <v>10.343149202632384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-5.6843418860808015E-14</v>
      </c>
      <c r="AJ130" s="13">
        <f>AI130*VLOOKUP('Données projet'!$B$10,Paramètres!$A$1:$I$89,3,0)*VLOOKUP('Données projet'!$B$10,Paramètres!$A$1:$I$89,5,0)</f>
        <v>-2.8642261895583942E-14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138.27364731587764</v>
      </c>
      <c r="AO130" s="59">
        <f t="shared" si="90"/>
        <v>372.50391467700013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10.185479245275163</v>
      </c>
      <c r="AV130" s="21">
        <f>EXP(-LN(2)/25)*AV129+(1-EXP(-LN(2)/25))/(LN(2)/25)*Calculateur!AQ130*Calculateur!AS130*VLOOKUP('Données projet'!$B$10,Paramètres!$A$1:$I$89,3,0)*0.475*44/12</f>
        <v>0</v>
      </c>
      <c r="AW130" s="21">
        <f>EXP(-LN(2)/2)*AW129+(1-EXP(-LN(2)/2))/(LN(2)/2)*AQ130*AT130*VLOOKUP('Données projet'!$B$10,Paramètres!$A$1:$I$89,3,0)*0.475*44/12</f>
        <v>6.0632440690903388E-15</v>
      </c>
      <c r="AX130" s="21">
        <f t="shared" si="60"/>
        <v>10.185479245275168</v>
      </c>
      <c r="AY130" s="7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4.0999999999999943</v>
      </c>
      <c r="BD130" s="12">
        <f>IF('Données projet'!$A$88&gt;35,BD129+BC130-BL129,IF(A130&lt;'Données projet'!$A$88,$BA$205^A130,IF(A130='Données projet'!$A$88,'Données projet'!$B$88,BD129+BC130-BL129)))</f>
        <v>333.69999999999982</v>
      </c>
      <c r="BE130" s="13">
        <f>BD130*VLOOKUP('Données projet'!$B$11,Paramètres!$A$1:$I$89,3,0)*VLOOKUP('Données projet'!$B$11,Paramètres!$A$1:$I$89,5,0)</f>
        <v>348.78323999999986</v>
      </c>
      <c r="BF130" s="13">
        <f t="shared" si="91"/>
        <v>81.311916959252898</v>
      </c>
      <c r="BG130" s="20">
        <f t="shared" si="61"/>
        <v>749.08239837069857</v>
      </c>
      <c r="BH130" s="59">
        <f t="shared" si="62"/>
        <v>1030.3396643113367</v>
      </c>
      <c r="BI130" s="59">
        <f ca="1">AVERAGE(OFFSET($BH$3,0,0,'Données projet'!$E$11+1,1))-AVERAGE(OFFSET($H$3,0,0,'Données projet'!$E$11+1,1))</f>
        <v>638.07304290599211</v>
      </c>
      <c r="BJ130" s="59">
        <f t="shared" si="92"/>
        <v>408.22196233793511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86.026659281192778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86.026659281192778</v>
      </c>
      <c r="BT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4.0999999999999943</v>
      </c>
      <c r="BY130" s="12">
        <f>IF('Données projet'!$A$114&gt;35,BY129+BX130-CG129,IF(A130&lt;'Données projet'!$A$114,$BV$205^A130,IF(A130='Données projet'!$A$114,'Données projet'!$B$114,BY129+BX130-CG129)))</f>
        <v>333.69999999999982</v>
      </c>
      <c r="BZ130" s="13">
        <f>BY130*VLOOKUP('Données projet'!$B$12,Paramètres!$A$1:$I$89,3,0)*VLOOKUP('Données projet'!$B$12,Paramètres!$A$1:$I$89,5,0)</f>
        <v>380.01755999999978</v>
      </c>
      <c r="CA130" s="13">
        <f t="shared" si="93"/>
        <v>87.713528786210887</v>
      </c>
      <c r="CB130" s="20">
        <f t="shared" si="64"/>
        <v>814.63164630265021</v>
      </c>
      <c r="CC130" s="59">
        <f t="shared" si="65"/>
        <v>1095.8889122432884</v>
      </c>
      <c r="CD130" s="59">
        <f ca="1">AVERAGE(OFFSET($CC$3,0,0,'Données projet'!$E$12+1,1))-AVERAGE(OFFSET($H$3,0,0,'Données projet'!$E$12+1,1))</f>
        <v>685.99951993586967</v>
      </c>
      <c r="CE130" s="59">
        <f t="shared" si="94"/>
        <v>437.98014017823095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93.730539216821953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93.730539216821953</v>
      </c>
      <c r="CO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4.0999999999999943</v>
      </c>
      <c r="CT130" s="12">
        <f>IF('Données projet'!$A$140&gt;35,CT129+CS130-DB129,IF(A130&lt;'Données projet'!$A$140,$CQ$205^A130,IF(A130='Données projet'!$A$140,'Données projet'!$B$140,CT129+CS130-DB129)))</f>
        <v>333.69999999999982</v>
      </c>
      <c r="CU130" s="17">
        <f>CT130*VLOOKUP('Données projet'!$B$13,Paramètres!$A$1:$I$89,3,0)*VLOOKUP('Données projet'!$B$13,Paramètres!$A$1:$I$89,5,0)</f>
        <v>338.37179999999984</v>
      </c>
      <c r="CV130" s="13">
        <f t="shared" si="95"/>
        <v>79.163456068697371</v>
      </c>
      <c r="CW130" s="20">
        <f t="shared" si="67"/>
        <v>727.20723765298089</v>
      </c>
      <c r="CX130" s="59">
        <f t="shared" si="68"/>
        <v>1008.4645035936189</v>
      </c>
      <c r="CY130" s="59">
        <f ca="1">AVERAGE(OFFSET($CX$3,0,0,'Données projet'!$E$13+1,1))-AVERAGE(OFFSET($H$3,0,0,'Données projet'!$E$13+1,1))</f>
        <v>622.07867348539082</v>
      </c>
      <c r="CZ130" s="59">
        <f t="shared" si="96"/>
        <v>398.29010684041634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83.458699302649748</v>
      </c>
      <c r="DG130" s="21">
        <f>EXP(-LN(2)/25)*DG129+(1-EXP(-LN(2)/25))/(LN(2)/25)*Calculateur!DB130*Calculateur!DD130*VLOOKUP('Données projet'!$B$13,Paramètres!$A$1:$I$89,3,0)*0.475*44/12</f>
        <v>0</v>
      </c>
      <c r="DH130" s="21">
        <f>EXP(-LN(2)/2)*DH129+(1-EXP(-LN(2)/2))/(LN(2)/2)*DB130*DE130*VLOOKUP('Données projet'!$B$13,Paramètres!$A$1:$I$89,3,0)*0.475*44/12</f>
        <v>0</v>
      </c>
      <c r="DI130" s="22">
        <f t="shared" si="69"/>
        <v>83.458699302649748</v>
      </c>
      <c r="DJ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4.0999999999999943</v>
      </c>
      <c r="DO130" s="12">
        <f>IF('Données projet'!$A$166&gt;35,DO129+DN130-DW129,IF(A130&lt;'Données projet'!$A$166,$DL$205^A130,IF(A130='Données projet'!$A$166,'Données projet'!$B$166,DO129+DN130-DW129)))</f>
        <v>333.69999999999982</v>
      </c>
      <c r="DP130" s="17">
        <f>DO130*VLOOKUP('Données projet'!$B$14,Paramètres!$A$1:$I$89,3,0)*VLOOKUP('Données projet'!$B$14,Paramètres!$A$1:$I$89,5,0)</f>
        <v>317.54891999999984</v>
      </c>
      <c r="DQ130" s="13">
        <f t="shared" si="97"/>
        <v>74.843130799333238</v>
      </c>
      <c r="DR130" s="20">
        <f t="shared" si="70"/>
        <v>683.41615514217176</v>
      </c>
      <c r="DS130" s="59">
        <f t="shared" si="71"/>
        <v>964.67342108280991</v>
      </c>
      <c r="DT130" s="59">
        <f ca="1">AVERAGE(OFFSET($DS$3,0,0,'Données projet'!$E$14+1,1))-AVERAGE(OFFSET($H$3,0,0,'Données projet'!$E$14+1,1))</f>
        <v>590.05965493677377</v>
      </c>
      <c r="DU130" s="59">
        <f t="shared" si="98"/>
        <v>378.40640480134505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78.322779345563589</v>
      </c>
      <c r="EB130" s="21">
        <f>EXP(-LN(2)/25)*EB129+(1-EXP(-LN(2)/25))/(LN(2)/25)*Calculateur!DW130*Calculateur!DY130*VLOOKUP('Données projet'!$B$14,Paramètres!$A$1:$I$89,3,0)*0.475*44/12</f>
        <v>0</v>
      </c>
      <c r="EC130" s="21">
        <f>EXP(-LN(2)/2)*EC129+(1-EXP(-LN(2)/2))/(LN(2)/2)*DW130*DZ130*VLOOKUP('Données projet'!$B$14,Paramètres!$A$1:$I$89,3,0)*0.475*44/12</f>
        <v>0</v>
      </c>
      <c r="ED130" s="22">
        <f t="shared" si="72"/>
        <v>78.322779345563589</v>
      </c>
      <c r="EE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66.706527074719489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2">
        <f>'Scénario référence'!$B$16*5+'Scénario référence'!$B$17*0+'Scénario référence'!$B$18*5</f>
        <v>4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14.666666666666666</v>
      </c>
      <c r="H131" s="66">
        <f t="shared" si="56"/>
        <v>159.86666666666667</v>
      </c>
      <c r="I131" s="6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-2.9085640562698246E-14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140.03175887621094</v>
      </c>
      <c r="T131" s="59">
        <f t="shared" si="88"/>
        <v>377.29475975964954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10.14032635546684</v>
      </c>
      <c r="AA131" s="21">
        <f>EXP(-LN(2)/25)*AA130+(1-EXP(-LN(2)/25))/(LN(2)/25)*Calculateur!V131*Calculateur!X131*VLOOKUP('Données projet'!$B$9,Paramètres!$A$1:$I$89,3,0)*0.475*44/12</f>
        <v>0</v>
      </c>
      <c r="AB131" s="21">
        <f>EXP(-LN(2)/2)*AB130+(1-EXP(-LN(2)/2))/(LN(2)/2)*V131*Y131*VLOOKUP('Données projet'!$B$9,Paramètres!$A$1:$I$89,3,0)*0.475*44/12</f>
        <v>4.3537288145376802E-15</v>
      </c>
      <c r="AC131" s="22">
        <f t="shared" si="57"/>
        <v>10.140326355466843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-5.6843418860808015E-14</v>
      </c>
      <c r="AJ131" s="13">
        <f>AI131*VLOOKUP('Données projet'!$B$10,Paramètres!$A$1:$I$89,3,0)*VLOOKUP('Données projet'!$B$10,Paramètres!$A$1:$I$89,5,0)</f>
        <v>-2.8642261895583942E-14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138.27364731587764</v>
      </c>
      <c r="AO131" s="59">
        <f t="shared" si="90"/>
        <v>372.50391467700013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9.9857482098042194</v>
      </c>
      <c r="AV131" s="21">
        <f>EXP(-LN(2)/25)*AV130+(1-EXP(-LN(2)/25))/(LN(2)/25)*Calculateur!AQ131*Calculateur!AS131*VLOOKUP('Données projet'!$B$10,Paramètres!$A$1:$I$89,3,0)*0.475*44/12</f>
        <v>0</v>
      </c>
      <c r="AW131" s="21">
        <f>EXP(-LN(2)/2)*AW130+(1-EXP(-LN(2)/2))/(LN(2)/2)*AQ131*AT131*VLOOKUP('Données projet'!$B$10,Paramètres!$A$1:$I$89,3,0)*0.475*44/12</f>
        <v>4.2873609972428942E-15</v>
      </c>
      <c r="AX131" s="21">
        <f t="shared" si="60"/>
        <v>9.985748209804223</v>
      </c>
      <c r="AY131" s="7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4.0999999999999943</v>
      </c>
      <c r="BD131" s="12">
        <f>IF('Données projet'!$A$88&gt;35,BD130+BC131-BL130,IF(A131&lt;'Données projet'!$A$88,$BA$205^A131,IF(A131='Données projet'!$A$88,'Données projet'!$B$88,BD130+BC131-BL130)))</f>
        <v>337.79999999999984</v>
      </c>
      <c r="BE131" s="13">
        <f>BD131*VLOOKUP('Données projet'!$B$11,Paramètres!$A$1:$I$89,3,0)*VLOOKUP('Données projet'!$B$11,Paramètres!$A$1:$I$89,5,0)</f>
        <v>353.06855999999988</v>
      </c>
      <c r="BF131" s="13">
        <f t="shared" si="91"/>
        <v>82.194038252166592</v>
      </c>
      <c r="BG131" s="20">
        <f t="shared" si="61"/>
        <v>758.0823586225232</v>
      </c>
      <c r="BH131" s="59">
        <f t="shared" si="62"/>
        <v>1039.5491173343826</v>
      </c>
      <c r="BI131" s="59">
        <f ca="1">AVERAGE(OFFSET($BH$3,0,0,'Données projet'!$E$11+1,1))-AVERAGE(OFFSET($H$3,0,0,'Données projet'!$E$11+1,1))</f>
        <v>638.07304290599211</v>
      </c>
      <c r="BJ131" s="59">
        <f t="shared" si="92"/>
        <v>408.22196233793511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84.339728963769659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84.339728963769659</v>
      </c>
      <c r="BT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4.0999999999999943</v>
      </c>
      <c r="BY131" s="12">
        <f>IF('Données projet'!$A$114&gt;35,BY130+BX131-CG130,IF(A131&lt;'Données projet'!$A$114,$BV$205^A131,IF(A131='Données projet'!$A$114,'Données projet'!$B$114,BY130+BX131-CG130)))</f>
        <v>337.79999999999984</v>
      </c>
      <c r="BZ131" s="13">
        <f>BY131*VLOOKUP('Données projet'!$B$12,Paramètres!$A$1:$I$89,3,0)*VLOOKUP('Données projet'!$B$12,Paramètres!$A$1:$I$89,5,0)</f>
        <v>384.68663999999984</v>
      </c>
      <c r="CA131" s="13">
        <f t="shared" si="93"/>
        <v>88.665098670582054</v>
      </c>
      <c r="CB131" s="20">
        <f t="shared" si="64"/>
        <v>824.42094485126347</v>
      </c>
      <c r="CC131" s="59">
        <f t="shared" si="65"/>
        <v>1105.8877035631228</v>
      </c>
      <c r="CD131" s="59">
        <f ca="1">AVERAGE(OFFSET($CC$3,0,0,'Données projet'!$E$12+1,1))-AVERAGE(OFFSET($H$3,0,0,'Données projet'!$E$12+1,1))</f>
        <v>685.99951993586967</v>
      </c>
      <c r="CE131" s="59">
        <f t="shared" si="94"/>
        <v>437.98014017823095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91.892540512763929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91.892540512763929</v>
      </c>
      <c r="CO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4.0999999999999943</v>
      </c>
      <c r="CT131" s="12">
        <f>IF('Données projet'!$A$140&gt;35,CT130+CS131-DB130,IF(A131&lt;'Données projet'!$A$140,$CQ$205^A131,IF(A131='Données projet'!$A$140,'Données projet'!$B$140,CT130+CS131-DB130)))</f>
        <v>337.79999999999984</v>
      </c>
      <c r="CU131" s="17">
        <f>CT131*VLOOKUP('Données projet'!$B$13,Paramètres!$A$1:$I$89,3,0)*VLOOKUP('Données projet'!$B$13,Paramètres!$A$1:$I$89,5,0)</f>
        <v>342.52919999999989</v>
      </c>
      <c r="CV131" s="13">
        <f t="shared" si="95"/>
        <v>80.022269546847568</v>
      </c>
      <c r="CW131" s="20">
        <f t="shared" si="67"/>
        <v>735.94380946075933</v>
      </c>
      <c r="CX131" s="59">
        <f t="shared" si="68"/>
        <v>1017.4105681726187</v>
      </c>
      <c r="CY131" s="59">
        <f ca="1">AVERAGE(OFFSET($CX$3,0,0,'Données projet'!$E$13+1,1))-AVERAGE(OFFSET($H$3,0,0,'Données projet'!$E$13+1,1))</f>
        <v>622.07867348539082</v>
      </c>
      <c r="CZ131" s="59">
        <f t="shared" si="96"/>
        <v>398.29010684041634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81.822125114104935</v>
      </c>
      <c r="DG131" s="21">
        <f>EXP(-LN(2)/25)*DG130+(1-EXP(-LN(2)/25))/(LN(2)/25)*Calculateur!DB131*Calculateur!DD131*VLOOKUP('Données projet'!$B$13,Paramètres!$A$1:$I$89,3,0)*0.475*44/12</f>
        <v>0</v>
      </c>
      <c r="DH131" s="21">
        <f>EXP(-LN(2)/2)*DH130+(1-EXP(-LN(2)/2))/(LN(2)/2)*DB131*DE131*VLOOKUP('Données projet'!$B$13,Paramètres!$A$1:$I$89,3,0)*0.475*44/12</f>
        <v>0</v>
      </c>
      <c r="DI131" s="22">
        <f t="shared" si="69"/>
        <v>81.822125114104935</v>
      </c>
      <c r="DJ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4.0999999999999943</v>
      </c>
      <c r="DO131" s="12">
        <f>IF('Données projet'!$A$166&gt;35,DO130+DN131-DW130,IF(A131&lt;'Données projet'!$A$166,$DL$205^A131,IF(A131='Données projet'!$A$166,'Données projet'!$B$166,DO130+DN131-DW130)))</f>
        <v>337.79999999999984</v>
      </c>
      <c r="DP131" s="17">
        <f>DO131*VLOOKUP('Données projet'!$B$14,Paramètres!$A$1:$I$89,3,0)*VLOOKUP('Données projet'!$B$14,Paramètres!$A$1:$I$89,5,0)</f>
        <v>321.45047999999986</v>
      </c>
      <c r="DQ131" s="13">
        <f t="shared" si="97"/>
        <v>75.655074752634718</v>
      </c>
      <c r="DR131" s="20">
        <f t="shared" si="70"/>
        <v>691.62550786083864</v>
      </c>
      <c r="DS131" s="59">
        <f t="shared" si="71"/>
        <v>973.09226657269801</v>
      </c>
      <c r="DT131" s="59">
        <f ca="1">AVERAGE(OFFSET($DS$3,0,0,'Données projet'!$E$14+1,1))-AVERAGE(OFFSET($H$3,0,0,'Données projet'!$E$14+1,1))</f>
        <v>590.05965493677377</v>
      </c>
      <c r="DU131" s="59">
        <f t="shared" si="98"/>
        <v>378.40640480134505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76.786917414775374</v>
      </c>
      <c r="EB131" s="21">
        <f>EXP(-LN(2)/25)*EB130+(1-EXP(-LN(2)/25))/(LN(2)/25)*Calculateur!DW131*Calculateur!DY131*VLOOKUP('Données projet'!$B$14,Paramètres!$A$1:$I$89,3,0)*0.475*44/12</f>
        <v>0</v>
      </c>
      <c r="EC131" s="21">
        <f>EXP(-LN(2)/2)*EC130+(1-EXP(-LN(2)/2))/(LN(2)/2)*DW131*DZ131*VLOOKUP('Données projet'!$B$14,Paramètres!$A$1:$I$89,3,0)*0.475*44/12</f>
        <v>0</v>
      </c>
      <c r="ED131" s="22">
        <f t="shared" si="72"/>
        <v>76.786917414775374</v>
      </c>
      <c r="EE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66.763661466870715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2">
        <f>'Scénario référence'!$B$16*5+'Scénario référence'!$B$17*0+'Scénario référence'!$B$18*5</f>
        <v>4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14.666666666666666</v>
      </c>
      <c r="H132" s="66">
        <f t="shared" ref="H132:H195" si="110">(B132+E132+F132)*44/12+(C132+D132)*0.475*44/12</f>
        <v>159.86666666666667</v>
      </c>
      <c r="I132" s="6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-2.9085640562698246E-14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140.03175887621094</v>
      </c>
      <c r="T132" s="59">
        <f t="shared" si="88"/>
        <v>377.29475975964954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9.9414807406244954</v>
      </c>
      <c r="AA132" s="21">
        <f>EXP(-LN(2)/25)*AA131+(1-EXP(-LN(2)/25))/(LN(2)/25)*Calculateur!V132*Calculateur!X132*VLOOKUP('Données projet'!$B$9,Paramètres!$A$1:$I$89,3,0)*0.475*44/12</f>
        <v>0</v>
      </c>
      <c r="AB132" s="21">
        <f>EXP(-LN(2)/2)*AB131+(1-EXP(-LN(2)/2))/(LN(2)/2)*V132*Y132*VLOOKUP('Données projet'!$B$9,Paramètres!$A$1:$I$89,3,0)*0.475*44/12</f>
        <v>3.0785511682068625E-15</v>
      </c>
      <c r="AC132" s="22">
        <f t="shared" ref="AC132:AC153" si="111">SUM(Z132:AB132)</f>
        <v>9.9414807406244989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-5.6843418860808015E-14</v>
      </c>
      <c r="AJ132" s="13">
        <f>AI132*VLOOKUP('Données projet'!$B$10,Paramètres!$A$1:$I$89,3,0)*VLOOKUP('Données projet'!$B$10,Paramètres!$A$1:$I$89,5,0)</f>
        <v>-2.8642261895583942E-14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138.27364731587764</v>
      </c>
      <c r="AO132" s="59">
        <f t="shared" si="90"/>
        <v>372.50391467700013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9.7899337781149587</v>
      </c>
      <c r="AV132" s="21">
        <f>EXP(-LN(2)/25)*AV131+(1-EXP(-LN(2)/25))/(LN(2)/25)*Calculateur!AQ132*Calculateur!AS132*VLOOKUP('Données projet'!$B$10,Paramètres!$A$1:$I$89,3,0)*0.475*44/12</f>
        <v>0</v>
      </c>
      <c r="AW132" s="21">
        <f>EXP(-LN(2)/2)*AW131+(1-EXP(-LN(2)/2))/(LN(2)/2)*AQ132*AT132*VLOOKUP('Données projet'!$B$10,Paramètres!$A$1:$I$89,3,0)*0.475*44/12</f>
        <v>3.0316220345451694E-15</v>
      </c>
      <c r="AX132" s="21">
        <f t="shared" ref="AX132:AX153" si="114">SUM(AU132:AW132)</f>
        <v>9.7899337781149622</v>
      </c>
      <c r="AY132" s="7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4.0999999999999943</v>
      </c>
      <c r="BD132" s="12">
        <f>IF('Données projet'!$A$88&gt;35,BD131+BC132-BL131,IF(A132&lt;'Données projet'!$A$88,$BA$205^A132,IF(A132='Données projet'!$A$88,'Données projet'!$B$88,BD131+BC132-BL131)))</f>
        <v>341.89999999999986</v>
      </c>
      <c r="BE132" s="13">
        <f>BD132*VLOOKUP('Données projet'!$B$11,Paramètres!$A$1:$I$89,3,0)*VLOOKUP('Données projet'!$B$11,Paramètres!$A$1:$I$89,5,0)</f>
        <v>357.35387999999989</v>
      </c>
      <c r="BF132" s="13">
        <f t="shared" si="91"/>
        <v>83.074914141739768</v>
      </c>
      <c r="BG132" s="20">
        <f t="shared" ref="BG132:BG153" si="115">(BE132+BF132)*0.475*44/12</f>
        <v>767.08014979686322</v>
      </c>
      <c r="BH132" s="59">
        <f t="shared" ref="BH132:BH195" si="116">BG132+(AY132+AZ132)*44/12</f>
        <v>1048.7527670487186</v>
      </c>
      <c r="BI132" s="59">
        <f ca="1">AVERAGE(OFFSET($BH$3,0,0,'Données projet'!$E$11+1,1))-AVERAGE(OFFSET($H$3,0,0,'Données projet'!$E$11+1,1))</f>
        <v>638.07304290599211</v>
      </c>
      <c r="BJ132" s="59">
        <f t="shared" si="92"/>
        <v>408.22196233793511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82.685878320945307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82.685878320945307</v>
      </c>
      <c r="BT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4.0999999999999943</v>
      </c>
      <c r="BY132" s="12">
        <f>IF('Données projet'!$A$114&gt;35,BY131+BX132-CG131,IF(A132&lt;'Données projet'!$A$114,$BV$205^A132,IF(A132='Données projet'!$A$114,'Données projet'!$B$114,BY131+BX132-CG131)))</f>
        <v>341.89999999999986</v>
      </c>
      <c r="BZ132" s="13">
        <f>BY132*VLOOKUP('Données projet'!$B$12,Paramètres!$A$1:$I$89,3,0)*VLOOKUP('Données projet'!$B$12,Paramètres!$A$1:$I$89,5,0)</f>
        <v>389.35571999999985</v>
      </c>
      <c r="CA132" s="13">
        <f t="shared" si="93"/>
        <v>89.615325102162416</v>
      </c>
      <c r="CB132" s="20">
        <f t="shared" ref="CB132:CB153" si="118">(BZ132+CA132)*0.475*44/12</f>
        <v>834.20790355293263</v>
      </c>
      <c r="CC132" s="59">
        <f t="shared" ref="CC132:CC195" si="119">CB132+(BT132+BU132)*44/12</f>
        <v>1115.8805208047881</v>
      </c>
      <c r="CD132" s="59">
        <f ca="1">AVERAGE(OFFSET($CC$3,0,0,'Données projet'!$E$12+1,1))-AVERAGE(OFFSET($H$3,0,0,'Données projet'!$E$12+1,1))</f>
        <v>685.99951993586967</v>
      </c>
      <c r="CE132" s="59">
        <f t="shared" si="94"/>
        <v>437.98014017823095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90.090583842223964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90.090583842223964</v>
      </c>
      <c r="CO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4.0999999999999943</v>
      </c>
      <c r="CT132" s="12">
        <f>IF('Données projet'!$A$140&gt;35,CT131+CS132-DB131,IF(A132&lt;'Données projet'!$A$140,$CQ$205^A132,IF(A132='Données projet'!$A$140,'Données projet'!$B$140,CT131+CS132-DB131)))</f>
        <v>341.89999999999986</v>
      </c>
      <c r="CU132" s="17">
        <f>CT132*VLOOKUP('Données projet'!$B$13,Paramètres!$A$1:$I$89,3,0)*VLOOKUP('Données projet'!$B$13,Paramètres!$A$1:$I$89,5,0)</f>
        <v>346.68659999999988</v>
      </c>
      <c r="CV132" s="13">
        <f t="shared" si="95"/>
        <v>80.87987052827738</v>
      </c>
      <c r="CW132" s="20">
        <f t="shared" ref="CW132:CW153" si="121">(CU132+CV132)*0.475*44/12</f>
        <v>744.67826950341612</v>
      </c>
      <c r="CX132" s="59">
        <f t="shared" ref="CX132:CX195" si="122">CW132+(CO132+CP132)*44/12</f>
        <v>1026.3508867552716</v>
      </c>
      <c r="CY132" s="59">
        <f ca="1">AVERAGE(OFFSET($CX$3,0,0,'Données projet'!$E$13+1,1))-AVERAGE(OFFSET($H$3,0,0,'Données projet'!$E$13+1,1))</f>
        <v>622.07867348539082</v>
      </c>
      <c r="CZ132" s="59">
        <f t="shared" si="96"/>
        <v>398.29010684041634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80.217643147185797</v>
      </c>
      <c r="DG132" s="21">
        <f>EXP(-LN(2)/25)*DG131+(1-EXP(-LN(2)/25))/(LN(2)/25)*Calculateur!DB132*Calculateur!DD132*VLOOKUP('Données projet'!$B$13,Paramètres!$A$1:$I$89,3,0)*0.475*44/12</f>
        <v>0</v>
      </c>
      <c r="DH132" s="21">
        <f>EXP(-LN(2)/2)*DH131+(1-EXP(-LN(2)/2))/(LN(2)/2)*DB132*DE132*VLOOKUP('Données projet'!$B$13,Paramètres!$A$1:$I$89,3,0)*0.475*44/12</f>
        <v>0</v>
      </c>
      <c r="DI132" s="22">
        <f t="shared" ref="DI132:DI153" si="123">SUM(DF132:DH132)</f>
        <v>80.217643147185797</v>
      </c>
      <c r="DJ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4.0999999999999943</v>
      </c>
      <c r="DO132" s="12">
        <f>IF('Données projet'!$A$166&gt;35,DO131+DN132-DW131,IF(A132&lt;'Données projet'!$A$166,$DL$205^A132,IF(A132='Données projet'!$A$166,'Données projet'!$B$166,DO131+DN132-DW131)))</f>
        <v>341.89999999999986</v>
      </c>
      <c r="DP132" s="17">
        <f>DO132*VLOOKUP('Données projet'!$B$14,Paramètres!$A$1:$I$89,3,0)*VLOOKUP('Données projet'!$B$14,Paramètres!$A$1:$I$89,5,0)</f>
        <v>325.35203999999987</v>
      </c>
      <c r="DQ132" s="13">
        <f t="shared" si="97"/>
        <v>76.4658723809127</v>
      </c>
      <c r="DR132" s="20">
        <f t="shared" ref="DR132:DR153" si="124">(DP132+DQ132)*0.475*44/12</f>
        <v>699.83286406342268</v>
      </c>
      <c r="DS132" s="59">
        <f t="shared" ref="DS132:DS195" si="125">DR132+(DJ132+DK132)*44/12</f>
        <v>981.50548131527808</v>
      </c>
      <c r="DT132" s="59">
        <f ca="1">AVERAGE(OFFSET($DS$3,0,0,'Données projet'!$E$14+1,1))-AVERAGE(OFFSET($H$3,0,0,'Données projet'!$E$14+1,1))</f>
        <v>590.05965493677377</v>
      </c>
      <c r="DU132" s="59">
        <f t="shared" si="98"/>
        <v>378.40640480134505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75.281172799666635</v>
      </c>
      <c r="EB132" s="21">
        <f>EXP(-LN(2)/25)*EB131+(1-EXP(-LN(2)/25))/(LN(2)/25)*Calculateur!DW132*Calculateur!DY132*VLOOKUP('Données projet'!$B$14,Paramètres!$A$1:$I$89,3,0)*0.475*44/12</f>
        <v>0</v>
      </c>
      <c r="EC132" s="21">
        <f>EXP(-LN(2)/2)*EC131+(1-EXP(-LN(2)/2))/(LN(2)/2)*DW132*DZ132*VLOOKUP('Données projet'!$B$14,Paramètres!$A$1:$I$89,3,0)*0.475*44/12</f>
        <v>0</v>
      </c>
      <c r="ED132" s="22">
        <f t="shared" ref="ED132:ED153" si="126">SUM(EA132:EC132)</f>
        <v>75.281172799666635</v>
      </c>
      <c r="EE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66.819804705051482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2">
        <f>'Scénario référence'!$B$16*5+'Scénario référence'!$B$17*0+'Scénario référence'!$B$18*5</f>
        <v>4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14.666666666666666</v>
      </c>
      <c r="H133" s="66">
        <f t="shared" si="110"/>
        <v>159.86666666666667</v>
      </c>
      <c r="I133" s="6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-2.9085640562698246E-14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140.03175887621094</v>
      </c>
      <c r="T133" s="59">
        <f t="shared" ref="T133:T196" si="142">$T$3</f>
        <v>377.29475975964954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9.7465343670053599</v>
      </c>
      <c r="AA133" s="21">
        <f>EXP(-LN(2)/25)*AA132+(1-EXP(-LN(2)/25))/(LN(2)/25)*Calculateur!V133*Calculateur!X133*VLOOKUP('Données projet'!$B$9,Paramètres!$A$1:$I$89,3,0)*0.475*44/12</f>
        <v>0</v>
      </c>
      <c r="AB133" s="21">
        <f>EXP(-LN(2)/2)*AB132+(1-EXP(-LN(2)/2))/(LN(2)/2)*V133*Y133*VLOOKUP('Données projet'!$B$9,Paramètres!$A$1:$I$89,3,0)*0.475*44/12</f>
        <v>2.1768644072688401E-15</v>
      </c>
      <c r="AC133" s="22">
        <f t="shared" si="111"/>
        <v>9.7465343670053617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-5.6843418860808015E-14</v>
      </c>
      <c r="AJ133" s="13">
        <f>AI133*VLOOKUP('Données projet'!$B$10,Paramètres!$A$1:$I$89,3,0)*VLOOKUP('Données projet'!$B$10,Paramètres!$A$1:$I$89,5,0)</f>
        <v>-2.8642261895583942E-14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138.27364731587764</v>
      </c>
      <c r="AO133" s="59">
        <f t="shared" ref="AO133:AO196" si="144">$AO$3</f>
        <v>372.50391467700013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9.5979591479961144</v>
      </c>
      <c r="AV133" s="21">
        <f>EXP(-LN(2)/25)*AV132+(1-EXP(-LN(2)/25))/(LN(2)/25)*Calculateur!AQ133*Calculateur!AS133*VLOOKUP('Données projet'!$B$10,Paramètres!$A$1:$I$89,3,0)*0.475*44/12</f>
        <v>0</v>
      </c>
      <c r="AW133" s="21">
        <f>EXP(-LN(2)/2)*AW132+(1-EXP(-LN(2)/2))/(LN(2)/2)*AQ133*AT133*VLOOKUP('Données projet'!$B$10,Paramètres!$A$1:$I$89,3,0)*0.475*44/12</f>
        <v>2.1436804986214471E-15</v>
      </c>
      <c r="AX133" s="21">
        <f t="shared" si="114"/>
        <v>9.5979591479961162</v>
      </c>
      <c r="AY133" s="7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>
        <f>VLOOKUP(A133,'Données projet'!$A$87:$I$107,2,0)</f>
        <v>345.99999999999994</v>
      </c>
      <c r="BB133" s="12">
        <f>VLOOKUP(A133,'Données projet'!$A$87:$I$107,9,0)</f>
        <v>4.0999999999999943</v>
      </c>
      <c r="BC133" s="12">
        <f t="array" ref="BC133">INDEX(BB:BB,MIN(IF(ISNUMBER(BB133:BB329),ROW(BB133:BB329),"")))</f>
        <v>4.0999999999999943</v>
      </c>
      <c r="BD133" s="12">
        <f>IF('Données projet'!$A$88&gt;35,BD132+BC133-BL132,IF(A133&lt;'Données projet'!$A$88,$BA$205^A133,IF(A133='Données projet'!$A$88,'Données projet'!$B$88,BD132+BC133-BL132)))</f>
        <v>345.99999999999989</v>
      </c>
      <c r="BE133" s="13">
        <f>BD133*VLOOKUP('Données projet'!$B$11,Paramètres!$A$1:$I$89,3,0)*VLOOKUP('Données projet'!$B$11,Paramètres!$A$1:$I$89,5,0)</f>
        <v>361.6391999999999</v>
      </c>
      <c r="BF133" s="13">
        <f t="shared" ref="BF133:BF153" si="145">EXP(-1.0587+0.8836*LN(BE133)+0.284)</f>
        <v>83.954561290177111</v>
      </c>
      <c r="BG133" s="20">
        <f t="shared" si="115"/>
        <v>776.07580091372483</v>
      </c>
      <c r="BH133" s="59">
        <f t="shared" si="116"/>
        <v>1057.9507055201382</v>
      </c>
      <c r="BI133" s="59">
        <f ca="1">AVERAGE(OFFSET($BH$3,0,0,'Données projet'!$E$11+1,1))-AVERAGE(OFFSET($H$3,0,0,'Données projet'!$E$11+1,1))</f>
        <v>638.07304290599211</v>
      </c>
      <c r="BJ133" s="59">
        <f t="shared" ref="BJ133:BJ196" si="146">$BJ$3</f>
        <v>408.22196233793511</v>
      </c>
      <c r="BK133" s="15">
        <f>IF(ISNA(VLOOKUP(A133,'Données projet'!$A$87:$I$107,3,0)),0,VLOOKUP(A133,'Données projet'!$A$87:$I$107,3,0))</f>
        <v>12</v>
      </c>
      <c r="BL133" s="15">
        <f>IF(ISNA(VLOOKUP(A133,'Données projet'!$A$87:$I$107,4,0)),0,VLOOKUP(A133,'Données projet'!$A$87:$I$107,4,0))</f>
        <v>44</v>
      </c>
      <c r="BM133" s="16">
        <f>IF(ISNA(VLOOKUP(A133,'Données projet'!$A$87:$I$107,5,0)),0%,VLOOKUP(A133,'Données projet'!$A$87:$I$107,5,0)*VLOOKUP('Données projet'!$B$11,Paramètres!$A$1:$I$89,7,0))</f>
        <v>0.36549999999999999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99.646206818019294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99.646206818019294</v>
      </c>
      <c r="BT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>
        <f>VLOOKUP(A133,'Données projet'!$A$113:$I$133,2,0)</f>
        <v>345.99999999999994</v>
      </c>
      <c r="BW133" s="12">
        <f>VLOOKUP(A133,'Données projet'!$A$113:$I$133,9,0)</f>
        <v>4.0999999999999943</v>
      </c>
      <c r="BX133" s="12">
        <f t="array" ref="BX133">INDEX(BW:BW,MIN(IF(ISNUMBER(BW133:BW329),ROW(BW133:BW329),"")))</f>
        <v>4.0999999999999943</v>
      </c>
      <c r="BY133" s="12">
        <f>IF('Données projet'!$A$114&gt;35,BY132+BX133-CG132,IF(A133&lt;'Données projet'!$A$114,$BV$205^A133,IF(A133='Données projet'!$A$114,'Données projet'!$B$114,BY132+BX133-CG132)))</f>
        <v>345.99999999999989</v>
      </c>
      <c r="BZ133" s="13">
        <f>BY133*VLOOKUP('Données projet'!$B$12,Paramètres!$A$1:$I$89,3,0)*VLOOKUP('Données projet'!$B$12,Paramètres!$A$1:$I$89,5,0)</f>
        <v>394.02479999999986</v>
      </c>
      <c r="CA133" s="13">
        <f t="shared" ref="CA133:CA153" si="147">EXP(-1.0587+0.8836*LN(BZ133)+0.284)</f>
        <v>90.56422605495672</v>
      </c>
      <c r="CB133" s="20">
        <f t="shared" si="118"/>
        <v>843.99255371238257</v>
      </c>
      <c r="CC133" s="59">
        <f t="shared" si="119"/>
        <v>1125.867458318796</v>
      </c>
      <c r="CD133" s="59">
        <f ca="1">AVERAGE(OFFSET($CC$3,0,0,'Données projet'!$E$12+1,1))-AVERAGE(OFFSET($H$3,0,0,'Données projet'!$E$12+1,1))</f>
        <v>685.99951993586967</v>
      </c>
      <c r="CE133" s="59">
        <f t="shared" ref="CE133:CE196" si="148">$CE$3</f>
        <v>437.98014017823095</v>
      </c>
      <c r="CF133" s="15">
        <f>IF(ISNA(VLOOKUP(A133,'Données projet'!$A$113:$I$133,3,0)),0,VLOOKUP(A133,'Données projet'!$A$113:$I$133,3,0))</f>
        <v>12</v>
      </c>
      <c r="CG133" s="15">
        <f>IF(ISNA(VLOOKUP(A133,'Données projet'!$A$113:$I$133,4,0)),0,VLOOKUP(A133,'Données projet'!$A$113:$I$133,4,0))</f>
        <v>44</v>
      </c>
      <c r="CH133" s="16">
        <f>IF(ISNA(VLOOKUP(A133,'Données projet'!$A$113:$I$133,5,0)),0%,VLOOKUP(A133,'Données projet'!$A$113:$I$133,5,0)*VLOOKUP('Données projet'!$B$12,Paramètres!$A$1:$I$89,7,0))</f>
        <v>0.36549999999999999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108.56974772709563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108.56974772709563</v>
      </c>
      <c r="CO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>
        <f>VLOOKUP(A133,'Données projet'!$A$139:$I$159,2,0)</f>
        <v>345.99999999999994</v>
      </c>
      <c r="CR133" s="12">
        <f>VLOOKUP(A133,'Données projet'!$A$139:$I$159,9,0)</f>
        <v>4.0999999999999943</v>
      </c>
      <c r="CS133" s="12">
        <f t="array" ref="CS133">INDEX(CR:CR,MIN(IF(ISNUMBER(CR133:CR329),ROW(CR133:CR329),"")))</f>
        <v>4.0999999999999943</v>
      </c>
      <c r="CT133" s="12">
        <f>IF('Données projet'!$A$140&gt;35,CT132+CS133-DB132,IF(A133&lt;'Données projet'!$A$140,$CQ$205^A133,IF(A133='Données projet'!$A$140,'Données projet'!$B$140,CT132+CS133-DB132)))</f>
        <v>345.99999999999989</v>
      </c>
      <c r="CU133" s="17">
        <f>CT133*VLOOKUP('Données projet'!$B$13,Paramètres!$A$1:$I$89,3,0)*VLOOKUP('Données projet'!$B$13,Paramètres!$A$1:$I$89,5,0)</f>
        <v>350.84399999999988</v>
      </c>
      <c r="CV133" s="13">
        <f t="shared" ref="CV133:CV153" si="149">EXP(-1.0587+0.8836*LN(CU133)+0.284)</f>
        <v>81.736275234935206</v>
      </c>
      <c r="CW133" s="20">
        <f t="shared" si="121"/>
        <v>753.41064603417863</v>
      </c>
      <c r="CX133" s="59">
        <f t="shared" si="122"/>
        <v>1035.285550640592</v>
      </c>
      <c r="CY133" s="59">
        <f ca="1">AVERAGE(OFFSET($CX$3,0,0,'Données projet'!$E$13+1,1))-AVERAGE(OFFSET($H$3,0,0,'Données projet'!$E$13+1,1))</f>
        <v>622.07867348539082</v>
      </c>
      <c r="CZ133" s="59">
        <f t="shared" ref="CZ133:CZ196" si="150">$CZ$3</f>
        <v>398.29010684041634</v>
      </c>
      <c r="DA133" s="15">
        <f>IF(ISNA(VLOOKUP(A133,'Données projet'!$A$139:$I$159,3,0)),0,VLOOKUP(A133,'Données projet'!$A$139:$I$159,3,0))</f>
        <v>12</v>
      </c>
      <c r="DB133" s="15">
        <f>IF(ISNA(VLOOKUP(A133,'Données projet'!$A$139:$I$159,4,0)),0,VLOOKUP(A133,'Données projet'!$A$139:$I$159,4,0))</f>
        <v>44</v>
      </c>
      <c r="DC133" s="16">
        <f>IF(ISNA(VLOOKUP(A133,'Données projet'!$A$139:$I$159,5,0)),0%,VLOOKUP(A133,'Données projet'!$A$139:$I$159,5,0)*VLOOKUP('Données projet'!$B$13,Paramètres!$A$1:$I$89,7,0))</f>
        <v>0.36549999999999999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96.671693181660558</v>
      </c>
      <c r="DG133" s="21">
        <f>EXP(-LN(2)/25)*DG132+(1-EXP(-LN(2)/25))/(LN(2)/25)*Calculateur!DB133*Calculateur!DD133*VLOOKUP('Données projet'!$B$13,Paramètres!$A$1:$I$89,3,0)*0.475*44/12</f>
        <v>0</v>
      </c>
      <c r="DH133" s="21">
        <f>EXP(-LN(2)/2)*DH132+(1-EXP(-LN(2)/2))/(LN(2)/2)*DB133*DE133*VLOOKUP('Données projet'!$B$13,Paramètres!$A$1:$I$89,3,0)*0.475*44/12</f>
        <v>0</v>
      </c>
      <c r="DI133" s="22">
        <f t="shared" si="123"/>
        <v>96.671693181660558</v>
      </c>
      <c r="DJ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>
        <f>VLOOKUP(A133,'Données projet'!$A$165:$I$185,2,0)</f>
        <v>345.99999999999994</v>
      </c>
      <c r="DM133" s="12">
        <f>VLOOKUP(A133,'Données projet'!$A$165:$I$185,9,0)</f>
        <v>4.0999999999999943</v>
      </c>
      <c r="DN133" s="12">
        <f t="array" ref="DN133">INDEX(DM:DM,MIN(IF(ISNUMBER(DM133:DM329),ROW(DM133:DM329),"")))</f>
        <v>4.0999999999999943</v>
      </c>
      <c r="DO133" s="12">
        <f>IF('Données projet'!$A$166&gt;35,DO132+DN133-DW132,IF(A133&lt;'Données projet'!$A$166,$DL$205^A133,IF(A133='Données projet'!$A$166,'Données projet'!$B$166,DO132+DN133-DW132)))</f>
        <v>345.99999999999989</v>
      </c>
      <c r="DP133" s="17">
        <f>DO133*VLOOKUP('Données projet'!$B$14,Paramètres!$A$1:$I$89,3,0)*VLOOKUP('Données projet'!$B$14,Paramètres!$A$1:$I$89,5,0)</f>
        <v>329.25359999999989</v>
      </c>
      <c r="DQ133" s="13">
        <f t="shared" ref="DQ133:DQ153" si="151">EXP(-1.0587+0.8836*LN(DP133)+0.284)</f>
        <v>77.275539020806917</v>
      </c>
      <c r="DR133" s="20">
        <f t="shared" si="124"/>
        <v>708.03825046123848</v>
      </c>
      <c r="DS133" s="59">
        <f t="shared" si="125"/>
        <v>989.91315506765181</v>
      </c>
      <c r="DT133" s="59">
        <f ca="1">AVERAGE(OFFSET($DS$3,0,0,'Données projet'!$E$14+1,1))-AVERAGE(OFFSET($H$3,0,0,'Données projet'!$E$14+1,1))</f>
        <v>590.05965493677377</v>
      </c>
      <c r="DU133" s="59">
        <f t="shared" ref="DU133:DU196" si="152">$DU$3</f>
        <v>378.40640480134505</v>
      </c>
      <c r="DV133" s="15">
        <f>IF(ISNA(VLOOKUP(A133,'Données projet'!$A$165:$I$185,3,0)),0,VLOOKUP(A133,'Données projet'!$A$165:$I$185,3,0))</f>
        <v>12</v>
      </c>
      <c r="DW133" s="15">
        <f>IF(ISNA(VLOOKUP(A133,'Données projet'!$A$165:$I$185,4,0)),0,VLOOKUP(A133,'Données projet'!$A$165:$I$185,4,0))</f>
        <v>44</v>
      </c>
      <c r="DX133" s="16">
        <f>IF(ISNA(VLOOKUP(A133,'Données projet'!$A$165:$I$185,5,0)),0%,VLOOKUP(A133,'Données projet'!$A$165:$I$185,5,0)*VLOOKUP('Données projet'!$B$14,Paramètres!$A$1:$I$89,7,0))</f>
        <v>0.36549999999999999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90.722665908942957</v>
      </c>
      <c r="EB133" s="21">
        <f>EXP(-LN(2)/25)*EB132+(1-EXP(-LN(2)/25))/(LN(2)/25)*Calculateur!DW133*Calculateur!DY133*VLOOKUP('Données projet'!$B$14,Paramètres!$A$1:$I$89,3,0)*0.475*44/12</f>
        <v>0</v>
      </c>
      <c r="EC133" s="21">
        <f>EXP(-LN(2)/2)*EC132+(1-EXP(-LN(2)/2))/(LN(2)/2)*DW133*DZ133*VLOOKUP('Données projet'!$B$14,Paramètres!$A$1:$I$89,3,0)*0.475*44/12</f>
        <v>0</v>
      </c>
      <c r="ED133" s="22">
        <f t="shared" si="126"/>
        <v>90.722665908942957</v>
      </c>
      <c r="EE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66.874973983567287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2">
        <f>'Scénario référence'!$B$16*5+'Scénario référence'!$B$17*0+'Scénario référence'!$B$18*5</f>
        <v>4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14.666666666666666</v>
      </c>
      <c r="H134" s="66">
        <f t="shared" si="110"/>
        <v>159.86666666666667</v>
      </c>
      <c r="I134" s="6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-2.9085640562698246E-14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140.03175887621094</v>
      </c>
      <c r="T134" s="59">
        <f t="shared" si="142"/>
        <v>377.29475975964954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9.555410772867349</v>
      </c>
      <c r="AA134" s="21">
        <f>EXP(-LN(2)/25)*AA133+(1-EXP(-LN(2)/25))/(LN(2)/25)*Calculateur!V134*Calculateur!X134*VLOOKUP('Données projet'!$B$9,Paramètres!$A$1:$I$89,3,0)*0.475*44/12</f>
        <v>0</v>
      </c>
      <c r="AB134" s="21">
        <f>EXP(-LN(2)/2)*AB133+(1-EXP(-LN(2)/2))/(LN(2)/2)*V134*Y134*VLOOKUP('Données projet'!$B$9,Paramètres!$A$1:$I$89,3,0)*0.475*44/12</f>
        <v>1.5392755841034312E-15</v>
      </c>
      <c r="AC134" s="22">
        <f t="shared" si="111"/>
        <v>9.5554107728673507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-5.6843418860808015E-14</v>
      </c>
      <c r="AJ134" s="13">
        <f>AI134*VLOOKUP('Données projet'!$B$10,Paramètres!$A$1:$I$89,3,0)*VLOOKUP('Données projet'!$B$10,Paramètres!$A$1:$I$89,5,0)</f>
        <v>-2.8642261895583942E-14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138.27364731587764</v>
      </c>
      <c r="AO134" s="59">
        <f t="shared" si="144"/>
        <v>372.50391467700013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9.4097490232809395</v>
      </c>
      <c r="AV134" s="21">
        <f>EXP(-LN(2)/25)*AV133+(1-EXP(-LN(2)/25))/(LN(2)/25)*Calculateur!AQ134*Calculateur!AS134*VLOOKUP('Données projet'!$B$10,Paramètres!$A$1:$I$89,3,0)*0.475*44/12</f>
        <v>0</v>
      </c>
      <c r="AW134" s="21">
        <f>EXP(-LN(2)/2)*AW133+(1-EXP(-LN(2)/2))/(LN(2)/2)*AQ134*AT134*VLOOKUP('Données projet'!$B$10,Paramètres!$A$1:$I$89,3,0)*0.475*44/12</f>
        <v>1.5158110172725847E-15</v>
      </c>
      <c r="AX134" s="21">
        <f t="shared" si="114"/>
        <v>9.4097490232809413</v>
      </c>
      <c r="AY134" s="7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3.8</v>
      </c>
      <c r="BD134" s="12">
        <f>IF('Données projet'!$A$88&gt;35,BD133+BC134-BL133,IF(A134&lt;'Données projet'!$A$88,$BA$205^A134,IF(A134='Données projet'!$A$88,'Données projet'!$B$88,BD133+BC134-BL133)))</f>
        <v>305.7999999999999</v>
      </c>
      <c r="BE134" s="13">
        <f>BD134*VLOOKUP('Données projet'!$B$11,Paramètres!$A$1:$I$89,3,0)*VLOOKUP('Données projet'!$B$11,Paramètres!$A$1:$I$89,5,0)</f>
        <v>319.62215999999989</v>
      </c>
      <c r="BF134" s="13">
        <f t="shared" si="145"/>
        <v>75.274731297766465</v>
      </c>
      <c r="BG134" s="20">
        <f t="shared" si="115"/>
        <v>687.77875234360965</v>
      </c>
      <c r="BH134" s="59">
        <f t="shared" si="116"/>
        <v>969.85243507122618</v>
      </c>
      <c r="BI134" s="59">
        <f ca="1">AVERAGE(OFFSET($BH$3,0,0,'Données projet'!$E$11+1,1))-AVERAGE(OFFSET($H$3,0,0,'Données projet'!$E$11+1,1))</f>
        <v>638.07304290599211</v>
      </c>
      <c r="BJ134" s="59">
        <f t="shared" si="146"/>
        <v>408.22196233793511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97.69220548050275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97.69220548050275</v>
      </c>
      <c r="BT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3.8</v>
      </c>
      <c r="BY134" s="12">
        <f>IF('Données projet'!$A$114&gt;35,BY133+BX134-CG133,IF(A134&lt;'Données projet'!$A$114,$BV$205^A134,IF(A134='Données projet'!$A$114,'Données projet'!$B$114,BY133+BX134-CG133)))</f>
        <v>305.7999999999999</v>
      </c>
      <c r="BZ134" s="13">
        <f>BY134*VLOOKUP('Données projet'!$B$12,Paramètres!$A$1:$I$89,3,0)*VLOOKUP('Données projet'!$B$12,Paramètres!$A$1:$I$89,5,0)</f>
        <v>348.2450399999999</v>
      </c>
      <c r="CA134" s="13">
        <f t="shared" si="147"/>
        <v>81.201041095484612</v>
      </c>
      <c r="CB134" s="20">
        <f t="shared" si="118"/>
        <v>747.95192457463543</v>
      </c>
      <c r="CC134" s="59">
        <f t="shared" si="119"/>
        <v>1030.025607302252</v>
      </c>
      <c r="CD134" s="59">
        <f ca="1">AVERAGE(OFFSET($CC$3,0,0,'Données projet'!$E$12+1,1))-AVERAGE(OFFSET($H$3,0,0,'Données projet'!$E$12+1,1))</f>
        <v>685.99951993586967</v>
      </c>
      <c r="CE134" s="59">
        <f t="shared" si="148"/>
        <v>437.98014017823095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106.44076119517462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106.44076119517462</v>
      </c>
      <c r="CO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3.8</v>
      </c>
      <c r="CT134" s="12">
        <f>IF('Données projet'!$A$140&gt;35,CT133+CS134-DB133,IF(A134&lt;'Données projet'!$A$140,$CQ$205^A134,IF(A134='Données projet'!$A$140,'Données projet'!$B$140,CT133+CS134-DB133)))</f>
        <v>305.7999999999999</v>
      </c>
      <c r="CU134" s="17">
        <f>CT134*VLOOKUP('Données projet'!$B$13,Paramètres!$A$1:$I$89,3,0)*VLOOKUP('Données projet'!$B$13,Paramètres!$A$1:$I$89,5,0)</f>
        <v>310.08119999999991</v>
      </c>
      <c r="CV134" s="13">
        <f t="shared" si="149"/>
        <v>73.285787705139427</v>
      </c>
      <c r="CW134" s="20">
        <f t="shared" si="121"/>
        <v>667.69750358645092</v>
      </c>
      <c r="CX134" s="59">
        <f t="shared" si="122"/>
        <v>949.77118631406745</v>
      </c>
      <c r="CY134" s="59">
        <f ca="1">AVERAGE(OFFSET($CX$3,0,0,'Données projet'!$E$13+1,1))-AVERAGE(OFFSET($H$3,0,0,'Données projet'!$E$13+1,1))</f>
        <v>622.07867348539082</v>
      </c>
      <c r="CZ134" s="59">
        <f t="shared" si="150"/>
        <v>398.29010684041634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94.776020242278832</v>
      </c>
      <c r="DG134" s="21">
        <f>EXP(-LN(2)/25)*DG133+(1-EXP(-LN(2)/25))/(LN(2)/25)*Calculateur!DB134*Calculateur!DD134*VLOOKUP('Données projet'!$B$13,Paramètres!$A$1:$I$89,3,0)*0.475*44/12</f>
        <v>0</v>
      </c>
      <c r="DH134" s="21">
        <f>EXP(-LN(2)/2)*DH133+(1-EXP(-LN(2)/2))/(LN(2)/2)*DB134*DE134*VLOOKUP('Données projet'!$B$13,Paramètres!$A$1:$I$89,3,0)*0.475*44/12</f>
        <v>0</v>
      </c>
      <c r="DI134" s="22">
        <f t="shared" si="123"/>
        <v>94.776020242278832</v>
      </c>
      <c r="DJ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3.8</v>
      </c>
      <c r="DO134" s="12">
        <f>IF('Données projet'!$A$166&gt;35,DO133+DN134-DW133,IF(A134&lt;'Données projet'!$A$166,$DL$205^A134,IF(A134='Données projet'!$A$166,'Données projet'!$B$166,DO133+DN134-DW133)))</f>
        <v>305.7999999999999</v>
      </c>
      <c r="DP134" s="17">
        <f>DO134*VLOOKUP('Données projet'!$B$14,Paramètres!$A$1:$I$89,3,0)*VLOOKUP('Données projet'!$B$14,Paramètres!$A$1:$I$89,5,0)</f>
        <v>290.99927999999989</v>
      </c>
      <c r="DQ134" s="13">
        <f t="shared" si="151"/>
        <v>69.286234676112883</v>
      </c>
      <c r="DR134" s="20">
        <f t="shared" si="124"/>
        <v>627.49727139422964</v>
      </c>
      <c r="DS134" s="59">
        <f t="shared" si="125"/>
        <v>909.57095412184617</v>
      </c>
      <c r="DT134" s="59">
        <f ca="1">AVERAGE(OFFSET($DS$3,0,0,'Données projet'!$E$14+1,1))-AVERAGE(OFFSET($H$3,0,0,'Données projet'!$E$14+1,1))</f>
        <v>590.05965493677377</v>
      </c>
      <c r="DU134" s="59">
        <f t="shared" si="152"/>
        <v>378.40640480134505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88.943649765830884</v>
      </c>
      <c r="EB134" s="21">
        <f>EXP(-LN(2)/25)*EB133+(1-EXP(-LN(2)/25))/(LN(2)/25)*Calculateur!DW134*Calculateur!DY134*VLOOKUP('Données projet'!$B$14,Paramètres!$A$1:$I$89,3,0)*0.475*44/12</f>
        <v>0</v>
      </c>
      <c r="EC134" s="21">
        <f>EXP(-LN(2)/2)*EC133+(1-EXP(-LN(2)/2))/(LN(2)/2)*DW134*DZ134*VLOOKUP('Données projet'!$B$14,Paramètres!$A$1:$I$89,3,0)*0.475*44/12</f>
        <v>0</v>
      </c>
      <c r="ED134" s="22">
        <f t="shared" si="126"/>
        <v>88.943649765830884</v>
      </c>
      <c r="EE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66.929186198440874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2">
        <f>'Scénario référence'!$B$16*5+'Scénario référence'!$B$17*0+'Scénario référence'!$B$18*5</f>
        <v>4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14.666666666666666</v>
      </c>
      <c r="H135" s="66">
        <f t="shared" si="110"/>
        <v>159.86666666666667</v>
      </c>
      <c r="I135" s="6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-2.9085640562698246E-14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140.03175887621094</v>
      </c>
      <c r="T135" s="59">
        <f t="shared" si="142"/>
        <v>377.29475975964954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9.3680349958365028</v>
      </c>
      <c r="AA135" s="21">
        <f>EXP(-LN(2)/25)*AA134+(1-EXP(-LN(2)/25))/(LN(2)/25)*Calculateur!V135*Calculateur!X135*VLOOKUP('Données projet'!$B$9,Paramètres!$A$1:$I$89,3,0)*0.475*44/12</f>
        <v>0</v>
      </c>
      <c r="AB135" s="21">
        <f>EXP(-LN(2)/2)*AB134+(1-EXP(-LN(2)/2))/(LN(2)/2)*V135*Y135*VLOOKUP('Données projet'!$B$9,Paramètres!$A$1:$I$89,3,0)*0.475*44/12</f>
        <v>1.0884322036344201E-15</v>
      </c>
      <c r="AC135" s="22">
        <f t="shared" si="111"/>
        <v>9.3680349958365046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-5.6843418860808015E-14</v>
      </c>
      <c r="AJ135" s="13">
        <f>AI135*VLOOKUP('Données projet'!$B$10,Paramètres!$A$1:$I$89,3,0)*VLOOKUP('Données projet'!$B$10,Paramètres!$A$1:$I$89,5,0)</f>
        <v>-2.8642261895583942E-14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138.27364731587764</v>
      </c>
      <c r="AO135" s="59">
        <f t="shared" si="144"/>
        <v>372.50391467700013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9.2252295843145884</v>
      </c>
      <c r="AV135" s="21">
        <f>EXP(-LN(2)/25)*AV134+(1-EXP(-LN(2)/25))/(LN(2)/25)*Calculateur!AQ135*Calculateur!AS135*VLOOKUP('Données projet'!$B$10,Paramètres!$A$1:$I$89,3,0)*0.475*44/12</f>
        <v>0</v>
      </c>
      <c r="AW135" s="21">
        <f>EXP(-LN(2)/2)*AW134+(1-EXP(-LN(2)/2))/(LN(2)/2)*AQ135*AT135*VLOOKUP('Données projet'!$B$10,Paramètres!$A$1:$I$89,3,0)*0.475*44/12</f>
        <v>1.0718402493107235E-15</v>
      </c>
      <c r="AX135" s="21">
        <f t="shared" si="114"/>
        <v>9.2252295843145902</v>
      </c>
      <c r="AY135" s="7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3.8</v>
      </c>
      <c r="BD135" s="12">
        <f>IF('Données projet'!$A$88&gt;35,BD134+BC135-BL134,IF(A135&lt;'Données projet'!$A$88,$BA$205^A135,IF(A135='Données projet'!$A$88,'Données projet'!$B$88,BD134+BC135-BL134)))</f>
        <v>309.59999999999991</v>
      </c>
      <c r="BE135" s="13">
        <f>BD135*VLOOKUP('Données projet'!$B$11,Paramètres!$A$1:$I$89,3,0)*VLOOKUP('Données projet'!$B$11,Paramètres!$A$1:$I$89,5,0)</f>
        <v>323.59391999999997</v>
      </c>
      <c r="BF135" s="13">
        <f t="shared" si="145"/>
        <v>76.100651858165278</v>
      </c>
      <c r="BG135" s="20">
        <f t="shared" si="115"/>
        <v>696.13471265297119</v>
      </c>
      <c r="BH135" s="59">
        <f t="shared" si="116"/>
        <v>978.40372514578939</v>
      </c>
      <c r="BI135" s="59">
        <f ca="1">AVERAGE(OFFSET($BH$3,0,0,'Données projet'!$E$11+1,1))-AVERAGE(OFFSET($H$3,0,0,'Données projet'!$E$11+1,1))</f>
        <v>638.07304290599211</v>
      </c>
      <c r="BJ135" s="59">
        <f t="shared" si="146"/>
        <v>408.22196233793511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95.776520917391764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95.776520917391764</v>
      </c>
      <c r="BT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3.8</v>
      </c>
      <c r="BY135" s="12">
        <f>IF('Données projet'!$A$114&gt;35,BY134+BX135-CG134,IF(A135&lt;'Données projet'!$A$114,$BV$205^A135,IF(A135='Données projet'!$A$114,'Données projet'!$B$114,BY134+BX135-CG134)))</f>
        <v>309.59999999999991</v>
      </c>
      <c r="BZ135" s="13">
        <f>BY135*VLOOKUP('Données projet'!$B$12,Paramètres!$A$1:$I$89,3,0)*VLOOKUP('Données projet'!$B$12,Paramètres!$A$1:$I$89,5,0)</f>
        <v>352.57247999999987</v>
      </c>
      <c r="CA135" s="13">
        <f t="shared" si="147"/>
        <v>82.091985615781226</v>
      </c>
      <c r="CB135" s="20">
        <f t="shared" si="118"/>
        <v>757.04061094748533</v>
      </c>
      <c r="CC135" s="59">
        <f t="shared" si="119"/>
        <v>1039.3096234403035</v>
      </c>
      <c r="CD135" s="59">
        <f ca="1">AVERAGE(OFFSET($CC$3,0,0,'Données projet'!$E$12+1,1))-AVERAGE(OFFSET($H$3,0,0,'Données projet'!$E$12+1,1))</f>
        <v>685.99951993586967</v>
      </c>
      <c r="CE135" s="59">
        <f t="shared" si="148"/>
        <v>437.98014017823095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104.35352279059101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104.35352279059101</v>
      </c>
      <c r="CO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3.8</v>
      </c>
      <c r="CT135" s="12">
        <f>IF('Données projet'!$A$140&gt;35,CT134+CS135-DB134,IF(A135&lt;'Données projet'!$A$140,$CQ$205^A135,IF(A135='Données projet'!$A$140,'Données projet'!$B$140,CT134+CS135-DB134)))</f>
        <v>309.59999999999991</v>
      </c>
      <c r="CU135" s="17">
        <f>CT135*VLOOKUP('Données projet'!$B$13,Paramètres!$A$1:$I$89,3,0)*VLOOKUP('Données projet'!$B$13,Paramètres!$A$1:$I$89,5,0)</f>
        <v>313.93439999999993</v>
      </c>
      <c r="CV135" s="13">
        <f t="shared" si="149"/>
        <v>74.089885412393457</v>
      </c>
      <c r="CW135" s="20">
        <f t="shared" si="121"/>
        <v>675.80896375991847</v>
      </c>
      <c r="CX135" s="59">
        <f t="shared" si="122"/>
        <v>958.07797625273656</v>
      </c>
      <c r="CY135" s="59">
        <f ca="1">AVERAGE(OFFSET($CX$3,0,0,'Données projet'!$E$13+1,1))-AVERAGE(OFFSET($H$3,0,0,'Données projet'!$E$13+1,1))</f>
        <v>622.07867348539082</v>
      </c>
      <c r="CZ135" s="59">
        <f t="shared" si="150"/>
        <v>398.29010684041634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92.917520292992066</v>
      </c>
      <c r="DG135" s="21">
        <f>EXP(-LN(2)/25)*DG134+(1-EXP(-LN(2)/25))/(LN(2)/25)*Calculateur!DB135*Calculateur!DD135*VLOOKUP('Données projet'!$B$13,Paramètres!$A$1:$I$89,3,0)*0.475*44/12</f>
        <v>0</v>
      </c>
      <c r="DH135" s="21">
        <f>EXP(-LN(2)/2)*DH134+(1-EXP(-LN(2)/2))/(LN(2)/2)*DB135*DE135*VLOOKUP('Données projet'!$B$13,Paramètres!$A$1:$I$89,3,0)*0.475*44/12</f>
        <v>0</v>
      </c>
      <c r="DI135" s="22">
        <f t="shared" si="123"/>
        <v>92.917520292992066</v>
      </c>
      <c r="DJ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3.8</v>
      </c>
      <c r="DO135" s="12">
        <f>IF('Données projet'!$A$166&gt;35,DO134+DN135-DW134,IF(A135&lt;'Données projet'!$A$166,$DL$205^A135,IF(A135='Données projet'!$A$166,'Données projet'!$B$166,DO134+DN135-DW134)))</f>
        <v>309.59999999999991</v>
      </c>
      <c r="DP135" s="17">
        <f>DO135*VLOOKUP('Données projet'!$B$14,Paramètres!$A$1:$I$89,3,0)*VLOOKUP('Données projet'!$B$14,Paramètres!$A$1:$I$89,5,0)</f>
        <v>294.6153599999999</v>
      </c>
      <c r="DQ135" s="13">
        <f t="shared" si="151"/>
        <v>70.04644895765243</v>
      </c>
      <c r="DR135" s="20">
        <f t="shared" si="124"/>
        <v>635.11931726791101</v>
      </c>
      <c r="DS135" s="59">
        <f t="shared" si="125"/>
        <v>917.38832976072922</v>
      </c>
      <c r="DT135" s="59">
        <f ca="1">AVERAGE(OFFSET($DS$3,0,0,'Données projet'!$E$14+1,1))-AVERAGE(OFFSET($H$3,0,0,'Données projet'!$E$14+1,1))</f>
        <v>590.05965493677377</v>
      </c>
      <c r="DU135" s="59">
        <f t="shared" si="152"/>
        <v>378.40640480134505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87.199519044192527</v>
      </c>
      <c r="EB135" s="21">
        <f>EXP(-LN(2)/25)*EB134+(1-EXP(-LN(2)/25))/(LN(2)/25)*Calculateur!DW135*Calculateur!DY135*VLOOKUP('Données projet'!$B$14,Paramètres!$A$1:$I$89,3,0)*0.475*44/12</f>
        <v>0</v>
      </c>
      <c r="EC135" s="21">
        <f>EXP(-LN(2)/2)*EC134+(1-EXP(-LN(2)/2))/(LN(2)/2)*DW135*DZ135*VLOOKUP('Données projet'!$B$14,Paramètres!$A$1:$I$89,3,0)*0.475*44/12</f>
        <v>0</v>
      </c>
      <c r="ED135" s="22">
        <f t="shared" si="126"/>
        <v>87.199519044192527</v>
      </c>
      <c r="EE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66.98245795258677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2">
        <f>'Scénario référence'!$B$16*5+'Scénario référence'!$B$17*0+'Scénario référence'!$B$18*5</f>
        <v>4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14.666666666666666</v>
      </c>
      <c r="H136" s="66">
        <f t="shared" si="110"/>
        <v>159.86666666666667</v>
      </c>
      <c r="I136" s="6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-2.9085640562698246E-14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140.03175887621094</v>
      </c>
      <c r="T136" s="59">
        <f t="shared" si="142"/>
        <v>377.29475975964954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9.1843335435052929</v>
      </c>
      <c r="AA136" s="21">
        <f>EXP(-LN(2)/25)*AA135+(1-EXP(-LN(2)/25))/(LN(2)/25)*Calculateur!V136*Calculateur!X136*VLOOKUP('Données projet'!$B$9,Paramètres!$A$1:$I$89,3,0)*0.475*44/12</f>
        <v>0</v>
      </c>
      <c r="AB136" s="21">
        <f>EXP(-LN(2)/2)*AB135+(1-EXP(-LN(2)/2))/(LN(2)/2)*V136*Y136*VLOOKUP('Données projet'!$B$9,Paramètres!$A$1:$I$89,3,0)*0.475*44/12</f>
        <v>7.6963779205171561E-16</v>
      </c>
      <c r="AC136" s="22">
        <f t="shared" si="111"/>
        <v>9.1843335435052929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-5.6843418860808015E-14</v>
      </c>
      <c r="AJ136" s="13">
        <f>AI136*VLOOKUP('Données projet'!$B$10,Paramètres!$A$1:$I$89,3,0)*VLOOKUP('Données projet'!$B$10,Paramètres!$A$1:$I$89,5,0)</f>
        <v>-2.8642261895583942E-14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138.27364731587764</v>
      </c>
      <c r="AO136" s="59">
        <f t="shared" si="144"/>
        <v>372.50391467700013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9.0443284590006225</v>
      </c>
      <c r="AV136" s="21">
        <f>EXP(-LN(2)/25)*AV135+(1-EXP(-LN(2)/25))/(LN(2)/25)*Calculateur!AQ136*Calculateur!AS136*VLOOKUP('Données projet'!$B$10,Paramètres!$A$1:$I$89,3,0)*0.475*44/12</f>
        <v>0</v>
      </c>
      <c r="AW136" s="21">
        <f>EXP(-LN(2)/2)*AW135+(1-EXP(-LN(2)/2))/(LN(2)/2)*AQ136*AT136*VLOOKUP('Données projet'!$B$10,Paramètres!$A$1:$I$89,3,0)*0.475*44/12</f>
        <v>7.5790550863629235E-16</v>
      </c>
      <c r="AX136" s="21">
        <f t="shared" si="114"/>
        <v>9.0443284590006225</v>
      </c>
      <c r="AY136" s="7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3.8</v>
      </c>
      <c r="BD136" s="12">
        <f>IF('Données projet'!$A$88&gt;35,BD135+BC136-BL135,IF(A136&lt;'Données projet'!$A$88,$BA$205^A136,IF(A136='Données projet'!$A$88,'Données projet'!$B$88,BD135+BC136-BL135)))</f>
        <v>313.39999999999992</v>
      </c>
      <c r="BE136" s="13">
        <f>BD136*VLOOKUP('Données projet'!$B$11,Paramètres!$A$1:$I$89,3,0)*VLOOKUP('Données projet'!$B$11,Paramètres!$A$1:$I$89,5,0)</f>
        <v>327.56567999999993</v>
      </c>
      <c r="BF136" s="13">
        <f t="shared" si="145"/>
        <v>76.925393251782126</v>
      </c>
      <c r="BG136" s="20">
        <f t="shared" si="115"/>
        <v>704.48861924685377</v>
      </c>
      <c r="BH136" s="59">
        <f t="shared" si="116"/>
        <v>986.94957297013923</v>
      </c>
      <c r="BI136" s="59">
        <f ca="1">AVERAGE(OFFSET($BH$3,0,0,'Données projet'!$E$11+1,1))-AVERAGE(OFFSET($H$3,0,0,'Données projet'!$E$11+1,1))</f>
        <v>638.07304290599211</v>
      </c>
      <c r="BJ136" s="59">
        <f t="shared" si="146"/>
        <v>408.22196233793511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93.898401760111184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93.898401760111184</v>
      </c>
      <c r="BT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3.8</v>
      </c>
      <c r="BY136" s="12">
        <f>IF('Données projet'!$A$114&gt;35,BY135+BX136-CG135,IF(A136&lt;'Données projet'!$A$114,$BV$205^A136,IF(A136='Données projet'!$A$114,'Données projet'!$B$114,BY135+BX136-CG135)))</f>
        <v>313.39999999999992</v>
      </c>
      <c r="BZ136" s="13">
        <f>BY136*VLOOKUP('Données projet'!$B$12,Paramètres!$A$1:$I$89,3,0)*VLOOKUP('Données projet'!$B$12,Paramètres!$A$1:$I$89,5,0)</f>
        <v>356.8999199999999</v>
      </c>
      <c r="CA136" s="13">
        <f t="shared" si="147"/>
        <v>82.981658134588628</v>
      </c>
      <c r="CB136" s="20">
        <f t="shared" si="118"/>
        <v>766.12708191774163</v>
      </c>
      <c r="CC136" s="59">
        <f t="shared" si="119"/>
        <v>1048.5880356410271</v>
      </c>
      <c r="CD136" s="59">
        <f ca="1">AVERAGE(OFFSET($CC$3,0,0,'Données projet'!$E$12+1,1))-AVERAGE(OFFSET($H$3,0,0,'Données projet'!$E$12+1,1))</f>
        <v>685.99951993586967</v>
      </c>
      <c r="CE136" s="59">
        <f t="shared" si="148"/>
        <v>437.98014017823095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102.30721385803157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102.30721385803157</v>
      </c>
      <c r="CO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3.8</v>
      </c>
      <c r="CT136" s="12">
        <f>IF('Données projet'!$A$140&gt;35,CT135+CS136-DB135,IF(A136&lt;'Données projet'!$A$140,$CQ$205^A136,IF(A136='Données projet'!$A$140,'Données projet'!$B$140,CT135+CS136-DB135)))</f>
        <v>313.39999999999992</v>
      </c>
      <c r="CU136" s="17">
        <f>CT136*VLOOKUP('Données projet'!$B$13,Paramètres!$A$1:$I$89,3,0)*VLOOKUP('Données projet'!$B$13,Paramètres!$A$1:$I$89,5,0)</f>
        <v>317.78759999999994</v>
      </c>
      <c r="CV136" s="13">
        <f t="shared" si="149"/>
        <v>74.892835109352845</v>
      </c>
      <c r="CW136" s="20">
        <f t="shared" si="121"/>
        <v>683.91842448212276</v>
      </c>
      <c r="CX136" s="59">
        <f t="shared" si="122"/>
        <v>966.37937820540822</v>
      </c>
      <c r="CY136" s="59">
        <f ca="1">AVERAGE(OFFSET($CX$3,0,0,'Données projet'!$E$13+1,1))-AVERAGE(OFFSET($H$3,0,0,'Données projet'!$E$13+1,1))</f>
        <v>622.07867348539082</v>
      </c>
      <c r="CZ136" s="59">
        <f t="shared" si="150"/>
        <v>398.29010684041634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91.095464394137764</v>
      </c>
      <c r="DG136" s="21">
        <f>EXP(-LN(2)/25)*DG135+(1-EXP(-LN(2)/25))/(LN(2)/25)*Calculateur!DB136*Calculateur!DD136*VLOOKUP('Données projet'!$B$13,Paramètres!$A$1:$I$89,3,0)*0.475*44/12</f>
        <v>0</v>
      </c>
      <c r="DH136" s="21">
        <f>EXP(-LN(2)/2)*DH135+(1-EXP(-LN(2)/2))/(LN(2)/2)*DB136*DE136*VLOOKUP('Données projet'!$B$13,Paramètres!$A$1:$I$89,3,0)*0.475*44/12</f>
        <v>0</v>
      </c>
      <c r="DI136" s="22">
        <f t="shared" si="123"/>
        <v>91.095464394137764</v>
      </c>
      <c r="DJ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3.8</v>
      </c>
      <c r="DO136" s="12">
        <f>IF('Données projet'!$A$166&gt;35,DO135+DN136-DW135,IF(A136&lt;'Données projet'!$A$166,$DL$205^A136,IF(A136='Données projet'!$A$166,'Données projet'!$B$166,DO135+DN136-DW135)))</f>
        <v>313.39999999999992</v>
      </c>
      <c r="DP136" s="17">
        <f>DO136*VLOOKUP('Données projet'!$B$14,Paramètres!$A$1:$I$89,3,0)*VLOOKUP('Données projet'!$B$14,Paramètres!$A$1:$I$89,5,0)</f>
        <v>298.23143999999991</v>
      </c>
      <c r="DQ136" s="13">
        <f t="shared" si="151"/>
        <v>70.805577881264298</v>
      </c>
      <c r="DR136" s="20">
        <f t="shared" si="124"/>
        <v>642.73947280986852</v>
      </c>
      <c r="DS136" s="59">
        <f t="shared" si="125"/>
        <v>925.20042653315397</v>
      </c>
      <c r="DT136" s="59">
        <f ca="1">AVERAGE(OFFSET($DS$3,0,0,'Données projet'!$E$14+1,1))-AVERAGE(OFFSET($H$3,0,0,'Données projet'!$E$14+1,1))</f>
        <v>590.05965493677377</v>
      </c>
      <c r="DU136" s="59">
        <f t="shared" si="152"/>
        <v>378.40640480134505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85.489589662190809</v>
      </c>
      <c r="EB136" s="21">
        <f>EXP(-LN(2)/25)*EB135+(1-EXP(-LN(2)/25))/(LN(2)/25)*Calculateur!DW136*Calculateur!DY136*VLOOKUP('Données projet'!$B$14,Paramètres!$A$1:$I$89,3,0)*0.475*44/12</f>
        <v>0</v>
      </c>
      <c r="EC136" s="21">
        <f>EXP(-LN(2)/2)*EC135+(1-EXP(-LN(2)/2))/(LN(2)/2)*DW136*DZ136*VLOOKUP('Données projet'!$B$14,Paramètres!$A$1:$I$89,3,0)*0.475*44/12</f>
        <v>0</v>
      </c>
      <c r="ED136" s="22">
        <f t="shared" si="126"/>
        <v>85.489589662190809</v>
      </c>
      <c r="EE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67.034805560896032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2">
        <f>'Scénario référence'!$B$16*5+'Scénario référence'!$B$17*0+'Scénario référence'!$B$18*5</f>
        <v>4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14.666666666666666</v>
      </c>
      <c r="H137" s="66">
        <f t="shared" si="110"/>
        <v>159.86666666666667</v>
      </c>
      <c r="I137" s="6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-2.9085640562698246E-14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140.03175887621094</v>
      </c>
      <c r="T137" s="59">
        <f t="shared" si="142"/>
        <v>377.29475975964954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9.0042343646074752</v>
      </c>
      <c r="AA137" s="21">
        <f>EXP(-LN(2)/25)*AA136+(1-EXP(-LN(2)/25))/(LN(2)/25)*Calculateur!V137*Calculateur!X137*VLOOKUP('Données projet'!$B$9,Paramètres!$A$1:$I$89,3,0)*0.475*44/12</f>
        <v>0</v>
      </c>
      <c r="AB137" s="21">
        <f>EXP(-LN(2)/2)*AB136+(1-EXP(-LN(2)/2))/(LN(2)/2)*V137*Y137*VLOOKUP('Données projet'!$B$9,Paramètres!$A$1:$I$89,3,0)*0.475*44/12</f>
        <v>5.4421610181721003E-16</v>
      </c>
      <c r="AC137" s="22">
        <f t="shared" si="111"/>
        <v>9.0042343646074752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-5.6843418860808015E-14</v>
      </c>
      <c r="AJ137" s="13">
        <f>AI137*VLOOKUP('Données projet'!$B$10,Paramètres!$A$1:$I$89,3,0)*VLOOKUP('Données projet'!$B$10,Paramètres!$A$1:$I$89,5,0)</f>
        <v>-2.8642261895583942E-14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138.27364731587764</v>
      </c>
      <c r="AO137" s="59">
        <f t="shared" si="144"/>
        <v>372.50391467700013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8.866974694415271</v>
      </c>
      <c r="AV137" s="21">
        <f>EXP(-LN(2)/25)*AV136+(1-EXP(-LN(2)/25))/(LN(2)/25)*Calculateur!AQ137*Calculateur!AS137*VLOOKUP('Données projet'!$B$10,Paramètres!$A$1:$I$89,3,0)*0.475*44/12</f>
        <v>0</v>
      </c>
      <c r="AW137" s="21">
        <f>EXP(-LN(2)/2)*AW136+(1-EXP(-LN(2)/2))/(LN(2)/2)*AQ137*AT137*VLOOKUP('Données projet'!$B$10,Paramètres!$A$1:$I$89,3,0)*0.475*44/12</f>
        <v>5.3592012465536177E-16</v>
      </c>
      <c r="AX137" s="21">
        <f t="shared" si="114"/>
        <v>8.866974694415271</v>
      </c>
      <c r="AY137" s="7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3.8</v>
      </c>
      <c r="BD137" s="12">
        <f>IF('Données projet'!$A$88&gt;35,BD136+BC137-BL136,IF(A137&lt;'Données projet'!$A$88,$BA$205^A137,IF(A137='Données projet'!$A$88,'Données projet'!$B$88,BD136+BC137-BL136)))</f>
        <v>317.19999999999993</v>
      </c>
      <c r="BE137" s="13">
        <f>BD137*VLOOKUP('Données projet'!$B$11,Paramètres!$A$1:$I$89,3,0)*VLOOKUP('Données projet'!$B$11,Paramètres!$A$1:$I$89,5,0)</f>
        <v>331.53743999999995</v>
      </c>
      <c r="BF137" s="13">
        <f t="shared" si="145"/>
        <v>77.748971429863658</v>
      </c>
      <c r="BG137" s="20">
        <f t="shared" si="115"/>
        <v>712.84049990701249</v>
      </c>
      <c r="BH137" s="59">
        <f t="shared" si="116"/>
        <v>995.49006510953291</v>
      </c>
      <c r="BI137" s="59">
        <f ca="1">AVERAGE(OFFSET($BH$3,0,0,'Données projet'!$E$11+1,1))-AVERAGE(OFFSET($H$3,0,0,'Données projet'!$E$11+1,1))</f>
        <v>638.07304290599211</v>
      </c>
      <c r="BJ137" s="59">
        <f t="shared" si="146"/>
        <v>408.22196233793511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92.057111373965299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92.057111373965299</v>
      </c>
      <c r="BT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3.8</v>
      </c>
      <c r="BY137" s="12">
        <f>IF('Données projet'!$A$114&gt;35,BY136+BX137-CG136,IF(A137&lt;'Données projet'!$A$114,$BV$205^A137,IF(A137='Données projet'!$A$114,'Données projet'!$B$114,BY136+BX137-CG136)))</f>
        <v>317.19999999999993</v>
      </c>
      <c r="BZ137" s="13">
        <f>BY137*VLOOKUP('Données projet'!$B$12,Paramètres!$A$1:$I$89,3,0)*VLOOKUP('Données projet'!$B$12,Paramètres!$A$1:$I$89,5,0)</f>
        <v>361.22735999999992</v>
      </c>
      <c r="CA137" s="13">
        <f t="shared" si="147"/>
        <v>83.870075858980044</v>
      </c>
      <c r="CB137" s="20">
        <f t="shared" si="118"/>
        <v>775.21136745439014</v>
      </c>
      <c r="CC137" s="59">
        <f t="shared" si="119"/>
        <v>1057.8609326569106</v>
      </c>
      <c r="CD137" s="59">
        <f ca="1">AVERAGE(OFFSET($CC$3,0,0,'Données projet'!$E$12+1,1))-AVERAGE(OFFSET($H$3,0,0,'Données projet'!$E$12+1,1))</f>
        <v>685.99951993586967</v>
      </c>
      <c r="CE137" s="59">
        <f t="shared" si="148"/>
        <v>437.98014017823095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100.30103179551442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100.30103179551442</v>
      </c>
      <c r="CO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3.8</v>
      </c>
      <c r="CT137" s="12">
        <f>IF('Données projet'!$A$140&gt;35,CT136+CS137-DB136,IF(A137&lt;'Données projet'!$A$140,$CQ$205^A137,IF(A137='Données projet'!$A$140,'Données projet'!$B$140,CT136+CS137-DB136)))</f>
        <v>317.19999999999993</v>
      </c>
      <c r="CU137" s="17">
        <f>CT137*VLOOKUP('Données projet'!$B$13,Paramètres!$A$1:$I$89,3,0)*VLOOKUP('Données projet'!$B$13,Paramètres!$A$1:$I$89,5,0)</f>
        <v>321.64079999999996</v>
      </c>
      <c r="CV137" s="13">
        <f t="shared" si="149"/>
        <v>75.694652325793228</v>
      </c>
      <c r="CW137" s="20">
        <f t="shared" si="121"/>
        <v>692.02591280075649</v>
      </c>
      <c r="CX137" s="59">
        <f t="shared" si="122"/>
        <v>974.67547800327702</v>
      </c>
      <c r="CY137" s="59">
        <f ca="1">AVERAGE(OFFSET($CX$3,0,0,'Données projet'!$E$13+1,1))-AVERAGE(OFFSET($H$3,0,0,'Données projet'!$E$13+1,1))</f>
        <v>622.07867348539082</v>
      </c>
      <c r="CZ137" s="59">
        <f t="shared" si="150"/>
        <v>398.29010684041634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89.309137900115644</v>
      </c>
      <c r="DG137" s="21">
        <f>EXP(-LN(2)/25)*DG136+(1-EXP(-LN(2)/25))/(LN(2)/25)*Calculateur!DB137*Calculateur!DD137*VLOOKUP('Données projet'!$B$13,Paramètres!$A$1:$I$89,3,0)*0.475*44/12</f>
        <v>0</v>
      </c>
      <c r="DH137" s="21">
        <f>EXP(-LN(2)/2)*DH136+(1-EXP(-LN(2)/2))/(LN(2)/2)*DB137*DE137*VLOOKUP('Données projet'!$B$13,Paramètres!$A$1:$I$89,3,0)*0.475*44/12</f>
        <v>0</v>
      </c>
      <c r="DI137" s="22">
        <f t="shared" si="123"/>
        <v>89.309137900115644</v>
      </c>
      <c r="DJ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3.8</v>
      </c>
      <c r="DO137" s="12">
        <f>IF('Données projet'!$A$166&gt;35,DO136+DN137-DW136,IF(A137&lt;'Données projet'!$A$166,$DL$205^A137,IF(A137='Données projet'!$A$166,'Données projet'!$B$166,DO136+DN137-DW136)))</f>
        <v>317.19999999999993</v>
      </c>
      <c r="DP137" s="17">
        <f>DO137*VLOOKUP('Données projet'!$B$14,Paramètres!$A$1:$I$89,3,0)*VLOOKUP('Données projet'!$B$14,Paramètres!$A$1:$I$89,5,0)</f>
        <v>301.84751999999997</v>
      </c>
      <c r="DQ137" s="13">
        <f t="shared" si="151"/>
        <v>71.563636129190257</v>
      </c>
      <c r="DR137" s="20">
        <f t="shared" si="124"/>
        <v>650.35776359167301</v>
      </c>
      <c r="DS137" s="59">
        <f t="shared" si="125"/>
        <v>933.00732879419343</v>
      </c>
      <c r="DT137" s="59">
        <f ca="1">AVERAGE(OFFSET($DS$3,0,0,'Données projet'!$E$14+1,1))-AVERAGE(OFFSET($H$3,0,0,'Données projet'!$E$14+1,1))</f>
        <v>590.05965493677377</v>
      </c>
      <c r="DU137" s="59">
        <f t="shared" si="152"/>
        <v>378.40640480134505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83.813190952416193</v>
      </c>
      <c r="EB137" s="21">
        <f>EXP(-LN(2)/25)*EB136+(1-EXP(-LN(2)/25))/(LN(2)/25)*Calculateur!DW137*Calculateur!DY137*VLOOKUP('Données projet'!$B$14,Paramètres!$A$1:$I$89,3,0)*0.475*44/12</f>
        <v>0</v>
      </c>
      <c r="EC137" s="21">
        <f>EXP(-LN(2)/2)*EC136+(1-EXP(-LN(2)/2))/(LN(2)/2)*DW137*DZ137*VLOOKUP('Données projet'!$B$14,Paramètres!$A$1:$I$89,3,0)*0.475*44/12</f>
        <v>0</v>
      </c>
      <c r="ED137" s="22">
        <f t="shared" si="126"/>
        <v>83.813190952416193</v>
      </c>
      <c r="EE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67.086245055232851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2">
        <f>'Scénario référence'!$B$16*5+'Scénario référence'!$B$17*0+'Scénario référence'!$B$18*5</f>
        <v>4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14.666666666666666</v>
      </c>
      <c r="H138" s="66">
        <f t="shared" si="110"/>
        <v>159.86666666666667</v>
      </c>
      <c r="I138" s="6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-2.9085640562698246E-14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140.03175887621094</v>
      </c>
      <c r="T138" s="59">
        <f t="shared" si="142"/>
        <v>377.29475975964954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8.827666820758191</v>
      </c>
      <c r="AA138" s="21">
        <f>EXP(-LN(2)/25)*AA137+(1-EXP(-LN(2)/25))/(LN(2)/25)*Calculateur!V138*Calculateur!X138*VLOOKUP('Données projet'!$B$9,Paramètres!$A$1:$I$89,3,0)*0.475*44/12</f>
        <v>0</v>
      </c>
      <c r="AB138" s="21">
        <f>EXP(-LN(2)/2)*AB137+(1-EXP(-LN(2)/2))/(LN(2)/2)*V138*Y138*VLOOKUP('Données projet'!$B$9,Paramètres!$A$1:$I$89,3,0)*0.475*44/12</f>
        <v>3.8481889602585781E-16</v>
      </c>
      <c r="AC138" s="22">
        <f t="shared" si="111"/>
        <v>8.827666820758191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-5.6843418860808015E-14</v>
      </c>
      <c r="AJ138" s="13">
        <f>AI138*VLOOKUP('Données projet'!$B$10,Paramètres!$A$1:$I$89,3,0)*VLOOKUP('Données projet'!$B$10,Paramètres!$A$1:$I$89,5,0)</f>
        <v>-2.8642261895583942E-14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138.27364731587764</v>
      </c>
      <c r="AO138" s="59">
        <f t="shared" si="144"/>
        <v>372.50391467700013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8.6930987289783239</v>
      </c>
      <c r="AV138" s="21">
        <f>EXP(-LN(2)/25)*AV137+(1-EXP(-LN(2)/25))/(LN(2)/25)*Calculateur!AQ138*Calculateur!AS138*VLOOKUP('Données projet'!$B$10,Paramètres!$A$1:$I$89,3,0)*0.475*44/12</f>
        <v>0</v>
      </c>
      <c r="AW138" s="21">
        <f>EXP(-LN(2)/2)*AW137+(1-EXP(-LN(2)/2))/(LN(2)/2)*AQ138*AT138*VLOOKUP('Données projet'!$B$10,Paramètres!$A$1:$I$89,3,0)*0.475*44/12</f>
        <v>3.7895275431814618E-16</v>
      </c>
      <c r="AX138" s="21">
        <f t="shared" si="114"/>
        <v>8.6930987289783239</v>
      </c>
      <c r="AY138" s="7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3.8</v>
      </c>
      <c r="BD138" s="12">
        <f>IF('Données projet'!$A$88&gt;35,BD137+BC138-BL137,IF(A138&lt;'Données projet'!$A$88,$BA$205^A138,IF(A138='Données projet'!$A$88,'Données projet'!$B$88,BD137+BC138-BL137)))</f>
        <v>320.99999999999994</v>
      </c>
      <c r="BE138" s="13">
        <f>BD138*VLOOKUP('Données projet'!$B$11,Paramètres!$A$1:$I$89,3,0)*VLOOKUP('Données projet'!$B$11,Paramètres!$A$1:$I$89,5,0)</f>
        <v>335.50919999999996</v>
      </c>
      <c r="BF138" s="13">
        <f t="shared" si="145"/>
        <v>78.571401939480154</v>
      </c>
      <c r="BG138" s="20">
        <f t="shared" si="115"/>
        <v>721.19038171126124</v>
      </c>
      <c r="BH138" s="59">
        <f t="shared" si="116"/>
        <v>1004.025286405524</v>
      </c>
      <c r="BI138" s="59">
        <f ca="1">AVERAGE(OFFSET($BH$3,0,0,'Données projet'!$E$11+1,1))-AVERAGE(OFFSET($H$3,0,0,'Données projet'!$E$11+1,1))</f>
        <v>638.07304290599211</v>
      </c>
      <c r="BJ138" s="59">
        <f t="shared" si="146"/>
        <v>408.22196233793511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90.251927569215496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90.251927569215496</v>
      </c>
      <c r="BT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3.8</v>
      </c>
      <c r="BY138" s="12">
        <f>IF('Données projet'!$A$114&gt;35,BY137+BX138-CG137,IF(A138&lt;'Données projet'!$A$114,$BV$205^A138,IF(A138='Données projet'!$A$114,'Données projet'!$B$114,BY137+BX138-CG137)))</f>
        <v>320.99999999999994</v>
      </c>
      <c r="BZ138" s="13">
        <f>BY138*VLOOKUP('Données projet'!$B$12,Paramètres!$A$1:$I$89,3,0)*VLOOKUP('Données projet'!$B$12,Paramètres!$A$1:$I$89,5,0)</f>
        <v>365.55479999999994</v>
      </c>
      <c r="CA138" s="13">
        <f t="shared" si="147"/>
        <v>84.75725556003249</v>
      </c>
      <c r="CB138" s="20">
        <f t="shared" si="118"/>
        <v>784.29349676705635</v>
      </c>
      <c r="CC138" s="59">
        <f t="shared" si="119"/>
        <v>1067.1284014613191</v>
      </c>
      <c r="CD138" s="59">
        <f ca="1">AVERAGE(OFFSET($CC$3,0,0,'Données projet'!$E$12+1,1))-AVERAGE(OFFSET($H$3,0,0,'Données projet'!$E$12+1,1))</f>
        <v>685.99951993586967</v>
      </c>
      <c r="CE138" s="59">
        <f t="shared" si="148"/>
        <v>437.98014017823095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98.334189739592986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98.334189739592986</v>
      </c>
      <c r="CO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3.8</v>
      </c>
      <c r="CT138" s="12">
        <f>IF('Données projet'!$A$140&gt;35,CT137+CS138-DB137,IF(A138&lt;'Données projet'!$A$140,$CQ$205^A138,IF(A138='Données projet'!$A$140,'Données projet'!$B$140,CT137+CS138-DB137)))</f>
        <v>320.99999999999994</v>
      </c>
      <c r="CU138" s="17">
        <f>CT138*VLOOKUP('Données projet'!$B$13,Paramètres!$A$1:$I$89,3,0)*VLOOKUP('Données projet'!$B$13,Paramètres!$A$1:$I$89,5,0)</f>
        <v>325.49399999999997</v>
      </c>
      <c r="CV138" s="13">
        <f t="shared" si="149"/>
        <v>76.495352197992872</v>
      </c>
      <c r="CW138" s="20">
        <f t="shared" si="121"/>
        <v>700.1314550781708</v>
      </c>
      <c r="CX138" s="59">
        <f t="shared" si="122"/>
        <v>982.96635977243363</v>
      </c>
      <c r="CY138" s="59">
        <f ca="1">AVERAGE(OFFSET($CX$3,0,0,'Données projet'!$E$13+1,1))-AVERAGE(OFFSET($H$3,0,0,'Données projet'!$E$13+1,1))</f>
        <v>622.07867348539082</v>
      </c>
      <c r="CZ138" s="59">
        <f t="shared" si="150"/>
        <v>398.29010684041634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87.557840179089709</v>
      </c>
      <c r="DG138" s="21">
        <f>EXP(-LN(2)/25)*DG137+(1-EXP(-LN(2)/25))/(LN(2)/25)*Calculateur!DB138*Calculateur!DD138*VLOOKUP('Données projet'!$B$13,Paramètres!$A$1:$I$89,3,0)*0.475*44/12</f>
        <v>0</v>
      </c>
      <c r="DH138" s="21">
        <f>EXP(-LN(2)/2)*DH137+(1-EXP(-LN(2)/2))/(LN(2)/2)*DB138*DE138*VLOOKUP('Données projet'!$B$13,Paramètres!$A$1:$I$89,3,0)*0.475*44/12</f>
        <v>0</v>
      </c>
      <c r="DI138" s="22">
        <f t="shared" si="123"/>
        <v>87.557840179089709</v>
      </c>
      <c r="DJ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3.8</v>
      </c>
      <c r="DO138" s="12">
        <f>IF('Données projet'!$A$166&gt;35,DO137+DN138-DW137,IF(A138&lt;'Données projet'!$A$166,$DL$205^A138,IF(A138='Données projet'!$A$166,'Données projet'!$B$166,DO137+DN138-DW137)))</f>
        <v>320.99999999999994</v>
      </c>
      <c r="DP138" s="17">
        <f>DO138*VLOOKUP('Données projet'!$B$14,Paramètres!$A$1:$I$89,3,0)*VLOOKUP('Données projet'!$B$14,Paramètres!$A$1:$I$89,5,0)</f>
        <v>305.46359999999999</v>
      </c>
      <c r="DQ138" s="13">
        <f t="shared" si="151"/>
        <v>72.320638011650303</v>
      </c>
      <c r="DR138" s="20">
        <f t="shared" si="124"/>
        <v>657.97421453695756</v>
      </c>
      <c r="DS138" s="59">
        <f t="shared" si="125"/>
        <v>940.80911923122039</v>
      </c>
      <c r="DT138" s="59">
        <f ca="1">AVERAGE(OFFSET($DS$3,0,0,'Données projet'!$E$14+1,1))-AVERAGE(OFFSET($H$3,0,0,'Données projet'!$E$14+1,1))</f>
        <v>590.05965493677377</v>
      </c>
      <c r="DU138" s="59">
        <f t="shared" si="152"/>
        <v>378.40640480134505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82.169665398838006</v>
      </c>
      <c r="EB138" s="21">
        <f>EXP(-LN(2)/25)*EB137+(1-EXP(-LN(2)/25))/(LN(2)/25)*Calculateur!DW138*Calculateur!DY138*VLOOKUP('Données projet'!$B$14,Paramètres!$A$1:$I$89,3,0)*0.475*44/12</f>
        <v>0</v>
      </c>
      <c r="EC138" s="21">
        <f>EXP(-LN(2)/2)*EC137+(1-EXP(-LN(2)/2))/(LN(2)/2)*DW138*DZ138*VLOOKUP('Données projet'!$B$14,Paramètres!$A$1:$I$89,3,0)*0.475*44/12</f>
        <v>0</v>
      </c>
      <c r="ED138" s="22">
        <f t="shared" si="126"/>
        <v>82.169665398838006</v>
      </c>
      <c r="EE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67.136792189344391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2">
        <f>'Scénario référence'!$B$16*5+'Scénario référence'!$B$17*0+'Scénario référence'!$B$18*5</f>
        <v>4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14.666666666666666</v>
      </c>
      <c r="H139" s="66">
        <f t="shared" si="110"/>
        <v>159.86666666666667</v>
      </c>
      <c r="I139" s="6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-2.9085640562698246E-14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140.03175887621094</v>
      </c>
      <c r="T139" s="59">
        <f t="shared" si="142"/>
        <v>377.29475975964954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8.6545616587482233</v>
      </c>
      <c r="AA139" s="21">
        <f>EXP(-LN(2)/25)*AA138+(1-EXP(-LN(2)/25))/(LN(2)/25)*Calculateur!V139*Calculateur!X139*VLOOKUP('Données projet'!$B$9,Paramètres!$A$1:$I$89,3,0)*0.475*44/12</f>
        <v>0</v>
      </c>
      <c r="AB139" s="21">
        <f>EXP(-LN(2)/2)*AB138+(1-EXP(-LN(2)/2))/(LN(2)/2)*V139*Y139*VLOOKUP('Données projet'!$B$9,Paramètres!$A$1:$I$89,3,0)*0.475*44/12</f>
        <v>2.7210805090860501E-16</v>
      </c>
      <c r="AC139" s="22">
        <f t="shared" si="111"/>
        <v>8.6545616587482233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-5.6843418860808015E-14</v>
      </c>
      <c r="AJ139" s="13">
        <f>AI139*VLOOKUP('Données projet'!$B$10,Paramètres!$A$1:$I$89,3,0)*VLOOKUP('Données projet'!$B$10,Paramètres!$A$1:$I$89,5,0)</f>
        <v>-2.8642261895583942E-14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138.27364731587764</v>
      </c>
      <c r="AO139" s="59">
        <f t="shared" si="144"/>
        <v>372.50391467700013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8.5226323651697289</v>
      </c>
      <c r="AV139" s="21">
        <f>EXP(-LN(2)/25)*AV138+(1-EXP(-LN(2)/25))/(LN(2)/25)*Calculateur!AQ139*Calculateur!AS139*VLOOKUP('Données projet'!$B$10,Paramètres!$A$1:$I$89,3,0)*0.475*44/12</f>
        <v>0</v>
      </c>
      <c r="AW139" s="21">
        <f>EXP(-LN(2)/2)*AW138+(1-EXP(-LN(2)/2))/(LN(2)/2)*AQ139*AT139*VLOOKUP('Données projet'!$B$10,Paramètres!$A$1:$I$89,3,0)*0.475*44/12</f>
        <v>2.6796006232768089E-16</v>
      </c>
      <c r="AX139" s="21">
        <f t="shared" si="114"/>
        <v>8.5226323651697289</v>
      </c>
      <c r="AY139" s="7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3.8</v>
      </c>
      <c r="BD139" s="12">
        <f>IF('Données projet'!$A$88&gt;35,BD138+BC139-BL138,IF(A139&lt;'Données projet'!$A$88,$BA$205^A139,IF(A139='Données projet'!$A$88,'Données projet'!$B$88,BD138+BC139-BL138)))</f>
        <v>324.79999999999995</v>
      </c>
      <c r="BE139" s="13">
        <f>BD139*VLOOKUP('Données projet'!$B$11,Paramètres!$A$1:$I$89,3,0)*VLOOKUP('Données projet'!$B$11,Paramètres!$A$1:$I$89,5,0)</f>
        <v>339.48095999999998</v>
      </c>
      <c r="BF139" s="13">
        <f t="shared" si="145"/>
        <v>79.392699938427526</v>
      </c>
      <c r="BG139" s="20">
        <f t="shared" si="115"/>
        <v>729.53829105942793</v>
      </c>
      <c r="BH139" s="59">
        <f t="shared" si="116"/>
        <v>1012.5553200196084</v>
      </c>
      <c r="BI139" s="59">
        <f ca="1">AVERAGE(OFFSET($BH$3,0,0,'Données projet'!$E$11+1,1))-AVERAGE(OFFSET($H$3,0,0,'Données projet'!$E$11+1,1))</f>
        <v>638.07304290599211</v>
      </c>
      <c r="BJ139" s="59">
        <f t="shared" si="146"/>
        <v>408.22196233793511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88.482142317823431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88.482142317823431</v>
      </c>
      <c r="BT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3.8</v>
      </c>
      <c r="BY139" s="12">
        <f>IF('Données projet'!$A$114&gt;35,BY138+BX139-CG138,IF(A139&lt;'Données projet'!$A$114,$BV$205^A139,IF(A139='Données projet'!$A$114,'Données projet'!$B$114,BY138+BX139-CG138)))</f>
        <v>324.79999999999995</v>
      </c>
      <c r="BZ139" s="13">
        <f>BY139*VLOOKUP('Données projet'!$B$12,Paramètres!$A$1:$I$89,3,0)*VLOOKUP('Données projet'!$B$12,Paramètres!$A$1:$I$89,5,0)</f>
        <v>369.88223999999997</v>
      </c>
      <c r="CA139" s="13">
        <f t="shared" si="147"/>
        <v>85.643213588900849</v>
      </c>
      <c r="CB139" s="20">
        <f t="shared" si="118"/>
        <v>793.37349833400219</v>
      </c>
      <c r="CC139" s="59">
        <f t="shared" si="119"/>
        <v>1076.3905272941827</v>
      </c>
      <c r="CD139" s="59">
        <f ca="1">AVERAGE(OFFSET($CC$3,0,0,'Données projet'!$E$12+1,1))-AVERAGE(OFFSET($H$3,0,0,'Données projet'!$E$12+1,1))</f>
        <v>685.99951993586967</v>
      </c>
      <c r="CE139" s="59">
        <f t="shared" si="148"/>
        <v>437.98014017823095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96.405916256732979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96.405916256732979</v>
      </c>
      <c r="CO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3.8</v>
      </c>
      <c r="CT139" s="12">
        <f>IF('Données projet'!$A$140&gt;35,CT138+CS139-DB138,IF(A139&lt;'Données projet'!$A$140,$CQ$205^A139,IF(A139='Données projet'!$A$140,'Données projet'!$B$140,CT138+CS139-DB138)))</f>
        <v>324.79999999999995</v>
      </c>
      <c r="CU139" s="17">
        <f>CT139*VLOOKUP('Données projet'!$B$13,Paramètres!$A$1:$I$89,3,0)*VLOOKUP('Données projet'!$B$13,Paramètres!$A$1:$I$89,5,0)</f>
        <v>329.34719999999999</v>
      </c>
      <c r="CV139" s="13">
        <f t="shared" si="149"/>
        <v>77.294949483241496</v>
      </c>
      <c r="CW139" s="20">
        <f t="shared" si="121"/>
        <v>708.2350770166455</v>
      </c>
      <c r="CX139" s="59">
        <f t="shared" si="122"/>
        <v>991.25210597682599</v>
      </c>
      <c r="CY139" s="59">
        <f ca="1">AVERAGE(OFFSET($CX$3,0,0,'Données projet'!$E$13+1,1))-AVERAGE(OFFSET($H$3,0,0,'Données projet'!$E$13+1,1))</f>
        <v>622.07867348539082</v>
      </c>
      <c r="CZ139" s="59">
        <f t="shared" si="150"/>
        <v>398.29010684041634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85.840884338186967</v>
      </c>
      <c r="DG139" s="21">
        <f>EXP(-LN(2)/25)*DG138+(1-EXP(-LN(2)/25))/(LN(2)/25)*Calculateur!DB139*Calculateur!DD139*VLOOKUP('Données projet'!$B$13,Paramètres!$A$1:$I$89,3,0)*0.475*44/12</f>
        <v>0</v>
      </c>
      <c r="DH139" s="21">
        <f>EXP(-LN(2)/2)*DH138+(1-EXP(-LN(2)/2))/(LN(2)/2)*DB139*DE139*VLOOKUP('Données projet'!$B$13,Paramètres!$A$1:$I$89,3,0)*0.475*44/12</f>
        <v>0</v>
      </c>
      <c r="DI139" s="22">
        <f t="shared" si="123"/>
        <v>85.840884338186967</v>
      </c>
      <c r="DJ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3.8</v>
      </c>
      <c r="DO139" s="12">
        <f>IF('Données projet'!$A$166&gt;35,DO138+DN139-DW138,IF(A139&lt;'Données projet'!$A$166,$DL$205^A139,IF(A139='Données projet'!$A$166,'Données projet'!$B$166,DO138+DN139-DW138)))</f>
        <v>324.79999999999995</v>
      </c>
      <c r="DP139" s="17">
        <f>DO139*VLOOKUP('Données projet'!$B$14,Paramètres!$A$1:$I$89,3,0)*VLOOKUP('Données projet'!$B$14,Paramètres!$A$1:$I$89,5,0)</f>
        <v>309.07967999999994</v>
      </c>
      <c r="DQ139" s="13">
        <f t="shared" si="151"/>
        <v>73.076597480558817</v>
      </c>
      <c r="DR139" s="20">
        <f t="shared" si="124"/>
        <v>665.58884994530638</v>
      </c>
      <c r="DS139" s="59">
        <f t="shared" si="125"/>
        <v>948.60587890548686</v>
      </c>
      <c r="DT139" s="59">
        <f ca="1">AVERAGE(OFFSET($DS$3,0,0,'Données projet'!$E$14+1,1))-AVERAGE(OFFSET($H$3,0,0,'Données projet'!$E$14+1,1))</f>
        <v>590.05965493677377</v>
      </c>
      <c r="DU139" s="59">
        <f t="shared" si="152"/>
        <v>378.40640480134505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80.558368378913897</v>
      </c>
      <c r="EB139" s="21">
        <f>EXP(-LN(2)/25)*EB138+(1-EXP(-LN(2)/25))/(LN(2)/25)*Calculateur!DW139*Calculateur!DY139*VLOOKUP('Données projet'!$B$14,Paramètres!$A$1:$I$89,3,0)*0.475*44/12</f>
        <v>0</v>
      </c>
      <c r="EC139" s="21">
        <f>EXP(-LN(2)/2)*EC138+(1-EXP(-LN(2)/2))/(LN(2)/2)*DW139*DZ139*VLOOKUP('Données projet'!$B$14,Paramètres!$A$1:$I$89,3,0)*0.475*44/12</f>
        <v>0</v>
      </c>
      <c r="ED139" s="22">
        <f t="shared" si="126"/>
        <v>80.558368378913897</v>
      </c>
      <c r="EE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67.186462443685571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2">
        <f>'Scénario référence'!$B$16*5+'Scénario référence'!$B$17*0+'Scénario référence'!$B$18*5</f>
        <v>4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14.666666666666666</v>
      </c>
      <c r="H140" s="66">
        <f t="shared" si="110"/>
        <v>159.86666666666667</v>
      </c>
      <c r="I140" s="6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-2.9085640562698246E-14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140.03175887621094</v>
      </c>
      <c r="T140" s="59">
        <f t="shared" si="142"/>
        <v>377.29475975964954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8.4848509833815484</v>
      </c>
      <c r="AA140" s="21">
        <f>EXP(-LN(2)/25)*AA139+(1-EXP(-LN(2)/25))/(LN(2)/25)*Calculateur!V140*Calculateur!X140*VLOOKUP('Données projet'!$B$9,Paramètres!$A$1:$I$89,3,0)*0.475*44/12</f>
        <v>0</v>
      </c>
      <c r="AB140" s="21">
        <f>EXP(-LN(2)/2)*AB139+(1-EXP(-LN(2)/2))/(LN(2)/2)*V140*Y140*VLOOKUP('Données projet'!$B$9,Paramètres!$A$1:$I$89,3,0)*0.475*44/12</f>
        <v>1.924094480129289E-16</v>
      </c>
      <c r="AC140" s="22">
        <f t="shared" si="111"/>
        <v>8.4848509833815484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-5.6843418860808015E-14</v>
      </c>
      <c r="AJ140" s="13">
        <f>AI140*VLOOKUP('Données projet'!$B$10,Paramètres!$A$1:$I$89,3,0)*VLOOKUP('Données projet'!$B$10,Paramètres!$A$1:$I$89,5,0)</f>
        <v>-2.8642261895583942E-14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138.27364731587764</v>
      </c>
      <c r="AO140" s="59">
        <f t="shared" si="144"/>
        <v>372.50391467700013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8.355508742781204</v>
      </c>
      <c r="AV140" s="21">
        <f>EXP(-LN(2)/25)*AV139+(1-EXP(-LN(2)/25))/(LN(2)/25)*Calculateur!AQ140*Calculateur!AS140*VLOOKUP('Données projet'!$B$10,Paramètres!$A$1:$I$89,3,0)*0.475*44/12</f>
        <v>0</v>
      </c>
      <c r="AW140" s="21">
        <f>EXP(-LN(2)/2)*AW139+(1-EXP(-LN(2)/2))/(LN(2)/2)*AQ140*AT140*VLOOKUP('Données projet'!$B$10,Paramètres!$A$1:$I$89,3,0)*0.475*44/12</f>
        <v>1.8947637715907309E-16</v>
      </c>
      <c r="AX140" s="21">
        <f t="shared" si="114"/>
        <v>8.355508742781204</v>
      </c>
      <c r="AY140" s="7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3.8</v>
      </c>
      <c r="BD140" s="12">
        <f>IF('Données projet'!$A$88&gt;35,BD139+BC140-BL139,IF(A140&lt;'Données projet'!$A$88,$BA$205^A140,IF(A140='Données projet'!$A$88,'Données projet'!$B$88,BD139+BC140-BL139)))</f>
        <v>328.59999999999997</v>
      </c>
      <c r="BE140" s="13">
        <f>BD140*VLOOKUP('Données projet'!$B$11,Paramètres!$A$1:$I$89,3,0)*VLOOKUP('Données projet'!$B$11,Paramètres!$A$1:$I$89,5,0)</f>
        <v>343.45272</v>
      </c>
      <c r="BF140" s="13">
        <f t="shared" si="145"/>
        <v>80.212880209411935</v>
      </c>
      <c r="BG140" s="20">
        <f t="shared" si="115"/>
        <v>737.88425369805907</v>
      </c>
      <c r="BH140" s="59">
        <f t="shared" si="116"/>
        <v>1021.0802474753123</v>
      </c>
      <c r="BI140" s="59">
        <f ca="1">AVERAGE(OFFSET($BH$3,0,0,'Données projet'!$E$11+1,1))-AVERAGE(OFFSET($H$3,0,0,'Données projet'!$E$11+1,1))</f>
        <v>638.07304290599211</v>
      </c>
      <c r="BJ140" s="59">
        <f t="shared" si="146"/>
        <v>408.22196233793511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86.747061475748751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86.747061475748751</v>
      </c>
      <c r="BT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3.8</v>
      </c>
      <c r="BY140" s="12">
        <f>IF('Données projet'!$A$114&gt;35,BY139+BX140-CG139,IF(A140&lt;'Données projet'!$A$114,$BV$205^A140,IF(A140='Données projet'!$A$114,'Données projet'!$B$114,BY139+BX140-CG139)))</f>
        <v>328.59999999999997</v>
      </c>
      <c r="BZ140" s="13">
        <f>BY140*VLOOKUP('Données projet'!$B$12,Paramètres!$A$1:$I$89,3,0)*VLOOKUP('Données projet'!$B$12,Paramètres!$A$1:$I$89,5,0)</f>
        <v>374.20967999999993</v>
      </c>
      <c r="CA140" s="13">
        <f t="shared" si="147"/>
        <v>86.527965892120051</v>
      </c>
      <c r="CB140" s="20">
        <f t="shared" si="118"/>
        <v>802.45139992877557</v>
      </c>
      <c r="CC140" s="59">
        <f t="shared" si="119"/>
        <v>1085.6473937060287</v>
      </c>
      <c r="CD140" s="59">
        <f ca="1">AVERAGE(OFFSET($CC$3,0,0,'Données projet'!$E$12+1,1))-AVERAGE(OFFSET($H$3,0,0,'Données projet'!$E$12+1,1))</f>
        <v>685.99951993586967</v>
      </c>
      <c r="CE140" s="59">
        <f t="shared" si="148"/>
        <v>437.98014017823095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94.515455040741173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94.515455040741173</v>
      </c>
      <c r="CO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3.8</v>
      </c>
      <c r="CT140" s="12">
        <f>IF('Données projet'!$A$140&gt;35,CT139+CS140-DB139,IF(A140&lt;'Données projet'!$A$140,$CQ$205^A140,IF(A140='Données projet'!$A$140,'Données projet'!$B$140,CT139+CS140-DB139)))</f>
        <v>328.59999999999997</v>
      </c>
      <c r="CU140" s="17">
        <f>CT140*VLOOKUP('Données projet'!$B$13,Paramètres!$A$1:$I$89,3,0)*VLOOKUP('Données projet'!$B$13,Paramètres!$A$1:$I$89,5,0)</f>
        <v>333.20039999999995</v>
      </c>
      <c r="CV140" s="13">
        <f t="shared" si="149"/>
        <v>78.09345857364977</v>
      </c>
      <c r="CW140" s="20">
        <f t="shared" si="121"/>
        <v>716.33680368243984</v>
      </c>
      <c r="CX140" s="59">
        <f t="shared" si="122"/>
        <v>999.53279745969303</v>
      </c>
      <c r="CY140" s="59">
        <f ca="1">AVERAGE(OFFSET($CX$3,0,0,'Données projet'!$E$13+1,1))-AVERAGE(OFFSET($H$3,0,0,'Données projet'!$E$13+1,1))</f>
        <v>622.07867348539082</v>
      </c>
      <c r="CZ140" s="59">
        <f t="shared" si="150"/>
        <v>398.29010684041634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84.157596954084667</v>
      </c>
      <c r="DG140" s="21">
        <f>EXP(-LN(2)/25)*DG139+(1-EXP(-LN(2)/25))/(LN(2)/25)*Calculateur!DB140*Calculateur!DD140*VLOOKUP('Données projet'!$B$13,Paramètres!$A$1:$I$89,3,0)*0.475*44/12</f>
        <v>0</v>
      </c>
      <c r="DH140" s="21">
        <f>EXP(-LN(2)/2)*DH139+(1-EXP(-LN(2)/2))/(LN(2)/2)*DB140*DE140*VLOOKUP('Données projet'!$B$13,Paramètres!$A$1:$I$89,3,0)*0.475*44/12</f>
        <v>0</v>
      </c>
      <c r="DI140" s="22">
        <f t="shared" si="123"/>
        <v>84.157596954084667</v>
      </c>
      <c r="DJ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3.8</v>
      </c>
      <c r="DO140" s="12">
        <f>IF('Données projet'!$A$166&gt;35,DO139+DN140-DW139,IF(A140&lt;'Données projet'!$A$166,$DL$205^A140,IF(A140='Données projet'!$A$166,'Données projet'!$B$166,DO139+DN140-DW139)))</f>
        <v>328.59999999999997</v>
      </c>
      <c r="DP140" s="17">
        <f>DO140*VLOOKUP('Données projet'!$B$14,Paramètres!$A$1:$I$89,3,0)*VLOOKUP('Données projet'!$B$14,Paramètres!$A$1:$I$89,5,0)</f>
        <v>312.69575999999995</v>
      </c>
      <c r="DQ140" s="13">
        <f t="shared" si="151"/>
        <v>73.831528142580723</v>
      </c>
      <c r="DR140" s="20">
        <f t="shared" si="124"/>
        <v>673.20169351499464</v>
      </c>
      <c r="DS140" s="59">
        <f t="shared" si="125"/>
        <v>956.39768729224784</v>
      </c>
      <c r="DT140" s="59">
        <f ca="1">AVERAGE(OFFSET($DS$3,0,0,'Données projet'!$E$14+1,1))-AVERAGE(OFFSET($H$3,0,0,'Données projet'!$E$14+1,1))</f>
        <v>590.05965493677377</v>
      </c>
      <c r="DU140" s="59">
        <f t="shared" si="152"/>
        <v>378.40640480134505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78.978667910756357</v>
      </c>
      <c r="EB140" s="21">
        <f>EXP(-LN(2)/25)*EB139+(1-EXP(-LN(2)/25))/(LN(2)/25)*Calculateur!DW140*Calculateur!DY140*VLOOKUP('Données projet'!$B$14,Paramètres!$A$1:$I$89,3,0)*0.475*44/12</f>
        <v>0</v>
      </c>
      <c r="EC140" s="21">
        <f>EXP(-LN(2)/2)*EC139+(1-EXP(-LN(2)/2))/(LN(2)/2)*DW140*DZ140*VLOOKUP('Données projet'!$B$14,Paramètres!$A$1:$I$89,3,0)*0.475*44/12</f>
        <v>0</v>
      </c>
      <c r="ED140" s="22">
        <f t="shared" si="126"/>
        <v>78.978667910756357</v>
      </c>
      <c r="EE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67.235271030159964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2">
        <f>'Scénario référence'!$B$16*5+'Scénario référence'!$B$17*0+'Scénario référence'!$B$18*5</f>
        <v>4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14.666666666666666</v>
      </c>
      <c r="H141" s="66">
        <f t="shared" si="110"/>
        <v>159.86666666666667</v>
      </c>
      <c r="I141" s="6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-2.9085640562698246E-14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140.03175887621094</v>
      </c>
      <c r="T141" s="59">
        <f t="shared" si="142"/>
        <v>377.29475975964954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8.3184682308455233</v>
      </c>
      <c r="AA141" s="21">
        <f>EXP(-LN(2)/25)*AA140+(1-EXP(-LN(2)/25))/(LN(2)/25)*Calculateur!V141*Calculateur!X141*VLOOKUP('Données projet'!$B$9,Paramètres!$A$1:$I$89,3,0)*0.475*44/12</f>
        <v>0</v>
      </c>
      <c r="AB141" s="21">
        <f>EXP(-LN(2)/2)*AB140+(1-EXP(-LN(2)/2))/(LN(2)/2)*V141*Y141*VLOOKUP('Données projet'!$B$9,Paramètres!$A$1:$I$89,3,0)*0.475*44/12</f>
        <v>1.3605402545430251E-16</v>
      </c>
      <c r="AC141" s="22">
        <f t="shared" si="111"/>
        <v>8.3184682308455233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-5.6843418860808015E-14</v>
      </c>
      <c r="AJ141" s="13">
        <f>AI141*VLOOKUP('Données projet'!$B$10,Paramètres!$A$1:$I$89,3,0)*VLOOKUP('Données projet'!$B$10,Paramètres!$A$1:$I$89,5,0)</f>
        <v>-2.8642261895583942E-14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138.27364731587764</v>
      </c>
      <c r="AO141" s="59">
        <f t="shared" si="144"/>
        <v>372.50391467700013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8.1916623126923742</v>
      </c>
      <c r="AV141" s="21">
        <f>EXP(-LN(2)/25)*AV140+(1-EXP(-LN(2)/25))/(LN(2)/25)*Calculateur!AQ141*Calculateur!AS141*VLOOKUP('Données projet'!$B$10,Paramètres!$A$1:$I$89,3,0)*0.475*44/12</f>
        <v>0</v>
      </c>
      <c r="AW141" s="21">
        <f>EXP(-LN(2)/2)*AW140+(1-EXP(-LN(2)/2))/(LN(2)/2)*AQ141*AT141*VLOOKUP('Données projet'!$B$10,Paramètres!$A$1:$I$89,3,0)*0.475*44/12</f>
        <v>1.3398003116384044E-16</v>
      </c>
      <c r="AX141" s="21">
        <f t="shared" si="114"/>
        <v>8.1916623126923742</v>
      </c>
      <c r="AY141" s="7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3.8</v>
      </c>
      <c r="BD141" s="12">
        <f>IF('Données projet'!$A$88&gt;35,BD140+BC141-BL140,IF(A141&lt;'Données projet'!$A$88,$BA$205^A141,IF(A141='Données projet'!$A$88,'Données projet'!$B$88,BD140+BC141-BL140)))</f>
        <v>332.4</v>
      </c>
      <c r="BE141" s="13">
        <f>BD141*VLOOKUP('Données projet'!$B$11,Paramètres!$A$1:$I$89,3,0)*VLOOKUP('Données projet'!$B$11,Paramètres!$A$1:$I$89,5,0)</f>
        <v>347.42448000000002</v>
      </c>
      <c r="BF141" s="13">
        <f t="shared" si="145"/>
        <v>81.031957173559519</v>
      </c>
      <c r="BG141" s="20">
        <f t="shared" si="115"/>
        <v>746.2282947439495</v>
      </c>
      <c r="BH141" s="59">
        <f t="shared" si="116"/>
        <v>1029.6001486988048</v>
      </c>
      <c r="BI141" s="59">
        <f ca="1">AVERAGE(OFFSET($BH$3,0,0,'Données projet'!$E$11+1,1))-AVERAGE(OFFSET($H$3,0,0,'Données projet'!$E$11+1,1))</f>
        <v>638.07304290599211</v>
      </c>
      <c r="BJ141" s="59">
        <f t="shared" si="146"/>
        <v>408.22196233793511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85.046004510692342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85.046004510692342</v>
      </c>
      <c r="BT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3.8</v>
      </c>
      <c r="BY141" s="12">
        <f>IF('Données projet'!$A$114&gt;35,BY140+BX141-CG140,IF(A141&lt;'Données projet'!$A$114,$BV$205^A141,IF(A141='Données projet'!$A$114,'Données projet'!$B$114,BY140+BX141-CG140)))</f>
        <v>332.4</v>
      </c>
      <c r="BZ141" s="13">
        <f>BY141*VLOOKUP('Données projet'!$B$12,Paramètres!$A$1:$I$89,3,0)*VLOOKUP('Données projet'!$B$12,Paramètres!$A$1:$I$89,5,0)</f>
        <v>378.53712000000002</v>
      </c>
      <c r="CA141" s="13">
        <f t="shared" si="147"/>
        <v>87.411528026178331</v>
      </c>
      <c r="CB141" s="20">
        <f t="shared" si="118"/>
        <v>811.52722864559394</v>
      </c>
      <c r="CC141" s="59">
        <f t="shared" si="119"/>
        <v>1094.8990826004492</v>
      </c>
      <c r="CD141" s="59">
        <f ca="1">AVERAGE(OFFSET($CC$3,0,0,'Données projet'!$E$12+1,1))-AVERAGE(OFFSET($H$3,0,0,'Données projet'!$E$12+1,1))</f>
        <v>685.99951993586967</v>
      </c>
      <c r="CE141" s="59">
        <f t="shared" si="148"/>
        <v>437.98014017823095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92.662064616127481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92.662064616127481</v>
      </c>
      <c r="CO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3.8</v>
      </c>
      <c r="CT141" s="12">
        <f>IF('Données projet'!$A$140&gt;35,CT140+CS141-DB140,IF(A141&lt;'Données projet'!$A$140,$CQ$205^A141,IF(A141='Données projet'!$A$140,'Données projet'!$B$140,CT140+CS141-DB140)))</f>
        <v>332.4</v>
      </c>
      <c r="CU141" s="17">
        <f>CT141*VLOOKUP('Données projet'!$B$13,Paramètres!$A$1:$I$89,3,0)*VLOOKUP('Données projet'!$B$13,Paramètres!$A$1:$I$89,5,0)</f>
        <v>337.05360000000002</v>
      </c>
      <c r="CV141" s="13">
        <f t="shared" si="149"/>
        <v>78.890893509302231</v>
      </c>
      <c r="CW141" s="20">
        <f t="shared" si="121"/>
        <v>724.4366595287014</v>
      </c>
      <c r="CX141" s="59">
        <f t="shared" si="122"/>
        <v>1007.8085134835567</v>
      </c>
      <c r="CY141" s="59">
        <f ca="1">AVERAGE(OFFSET($CX$3,0,0,'Données projet'!$E$13+1,1))-AVERAGE(OFFSET($H$3,0,0,'Données projet'!$E$13+1,1))</f>
        <v>622.07867348539082</v>
      </c>
      <c r="CZ141" s="59">
        <f t="shared" si="150"/>
        <v>398.29010684041634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82.507317808880686</v>
      </c>
      <c r="DG141" s="21">
        <f>EXP(-LN(2)/25)*DG140+(1-EXP(-LN(2)/25))/(LN(2)/25)*Calculateur!DB141*Calculateur!DD141*VLOOKUP('Données projet'!$B$13,Paramètres!$A$1:$I$89,3,0)*0.475*44/12</f>
        <v>0</v>
      </c>
      <c r="DH141" s="21">
        <f>EXP(-LN(2)/2)*DH140+(1-EXP(-LN(2)/2))/(LN(2)/2)*DB141*DE141*VLOOKUP('Données projet'!$B$13,Paramètres!$A$1:$I$89,3,0)*0.475*44/12</f>
        <v>0</v>
      </c>
      <c r="DI141" s="22">
        <f t="shared" si="123"/>
        <v>82.507317808880686</v>
      </c>
      <c r="DJ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3.8</v>
      </c>
      <c r="DO141" s="12">
        <f>IF('Données projet'!$A$166&gt;35,DO140+DN141-DW140,IF(A141&lt;'Données projet'!$A$166,$DL$205^A141,IF(A141='Données projet'!$A$166,'Données projet'!$B$166,DO140+DN141-DW140)))</f>
        <v>332.4</v>
      </c>
      <c r="DP141" s="17">
        <f>DO141*VLOOKUP('Données projet'!$B$14,Paramètres!$A$1:$I$89,3,0)*VLOOKUP('Données projet'!$B$14,Paramètres!$A$1:$I$89,5,0)</f>
        <v>316.31183999999996</v>
      </c>
      <c r="DQ141" s="13">
        <f t="shared" si="151"/>
        <v>74.585443271566461</v>
      </c>
      <c r="DR141" s="20">
        <f t="shared" si="124"/>
        <v>680.81276836464485</v>
      </c>
      <c r="DS141" s="59">
        <f t="shared" si="125"/>
        <v>964.18462231950014</v>
      </c>
      <c r="DT141" s="59">
        <f ca="1">AVERAGE(OFFSET($DS$3,0,0,'Données projet'!$E$14+1,1))-AVERAGE(OFFSET($H$3,0,0,'Données projet'!$E$14+1,1))</f>
        <v>590.05965493677377</v>
      </c>
      <c r="DU141" s="59">
        <f t="shared" si="152"/>
        <v>378.40640480134505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77.429944405257231</v>
      </c>
      <c r="EB141" s="21">
        <f>EXP(-LN(2)/25)*EB140+(1-EXP(-LN(2)/25))/(LN(2)/25)*Calculateur!DW141*Calculateur!DY141*VLOOKUP('Données projet'!$B$14,Paramètres!$A$1:$I$89,3,0)*0.475*44/12</f>
        <v>0</v>
      </c>
      <c r="EC141" s="21">
        <f>EXP(-LN(2)/2)*EC140+(1-EXP(-LN(2)/2))/(LN(2)/2)*DW141*DZ141*VLOOKUP('Données projet'!$B$14,Paramètres!$A$1:$I$89,3,0)*0.475*44/12</f>
        <v>0</v>
      </c>
      <c r="ED141" s="22">
        <f t="shared" si="126"/>
        <v>77.429944405257231</v>
      </c>
      <c r="EE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67.283232896778713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2">
        <f>'Scénario référence'!$B$16*5+'Scénario référence'!$B$17*0+'Scénario référence'!$B$18*5</f>
        <v>4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14.666666666666666</v>
      </c>
      <c r="H142" s="66">
        <f t="shared" si="110"/>
        <v>159.86666666666667</v>
      </c>
      <c r="I142" s="6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-2.9085640562698246E-14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140.03175887621094</v>
      </c>
      <c r="T142" s="59">
        <f t="shared" si="142"/>
        <v>377.29475975964954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8.1553481426032715</v>
      </c>
      <c r="AA142" s="21">
        <f>EXP(-LN(2)/25)*AA141+(1-EXP(-LN(2)/25))/(LN(2)/25)*Calculateur!V142*Calculateur!X142*VLOOKUP('Données projet'!$B$9,Paramètres!$A$1:$I$89,3,0)*0.475*44/12</f>
        <v>0</v>
      </c>
      <c r="AB142" s="21">
        <f>EXP(-LN(2)/2)*AB141+(1-EXP(-LN(2)/2))/(LN(2)/2)*V142*Y142*VLOOKUP('Données projet'!$B$9,Paramètres!$A$1:$I$89,3,0)*0.475*44/12</f>
        <v>9.6204724006464452E-17</v>
      </c>
      <c r="AC142" s="22">
        <f t="shared" si="111"/>
        <v>8.1553481426032715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-5.6843418860808015E-14</v>
      </c>
      <c r="AJ142" s="13">
        <f>AI142*VLOOKUP('Données projet'!$B$10,Paramètres!$A$1:$I$89,3,0)*VLOOKUP('Données projet'!$B$10,Paramètres!$A$1:$I$89,5,0)</f>
        <v>-2.8642261895583942E-14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138.27364731587764</v>
      </c>
      <c r="AO142" s="59">
        <f t="shared" si="144"/>
        <v>372.50391467700013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8.0310288111611321</v>
      </c>
      <c r="AV142" s="21">
        <f>EXP(-LN(2)/25)*AV141+(1-EXP(-LN(2)/25))/(LN(2)/25)*Calculateur!AQ142*Calculateur!AS142*VLOOKUP('Données projet'!$B$10,Paramètres!$A$1:$I$89,3,0)*0.475*44/12</f>
        <v>0</v>
      </c>
      <c r="AW142" s="21">
        <f>EXP(-LN(2)/2)*AW141+(1-EXP(-LN(2)/2))/(LN(2)/2)*AQ142*AT142*VLOOKUP('Données projet'!$B$10,Paramètres!$A$1:$I$89,3,0)*0.475*44/12</f>
        <v>9.4738188579536544E-17</v>
      </c>
      <c r="AX142" s="21">
        <f t="shared" si="114"/>
        <v>8.0310288111611321</v>
      </c>
      <c r="AY142" s="7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3.8</v>
      </c>
      <c r="BD142" s="12">
        <f>IF('Données projet'!$A$88&gt;35,BD141+BC142-BL141,IF(A142&lt;'Données projet'!$A$88,$BA$205^A142,IF(A142='Données projet'!$A$88,'Données projet'!$B$88,BD141+BC142-BL141)))</f>
        <v>336.2</v>
      </c>
      <c r="BE142" s="13">
        <f>BD142*VLOOKUP('Données projet'!$B$11,Paramètres!$A$1:$I$89,3,0)*VLOOKUP('Données projet'!$B$11,Paramètres!$A$1:$I$89,5,0)</f>
        <v>351.39624000000003</v>
      </c>
      <c r="BF142" s="13">
        <f t="shared" si="145"/>
        <v>81.849944903291089</v>
      </c>
      <c r="BG142" s="20">
        <f t="shared" si="115"/>
        <v>754.57043870656526</v>
      </c>
      <c r="BH142" s="59">
        <f t="shared" si="116"/>
        <v>1038.1151020581055</v>
      </c>
      <c r="BI142" s="59">
        <f ca="1">AVERAGE(OFFSET($BH$3,0,0,'Données projet'!$E$11+1,1))-AVERAGE(OFFSET($H$3,0,0,'Données projet'!$E$11+1,1))</f>
        <v>638.07304290599211</v>
      </c>
      <c r="BJ142" s="59">
        <f t="shared" si="146"/>
        <v>408.22196233793511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83.378304235178391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83.378304235178391</v>
      </c>
      <c r="BT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3.8</v>
      </c>
      <c r="BY142" s="12">
        <f>IF('Données projet'!$A$114&gt;35,BY141+BX142-CG141,IF(A142&lt;'Données projet'!$A$114,$BV$205^A142,IF(A142='Données projet'!$A$114,'Données projet'!$B$114,BY141+BX142-CG141)))</f>
        <v>336.2</v>
      </c>
      <c r="BZ142" s="13">
        <f>BY142*VLOOKUP('Données projet'!$B$12,Paramètres!$A$1:$I$89,3,0)*VLOOKUP('Données projet'!$B$12,Paramètres!$A$1:$I$89,5,0)</f>
        <v>382.86455999999998</v>
      </c>
      <c r="CA142" s="13">
        <f t="shared" si="147"/>
        <v>88.293915171404919</v>
      </c>
      <c r="CB142" s="20">
        <f t="shared" si="118"/>
        <v>820.60101092353023</v>
      </c>
      <c r="CC142" s="59">
        <f t="shared" si="119"/>
        <v>1104.1456742750706</v>
      </c>
      <c r="CD142" s="59">
        <f ca="1">AVERAGE(OFFSET($CC$3,0,0,'Données projet'!$E$12+1,1))-AVERAGE(OFFSET($H$3,0,0,'Données projet'!$E$12+1,1))</f>
        <v>685.99951993586967</v>
      </c>
      <c r="CE142" s="59">
        <f t="shared" si="148"/>
        <v>437.98014017823095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90.845018047283915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90.845018047283915</v>
      </c>
      <c r="CO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3.8</v>
      </c>
      <c r="CT142" s="12">
        <f>IF('Données projet'!$A$140&gt;35,CT141+CS142-DB141,IF(A142&lt;'Données projet'!$A$140,$CQ$205^A142,IF(A142='Données projet'!$A$140,'Données projet'!$B$140,CT141+CS142-DB141)))</f>
        <v>336.2</v>
      </c>
      <c r="CU142" s="17">
        <f>CT142*VLOOKUP('Données projet'!$B$13,Paramètres!$A$1:$I$89,3,0)*VLOOKUP('Données projet'!$B$13,Paramètres!$A$1:$I$89,5,0)</f>
        <v>340.90680000000003</v>
      </c>
      <c r="CV142" s="13">
        <f t="shared" si="149"/>
        <v>79.687267990791668</v>
      </c>
      <c r="CW142" s="20">
        <f t="shared" si="121"/>
        <v>732.53466841729551</v>
      </c>
      <c r="CX142" s="59">
        <f t="shared" si="122"/>
        <v>1016.0793317688358</v>
      </c>
      <c r="CY142" s="59">
        <f ca="1">AVERAGE(OFFSET($CX$3,0,0,'Données projet'!$E$13+1,1))-AVERAGE(OFFSET($H$3,0,0,'Données projet'!$E$13+1,1))</f>
        <v>622.07867348539082</v>
      </c>
      <c r="CZ142" s="59">
        <f t="shared" si="150"/>
        <v>398.29010684041634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80.889399631143263</v>
      </c>
      <c r="DG142" s="21">
        <f>EXP(-LN(2)/25)*DG141+(1-EXP(-LN(2)/25))/(LN(2)/25)*Calculateur!DB142*Calculateur!DD142*VLOOKUP('Données projet'!$B$13,Paramètres!$A$1:$I$89,3,0)*0.475*44/12</f>
        <v>0</v>
      </c>
      <c r="DH142" s="21">
        <f>EXP(-LN(2)/2)*DH141+(1-EXP(-LN(2)/2))/(LN(2)/2)*DB142*DE142*VLOOKUP('Données projet'!$B$13,Paramètres!$A$1:$I$89,3,0)*0.475*44/12</f>
        <v>0</v>
      </c>
      <c r="DI142" s="22">
        <f t="shared" si="123"/>
        <v>80.889399631143263</v>
      </c>
      <c r="DJ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3.8</v>
      </c>
      <c r="DO142" s="12">
        <f>IF('Données projet'!$A$166&gt;35,DO141+DN142-DW141,IF(A142&lt;'Données projet'!$A$166,$DL$205^A142,IF(A142='Données projet'!$A$166,'Données projet'!$B$166,DO141+DN142-DW141)))</f>
        <v>336.2</v>
      </c>
      <c r="DP142" s="17">
        <f>DO142*VLOOKUP('Données projet'!$B$14,Paramètres!$A$1:$I$89,3,0)*VLOOKUP('Données projet'!$B$14,Paramètres!$A$1:$I$89,5,0)</f>
        <v>319.92792000000003</v>
      </c>
      <c r="DQ142" s="13">
        <f t="shared" si="151"/>
        <v>75.338355820402725</v>
      </c>
      <c r="DR142" s="20">
        <f t="shared" si="124"/>
        <v>688.42209705386813</v>
      </c>
      <c r="DS142" s="59">
        <f t="shared" si="125"/>
        <v>971.96676040540842</v>
      </c>
      <c r="DT142" s="59">
        <f ca="1">AVERAGE(OFFSET($DS$3,0,0,'Données projet'!$E$14+1,1))-AVERAGE(OFFSET($H$3,0,0,'Données projet'!$E$14+1,1))</f>
        <v>590.05965493677377</v>
      </c>
      <c r="DU142" s="59">
        <f t="shared" si="152"/>
        <v>378.40640480134505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75.91159042307288</v>
      </c>
      <c r="EB142" s="21">
        <f>EXP(-LN(2)/25)*EB141+(1-EXP(-LN(2)/25))/(LN(2)/25)*Calculateur!DW142*Calculateur!DY142*VLOOKUP('Données projet'!$B$14,Paramètres!$A$1:$I$89,3,0)*0.475*44/12</f>
        <v>0</v>
      </c>
      <c r="EC142" s="21">
        <f>EXP(-LN(2)/2)*EC141+(1-EXP(-LN(2)/2))/(LN(2)/2)*DW142*DZ142*VLOOKUP('Données projet'!$B$14,Paramètres!$A$1:$I$89,3,0)*0.475*44/12</f>
        <v>0</v>
      </c>
      <c r="ED142" s="22">
        <f t="shared" si="126"/>
        <v>75.91159042307288</v>
      </c>
      <c r="EE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67.330362732238271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2">
        <f>'Scénario référence'!$B$16*5+'Scénario référence'!$B$17*0+'Scénario référence'!$B$18*5</f>
        <v>4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14.666666666666666</v>
      </c>
      <c r="H143" s="66">
        <f t="shared" si="110"/>
        <v>159.86666666666667</v>
      </c>
      <c r="I143" s="6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-2.9085640562698246E-14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140.03175887621094</v>
      </c>
      <c r="T143" s="59">
        <f t="shared" si="142"/>
        <v>377.29475975964954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7.9954267397980194</v>
      </c>
      <c r="AA143" s="21">
        <f>EXP(-LN(2)/25)*AA142+(1-EXP(-LN(2)/25))/(LN(2)/25)*Calculateur!V143*Calculateur!X143*VLOOKUP('Données projet'!$B$9,Paramètres!$A$1:$I$89,3,0)*0.475*44/12</f>
        <v>0</v>
      </c>
      <c r="AB143" s="21">
        <f>EXP(-LN(2)/2)*AB142+(1-EXP(-LN(2)/2))/(LN(2)/2)*V143*Y143*VLOOKUP('Données projet'!$B$9,Paramètres!$A$1:$I$89,3,0)*0.475*44/12</f>
        <v>6.8027012727151254E-17</v>
      </c>
      <c r="AC143" s="22">
        <f t="shared" si="111"/>
        <v>7.9954267397980194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-5.6843418860808015E-14</v>
      </c>
      <c r="AJ143" s="13">
        <f>AI143*VLOOKUP('Données projet'!$B$10,Paramètres!$A$1:$I$89,3,0)*VLOOKUP('Données projet'!$B$10,Paramètres!$A$1:$I$89,5,0)</f>
        <v>-2.8642261895583942E-14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138.27364731587764</v>
      </c>
      <c r="AO143" s="59">
        <f t="shared" si="144"/>
        <v>372.50391467700013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7.873545234618156</v>
      </c>
      <c r="AV143" s="21">
        <f>EXP(-LN(2)/25)*AV142+(1-EXP(-LN(2)/25))/(LN(2)/25)*Calculateur!AQ143*Calculateur!AS143*VLOOKUP('Données projet'!$B$10,Paramètres!$A$1:$I$89,3,0)*0.475*44/12</f>
        <v>0</v>
      </c>
      <c r="AW143" s="21">
        <f>EXP(-LN(2)/2)*AW142+(1-EXP(-LN(2)/2))/(LN(2)/2)*AQ143*AT143*VLOOKUP('Données projet'!$B$10,Paramètres!$A$1:$I$89,3,0)*0.475*44/12</f>
        <v>6.6990015581920222E-17</v>
      </c>
      <c r="AX143" s="21">
        <f t="shared" si="114"/>
        <v>7.873545234618156</v>
      </c>
      <c r="AY143" s="7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>
        <f>VLOOKUP(A143,'Données projet'!$A$87:$I$107,2,0)</f>
        <v>339.99999999999994</v>
      </c>
      <c r="BB143" s="12">
        <f>VLOOKUP(A143,'Données projet'!$A$87:$I$107,9,0)</f>
        <v>3.8</v>
      </c>
      <c r="BC143" s="12">
        <f t="array" ref="BC143">INDEX(BB:BB,MIN(IF(ISNUMBER(BB143:BB339),ROW(BB143:BB339),"")))</f>
        <v>3.8</v>
      </c>
      <c r="BD143" s="12">
        <f>IF('Données projet'!$A$88&gt;35,BD142+BC143-BL142,IF(A143&lt;'Données projet'!$A$88,$BA$205^A143,IF(A143='Données projet'!$A$88,'Données projet'!$B$88,BD142+BC143-BL142)))</f>
        <v>340</v>
      </c>
      <c r="BE143" s="13">
        <f>BD143*VLOOKUP('Données projet'!$B$11,Paramètres!$A$1:$I$89,3,0)*VLOOKUP('Données projet'!$B$11,Paramètres!$A$1:$I$89,5,0)</f>
        <v>355.36800000000005</v>
      </c>
      <c r="BF143" s="13">
        <f t="shared" si="145"/>
        <v>82.666857134597876</v>
      </c>
      <c r="BG143" s="20">
        <f t="shared" si="115"/>
        <v>762.91070950942469</v>
      </c>
      <c r="BH143" s="59">
        <f t="shared" si="116"/>
        <v>1046.6251844009616</v>
      </c>
      <c r="BI143" s="59">
        <f ca="1">AVERAGE(OFFSET($BH$3,0,0,'Données projet'!$E$11+1,1))-AVERAGE(OFFSET($H$3,0,0,'Données projet'!$E$11+1,1))</f>
        <v>638.07304290599211</v>
      </c>
      <c r="BJ143" s="59">
        <f t="shared" si="146"/>
        <v>408.22196233793511</v>
      </c>
      <c r="BK143" s="15">
        <f>IF(ISNA(VLOOKUP(A143,'Données projet'!$A$87:$I$107,3,0)),0,VLOOKUP(A143,'Données projet'!$A$87:$I$107,3,0))</f>
        <v>13</v>
      </c>
      <c r="BL143" s="15">
        <f>IF(ISNA(VLOOKUP(A143,'Données projet'!$A$87:$I$107,4,0)),0,VLOOKUP(A143,'Données projet'!$A$87:$I$107,4,0))</f>
        <v>41</v>
      </c>
      <c r="BM143" s="16">
        <f>IF(ISNA(VLOOKUP(A143,'Données projet'!$A$87:$I$107,5,0)),0%,VLOOKUP(A143,'Données projet'!$A$87:$I$107,5,0)*VLOOKUP('Données projet'!$B$11,Paramètres!$A$1:$I$89,7,0))</f>
        <v>0.36549999999999999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99.058117309398156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99.058117309398156</v>
      </c>
      <c r="BT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>
        <f>VLOOKUP(A143,'Données projet'!$A$113:$I$133,2,0)</f>
        <v>339.99999999999994</v>
      </c>
      <c r="BW143" s="12">
        <f>VLOOKUP(A143,'Données projet'!$A$113:$I$133,9,0)</f>
        <v>3.8</v>
      </c>
      <c r="BX143" s="12">
        <f t="array" ref="BX143">INDEX(BW:BW,MIN(IF(ISNUMBER(BW143:BW339),ROW(BW143:BW339),"")))</f>
        <v>3.8</v>
      </c>
      <c r="BY143" s="12">
        <f>IF('Données projet'!$A$114&gt;35,BY142+BX143-CG142,IF(A143&lt;'Données projet'!$A$114,$BV$205^A143,IF(A143='Données projet'!$A$114,'Données projet'!$B$114,BY142+BX143-CG142)))</f>
        <v>340</v>
      </c>
      <c r="BZ143" s="13">
        <f>BY143*VLOOKUP('Données projet'!$B$12,Paramètres!$A$1:$I$89,3,0)*VLOOKUP('Données projet'!$B$12,Paramètres!$A$1:$I$89,5,0)</f>
        <v>387.19200000000001</v>
      </c>
      <c r="CA143" s="13">
        <f t="shared" si="147"/>
        <v>89.175142145213002</v>
      </c>
      <c r="CB143" s="20">
        <f t="shared" si="118"/>
        <v>829.67277256957925</v>
      </c>
      <c r="CC143" s="59">
        <f t="shared" si="119"/>
        <v>1113.3872474611162</v>
      </c>
      <c r="CD143" s="59">
        <f ca="1">AVERAGE(OFFSET($CC$3,0,0,'Données projet'!$E$12+1,1))-AVERAGE(OFFSET($H$3,0,0,'Données projet'!$E$12+1,1))</f>
        <v>685.99951993586967</v>
      </c>
      <c r="CE143" s="59">
        <f t="shared" si="148"/>
        <v>437.98014017823095</v>
      </c>
      <c r="CF143" s="15">
        <f>IF(ISNA(VLOOKUP(A143,'Données projet'!$A$113:$I$133,3,0)),0,VLOOKUP(A143,'Données projet'!$A$113:$I$133,3,0))</f>
        <v>13</v>
      </c>
      <c r="CG143" s="15">
        <f>IF(ISNA(VLOOKUP(A143,'Données projet'!$A$113:$I$133,4,0)),0,VLOOKUP(A143,'Données projet'!$A$113:$I$133,4,0))</f>
        <v>41</v>
      </c>
      <c r="CH143" s="16">
        <f>IF(ISNA(VLOOKUP(A143,'Données projet'!$A$113:$I$133,5,0)),0%,VLOOKUP(A143,'Données projet'!$A$113:$I$133,5,0)*VLOOKUP('Données projet'!$B$12,Paramètres!$A$1:$I$89,7,0))</f>
        <v>0.36549999999999999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107.92899348635918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107.92899348635918</v>
      </c>
      <c r="CO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>
        <f>VLOOKUP(A143,'Données projet'!$A$139:$I$159,2,0)</f>
        <v>339.99999999999994</v>
      </c>
      <c r="CR143" s="12">
        <f>VLOOKUP(A143,'Données projet'!$A$139:$I$159,9,0)</f>
        <v>3.8</v>
      </c>
      <c r="CS143" s="12">
        <f t="array" ref="CS143">INDEX(CR:CR,MIN(IF(ISNUMBER(CR143:CR339),ROW(CR143:CR339),"")))</f>
        <v>3.8</v>
      </c>
      <c r="CT143" s="12">
        <f>IF('Données projet'!$A$140&gt;35,CT142+CS143-DB142,IF(A143&lt;'Données projet'!$A$140,$CQ$205^A143,IF(A143='Données projet'!$A$140,'Données projet'!$B$140,CT142+CS143-DB142)))</f>
        <v>340</v>
      </c>
      <c r="CU143" s="17">
        <f>CT143*VLOOKUP('Données projet'!$B$13,Paramètres!$A$1:$I$89,3,0)*VLOOKUP('Données projet'!$B$13,Paramètres!$A$1:$I$89,5,0)</f>
        <v>344.76</v>
      </c>
      <c r="CV143" s="13">
        <f t="shared" si="149"/>
        <v>80.482595391170619</v>
      </c>
      <c r="CW143" s="20">
        <f t="shared" si="121"/>
        <v>740.63085363962216</v>
      </c>
      <c r="CX143" s="59">
        <f t="shared" si="122"/>
        <v>1024.3453285311591</v>
      </c>
      <c r="CY143" s="59">
        <f ca="1">AVERAGE(OFFSET($CX$3,0,0,'Données projet'!$E$13+1,1))-AVERAGE(OFFSET($H$3,0,0,'Données projet'!$E$13+1,1))</f>
        <v>622.07867348539082</v>
      </c>
      <c r="CZ143" s="59">
        <f t="shared" si="150"/>
        <v>398.29010684041634</v>
      </c>
      <c r="DA143" s="15">
        <f>IF(ISNA(VLOOKUP(A143,'Données projet'!$A$139:$I$159,3,0)),0,VLOOKUP(A143,'Données projet'!$A$139:$I$159,3,0))</f>
        <v>13</v>
      </c>
      <c r="DB143" s="15">
        <f>IF(ISNA(VLOOKUP(A143,'Données projet'!$A$139:$I$159,4,0)),0,VLOOKUP(A143,'Données projet'!$A$139:$I$159,4,0))</f>
        <v>41</v>
      </c>
      <c r="DC143" s="16">
        <f>IF(ISNA(VLOOKUP(A143,'Données projet'!$A$139:$I$159,5,0)),0%,VLOOKUP(A143,'Données projet'!$A$139:$I$159,5,0)*VLOOKUP('Données projet'!$B$13,Paramètres!$A$1:$I$89,7,0))</f>
        <v>0.36549999999999999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96.101158583744535</v>
      </c>
      <c r="DG143" s="21">
        <f>EXP(-LN(2)/25)*DG142+(1-EXP(-LN(2)/25))/(LN(2)/25)*Calculateur!DB143*Calculateur!DD143*VLOOKUP('Données projet'!$B$13,Paramètres!$A$1:$I$89,3,0)*0.475*44/12</f>
        <v>0</v>
      </c>
      <c r="DH143" s="21">
        <f>EXP(-LN(2)/2)*DH142+(1-EXP(-LN(2)/2))/(LN(2)/2)*DB143*DE143*VLOOKUP('Données projet'!$B$13,Paramètres!$A$1:$I$89,3,0)*0.475*44/12</f>
        <v>0</v>
      </c>
      <c r="DI143" s="22">
        <f t="shared" si="123"/>
        <v>96.101158583744535</v>
      </c>
      <c r="DJ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>
        <f>VLOOKUP(A143,'Données projet'!$A$165:$I$185,2,0)</f>
        <v>339.99999999999994</v>
      </c>
      <c r="DM143" s="12">
        <f>VLOOKUP(A143,'Données projet'!$A$165:$I$185,9,0)</f>
        <v>3.8</v>
      </c>
      <c r="DN143" s="12">
        <f t="array" ref="DN143">INDEX(DM:DM,MIN(IF(ISNUMBER(DM143:DM339),ROW(DM143:DM339),"")))</f>
        <v>3.8</v>
      </c>
      <c r="DO143" s="12">
        <f>IF('Données projet'!$A$166&gt;35,DO142+DN143-DW142,IF(A143&lt;'Données projet'!$A$166,$DL$205^A143,IF(A143='Données projet'!$A$166,'Données projet'!$B$166,DO142+DN143-DW142)))</f>
        <v>340</v>
      </c>
      <c r="DP143" s="17">
        <f>DO143*VLOOKUP('Données projet'!$B$14,Paramètres!$A$1:$I$89,3,0)*VLOOKUP('Données projet'!$B$14,Paramètres!$A$1:$I$89,5,0)</f>
        <v>323.54400000000004</v>
      </c>
      <c r="DQ143" s="13">
        <f t="shared" si="151"/>
        <v>76.090278432310996</v>
      </c>
      <c r="DR143" s="20">
        <f t="shared" si="124"/>
        <v>696.02970160294171</v>
      </c>
      <c r="DS143" s="59">
        <f t="shared" si="125"/>
        <v>979.74417649447855</v>
      </c>
      <c r="DT143" s="59">
        <f ca="1">AVERAGE(OFFSET($DS$3,0,0,'Données projet'!$E$14+1,1))-AVERAGE(OFFSET($H$3,0,0,'Données projet'!$E$14+1,1))</f>
        <v>590.05965493677377</v>
      </c>
      <c r="DU143" s="59">
        <f t="shared" si="152"/>
        <v>378.40640480134505</v>
      </c>
      <c r="DV143" s="15">
        <f>IF(ISNA(VLOOKUP(A143,'Données projet'!$A$165:$I$185,3,0)),0,VLOOKUP(A143,'Données projet'!$A$165:$I$185,3,0))</f>
        <v>13</v>
      </c>
      <c r="DW143" s="15">
        <f>IF(ISNA(VLOOKUP(A143,'Données projet'!$A$165:$I$185,4,0)),0,VLOOKUP(A143,'Données projet'!$A$165:$I$185,4,0))</f>
        <v>41</v>
      </c>
      <c r="DX143" s="16">
        <f>IF(ISNA(VLOOKUP(A143,'Données projet'!$A$165:$I$185,5,0)),0%,VLOOKUP(A143,'Données projet'!$A$165:$I$185,5,0)*VLOOKUP('Données projet'!$B$14,Paramètres!$A$1:$I$89,7,0))</f>
        <v>0.36549999999999999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90.187241132437137</v>
      </c>
      <c r="EB143" s="21">
        <f>EXP(-LN(2)/25)*EB142+(1-EXP(-LN(2)/25))/(LN(2)/25)*Calculateur!DW143*Calculateur!DY143*VLOOKUP('Données projet'!$B$14,Paramètres!$A$1:$I$89,3,0)*0.475*44/12</f>
        <v>0</v>
      </c>
      <c r="EC143" s="21">
        <f>EXP(-LN(2)/2)*EC142+(1-EXP(-LN(2)/2))/(LN(2)/2)*DW143*DZ143*VLOOKUP('Données projet'!$B$14,Paramètres!$A$1:$I$89,3,0)*0.475*44/12</f>
        <v>0</v>
      </c>
      <c r="ED143" s="22">
        <f t="shared" si="126"/>
        <v>90.187241132437137</v>
      </c>
      <c r="EE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67.376674970419145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2">
        <f>'Scénario référence'!$B$16*5+'Scénario référence'!$B$17*0+'Scénario référence'!$B$18*5</f>
        <v>4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14.666666666666666</v>
      </c>
      <c r="H144" s="66">
        <f t="shared" si="110"/>
        <v>159.86666666666667</v>
      </c>
      <c r="I144" s="6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-2.9085640562698246E-14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140.03175887621094</v>
      </c>
      <c r="T144" s="59">
        <f t="shared" si="142"/>
        <v>377.29475975964954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7.838641298159355</v>
      </c>
      <c r="AA144" s="21">
        <f>EXP(-LN(2)/25)*AA143+(1-EXP(-LN(2)/25))/(LN(2)/25)*Calculateur!V144*Calculateur!X144*VLOOKUP('Données projet'!$B$9,Paramètres!$A$1:$I$89,3,0)*0.475*44/12</f>
        <v>0</v>
      </c>
      <c r="AB144" s="21">
        <f>EXP(-LN(2)/2)*AB143+(1-EXP(-LN(2)/2))/(LN(2)/2)*V144*Y144*VLOOKUP('Données projet'!$B$9,Paramètres!$A$1:$I$89,3,0)*0.475*44/12</f>
        <v>4.8102362003232226E-17</v>
      </c>
      <c r="AC144" s="22">
        <f t="shared" si="111"/>
        <v>7.838641298159355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-5.6843418860808015E-14</v>
      </c>
      <c r="AJ144" s="13">
        <f>AI144*VLOOKUP('Données projet'!$B$10,Paramètres!$A$1:$I$89,3,0)*VLOOKUP('Données projet'!$B$10,Paramètres!$A$1:$I$89,5,0)</f>
        <v>-2.8642261895583942E-14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138.27364731587764</v>
      </c>
      <c r="AO144" s="59">
        <f t="shared" si="144"/>
        <v>372.50391467700013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7.7191498149556903</v>
      </c>
      <c r="AV144" s="21">
        <f>EXP(-LN(2)/25)*AV143+(1-EXP(-LN(2)/25))/(LN(2)/25)*Calculateur!AQ144*Calculateur!AS144*VLOOKUP('Données projet'!$B$10,Paramètres!$A$1:$I$89,3,0)*0.475*44/12</f>
        <v>0</v>
      </c>
      <c r="AW144" s="21">
        <f>EXP(-LN(2)/2)*AW143+(1-EXP(-LN(2)/2))/(LN(2)/2)*AQ144*AT144*VLOOKUP('Données projet'!$B$10,Paramètres!$A$1:$I$89,3,0)*0.475*44/12</f>
        <v>4.7369094289768272E-17</v>
      </c>
      <c r="AX144" s="21">
        <f t="shared" si="114"/>
        <v>7.7191498149556903</v>
      </c>
      <c r="AY144" s="7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3.4000000000000057</v>
      </c>
      <c r="BD144" s="12">
        <f>IF('Données projet'!$A$88&gt;35,BD143+BC144-BL143,IF(A144&lt;'Données projet'!$A$88,$BA$205^A144,IF(A144='Données projet'!$A$88,'Données projet'!$B$88,BD143+BC144-BL143)))</f>
        <v>302.39999999999998</v>
      </c>
      <c r="BE144" s="13">
        <f>BD144*VLOOKUP('Données projet'!$B$11,Paramètres!$A$1:$I$89,3,0)*VLOOKUP('Données projet'!$B$11,Paramètres!$A$1:$I$89,5,0)</f>
        <v>316.06848000000002</v>
      </c>
      <c r="BF144" s="13">
        <f t="shared" si="145"/>
        <v>74.534736847732546</v>
      </c>
      <c r="BG144" s="20">
        <f t="shared" si="115"/>
        <v>680.30060267646752</v>
      </c>
      <c r="BH144" s="59">
        <f t="shared" si="116"/>
        <v>964.18194325742365</v>
      </c>
      <c r="BI144" s="59">
        <f ca="1">AVERAGE(OFFSET($BH$3,0,0,'Données projet'!$E$11+1,1))-AVERAGE(OFFSET($H$3,0,0,'Données projet'!$E$11+1,1))</f>
        <v>638.07304290599211</v>
      </c>
      <c r="BJ144" s="59">
        <f t="shared" si="146"/>
        <v>408.22196233793511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97.115648048446488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97.115648048446488</v>
      </c>
      <c r="BT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3.4000000000000057</v>
      </c>
      <c r="BY144" s="12">
        <f>IF('Données projet'!$A$114&gt;35,BY143+BX144-CG143,IF(A144&lt;'Données projet'!$A$114,$BV$205^A144,IF(A144='Données projet'!$A$114,'Données projet'!$B$114,BY143+BX144-CG143)))</f>
        <v>302.39999999999998</v>
      </c>
      <c r="BZ144" s="13">
        <f>BY144*VLOOKUP('Données projet'!$B$12,Paramètres!$A$1:$I$89,3,0)*VLOOKUP('Données projet'!$B$12,Paramètres!$A$1:$I$89,5,0)</f>
        <v>344.37311999999997</v>
      </c>
      <c r="CA144" s="13">
        <f t="shared" si="147"/>
        <v>80.402787568548192</v>
      </c>
      <c r="CB144" s="20">
        <f t="shared" si="118"/>
        <v>739.81803901522142</v>
      </c>
      <c r="CC144" s="59">
        <f t="shared" si="119"/>
        <v>1023.6993795961776</v>
      </c>
      <c r="CD144" s="59">
        <f ca="1">AVERAGE(OFFSET($CC$3,0,0,'Données projet'!$E$12+1,1))-AVERAGE(OFFSET($H$3,0,0,'Données projet'!$E$12+1,1))</f>
        <v>685.99951993586967</v>
      </c>
      <c r="CE144" s="59">
        <f t="shared" si="148"/>
        <v>437.98014017823095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105.81257175427751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105.81257175427751</v>
      </c>
      <c r="CO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3.4000000000000057</v>
      </c>
      <c r="CT144" s="12">
        <f>IF('Données projet'!$A$140&gt;35,CT143+CS144-DB143,IF(A144&lt;'Données projet'!$A$140,$CQ$205^A144,IF(A144='Données projet'!$A$140,'Données projet'!$B$140,CT143+CS144-DB143)))</f>
        <v>302.39999999999998</v>
      </c>
      <c r="CU144" s="17">
        <f>CT144*VLOOKUP('Données projet'!$B$13,Paramètres!$A$1:$I$89,3,0)*VLOOKUP('Données projet'!$B$13,Paramètres!$A$1:$I$89,5,0)</f>
        <v>306.6336</v>
      </c>
      <c r="CV144" s="13">
        <f t="shared" si="149"/>
        <v>72.565345729018077</v>
      </c>
      <c r="CW144" s="20">
        <f t="shared" si="121"/>
        <v>660.4381638113731</v>
      </c>
      <c r="CX144" s="59">
        <f t="shared" si="122"/>
        <v>944.31950439232924</v>
      </c>
      <c r="CY144" s="59">
        <f ca="1">AVERAGE(OFFSET($CX$3,0,0,'Données projet'!$E$13+1,1))-AVERAGE(OFFSET($H$3,0,0,'Données projet'!$E$13+1,1))</f>
        <v>622.07867348539082</v>
      </c>
      <c r="CZ144" s="59">
        <f t="shared" si="150"/>
        <v>398.29010684041634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94.216673479836203</v>
      </c>
      <c r="DG144" s="21">
        <f>EXP(-LN(2)/25)*DG143+(1-EXP(-LN(2)/25))/(LN(2)/25)*Calculateur!DB144*Calculateur!DD144*VLOOKUP('Données projet'!$B$13,Paramètres!$A$1:$I$89,3,0)*0.475*44/12</f>
        <v>0</v>
      </c>
      <c r="DH144" s="21">
        <f>EXP(-LN(2)/2)*DH143+(1-EXP(-LN(2)/2))/(LN(2)/2)*DB144*DE144*VLOOKUP('Données projet'!$B$13,Paramètres!$A$1:$I$89,3,0)*0.475*44/12</f>
        <v>0</v>
      </c>
      <c r="DI144" s="22">
        <f t="shared" si="123"/>
        <v>94.216673479836203</v>
      </c>
      <c r="DJ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3.4000000000000057</v>
      </c>
      <c r="DO144" s="12">
        <f>IF('Données projet'!$A$166&gt;35,DO143+DN144-DW143,IF(A144&lt;'Données projet'!$A$166,$DL$205^A144,IF(A144='Données projet'!$A$166,'Données projet'!$B$166,DO143+DN144-DW143)))</f>
        <v>302.39999999999998</v>
      </c>
      <c r="DP144" s="17">
        <f>DO144*VLOOKUP('Données projet'!$B$14,Paramètres!$A$1:$I$89,3,0)*VLOOKUP('Données projet'!$B$14,Paramètres!$A$1:$I$89,5,0)</f>
        <v>287.76383999999996</v>
      </c>
      <c r="DQ144" s="13">
        <f t="shared" si="151"/>
        <v>68.605110635679509</v>
      </c>
      <c r="DR144" s="20">
        <f t="shared" si="124"/>
        <v>620.67592235714176</v>
      </c>
      <c r="DS144" s="59">
        <f t="shared" si="125"/>
        <v>904.55726293809789</v>
      </c>
      <c r="DT144" s="59">
        <f ca="1">AVERAGE(OFFSET($DS$3,0,0,'Données projet'!$E$14+1,1))-AVERAGE(OFFSET($H$3,0,0,'Données projet'!$E$14+1,1))</f>
        <v>590.05965493677377</v>
      </c>
      <c r="DU144" s="59">
        <f t="shared" si="152"/>
        <v>378.40640480134505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88.418724342615462</v>
      </c>
      <c r="EB144" s="21">
        <f>EXP(-LN(2)/25)*EB143+(1-EXP(-LN(2)/25))/(LN(2)/25)*Calculateur!DW144*Calculateur!DY144*VLOOKUP('Données projet'!$B$14,Paramètres!$A$1:$I$89,3,0)*0.475*44/12</f>
        <v>0</v>
      </c>
      <c r="EC144" s="21">
        <f>EXP(-LN(2)/2)*EC143+(1-EXP(-LN(2)/2))/(LN(2)/2)*DW144*DZ144*VLOOKUP('Données projet'!$B$14,Paramètres!$A$1:$I$89,3,0)*0.475*44/12</f>
        <v>0</v>
      </c>
      <c r="ED144" s="22">
        <f t="shared" si="126"/>
        <v>88.418724342615462</v>
      </c>
      <c r="EE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67.422183794806216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2">
        <f>'Scénario référence'!$B$16*5+'Scénario référence'!$B$17*0+'Scénario référence'!$B$18*5</f>
        <v>4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14.666666666666666</v>
      </c>
      <c r="H145" s="66">
        <f t="shared" si="110"/>
        <v>159.86666666666667</v>
      </c>
      <c r="I145" s="6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-2.9085640562698246E-14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140.03175887621094</v>
      </c>
      <c r="T145" s="59">
        <f t="shared" si="142"/>
        <v>377.29475975964954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7.6849303234015478</v>
      </c>
      <c r="AA145" s="21">
        <f>EXP(-LN(2)/25)*AA144+(1-EXP(-LN(2)/25))/(LN(2)/25)*Calculateur!V145*Calculateur!X145*VLOOKUP('Données projet'!$B$9,Paramètres!$A$1:$I$89,3,0)*0.475*44/12</f>
        <v>0</v>
      </c>
      <c r="AB145" s="21">
        <f>EXP(-LN(2)/2)*AB144+(1-EXP(-LN(2)/2))/(LN(2)/2)*V145*Y145*VLOOKUP('Données projet'!$B$9,Paramètres!$A$1:$I$89,3,0)*0.475*44/12</f>
        <v>3.4013506363575627E-17</v>
      </c>
      <c r="AC145" s="22">
        <f t="shared" si="111"/>
        <v>7.6849303234015478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-5.6843418860808015E-14</v>
      </c>
      <c r="AJ145" s="13">
        <f>AI145*VLOOKUP('Données projet'!$B$10,Paramètres!$A$1:$I$89,3,0)*VLOOKUP('Données projet'!$B$10,Paramètres!$A$1:$I$89,5,0)</f>
        <v>-2.8642261895583942E-14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138.27364731587764</v>
      </c>
      <c r="AO145" s="59">
        <f t="shared" si="144"/>
        <v>372.50391467700013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7.5677819953008987</v>
      </c>
      <c r="AV145" s="21">
        <f>EXP(-LN(2)/25)*AV144+(1-EXP(-LN(2)/25))/(LN(2)/25)*Calculateur!AQ145*Calculateur!AS145*VLOOKUP('Données projet'!$B$10,Paramètres!$A$1:$I$89,3,0)*0.475*44/12</f>
        <v>0</v>
      </c>
      <c r="AW145" s="21">
        <f>EXP(-LN(2)/2)*AW144+(1-EXP(-LN(2)/2))/(LN(2)/2)*AQ145*AT145*VLOOKUP('Données projet'!$B$10,Paramètres!$A$1:$I$89,3,0)*0.475*44/12</f>
        <v>3.3495007790960111E-17</v>
      </c>
      <c r="AX145" s="21">
        <f t="shared" si="114"/>
        <v>7.5677819953008987</v>
      </c>
      <c r="AY145" s="7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3.4000000000000057</v>
      </c>
      <c r="BD145" s="12">
        <f>IF('Données projet'!$A$88&gt;35,BD144+BC145-BL144,IF(A145&lt;'Données projet'!$A$88,$BA$205^A145,IF(A145='Données projet'!$A$88,'Données projet'!$B$88,BD144+BC145-BL144)))</f>
        <v>305.79999999999995</v>
      </c>
      <c r="BE145" s="13">
        <f>BD145*VLOOKUP('Données projet'!$B$11,Paramètres!$A$1:$I$89,3,0)*VLOOKUP('Données projet'!$B$11,Paramètres!$A$1:$I$89,5,0)</f>
        <v>319.62216000000001</v>
      </c>
      <c r="BF145" s="13">
        <f t="shared" si="145"/>
        <v>75.274731297766522</v>
      </c>
      <c r="BG145" s="20">
        <f t="shared" si="115"/>
        <v>687.77875234360999</v>
      </c>
      <c r="BH145" s="59">
        <f t="shared" si="116"/>
        <v>971.82406386732987</v>
      </c>
      <c r="BI145" s="59">
        <f ca="1">AVERAGE(OFFSET($BH$3,0,0,'Données projet'!$E$11+1,1))-AVERAGE(OFFSET($H$3,0,0,'Données projet'!$E$11+1,1))</f>
        <v>638.07304290599211</v>
      </c>
      <c r="BJ145" s="59">
        <f t="shared" si="146"/>
        <v>408.22196233793511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95.211269424912828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95.211269424912828</v>
      </c>
      <c r="BT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3.4000000000000057</v>
      </c>
      <c r="BY145" s="12">
        <f>IF('Données projet'!$A$114&gt;35,BY144+BX145-CG144,IF(A145&lt;'Données projet'!$A$114,$BV$205^A145,IF(A145='Données projet'!$A$114,'Données projet'!$B$114,BY144+BX145-CG144)))</f>
        <v>305.79999999999995</v>
      </c>
      <c r="BZ145" s="13">
        <f>BY145*VLOOKUP('Données projet'!$B$12,Paramètres!$A$1:$I$89,3,0)*VLOOKUP('Données projet'!$B$12,Paramètres!$A$1:$I$89,5,0)</f>
        <v>348.24503999999996</v>
      </c>
      <c r="CA145" s="13">
        <f t="shared" si="147"/>
        <v>81.201041095484612</v>
      </c>
      <c r="CB145" s="20">
        <f t="shared" si="118"/>
        <v>747.95192457463554</v>
      </c>
      <c r="CC145" s="59">
        <f t="shared" si="119"/>
        <v>1031.9972360983554</v>
      </c>
      <c r="CD145" s="59">
        <f ca="1">AVERAGE(OFFSET($CC$3,0,0,'Données projet'!$E$12+1,1))-AVERAGE(OFFSET($H$3,0,0,'Données projet'!$E$12+1,1))</f>
        <v>685.99951993586967</v>
      </c>
      <c r="CE145" s="59">
        <f t="shared" si="148"/>
        <v>437.98014017823095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103.73765176147218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103.73765176147218</v>
      </c>
      <c r="CO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3.4000000000000057</v>
      </c>
      <c r="CT145" s="12">
        <f>IF('Données projet'!$A$140&gt;35,CT144+CS145-DB144,IF(A145&lt;'Données projet'!$A$140,$CQ$205^A145,IF(A145='Données projet'!$A$140,'Données projet'!$B$140,CT144+CS145-DB144)))</f>
        <v>305.79999999999995</v>
      </c>
      <c r="CU145" s="17">
        <f>CT145*VLOOKUP('Données projet'!$B$13,Paramètres!$A$1:$I$89,3,0)*VLOOKUP('Données projet'!$B$13,Paramètres!$A$1:$I$89,5,0)</f>
        <v>310.08119999999997</v>
      </c>
      <c r="CV145" s="13">
        <f t="shared" si="149"/>
        <v>73.285787705139427</v>
      </c>
      <c r="CW145" s="20">
        <f t="shared" si="121"/>
        <v>667.69750358645115</v>
      </c>
      <c r="CX145" s="59">
        <f t="shared" si="122"/>
        <v>951.74281511017102</v>
      </c>
      <c r="CY145" s="59">
        <f ca="1">AVERAGE(OFFSET($CX$3,0,0,'Données projet'!$E$13+1,1))-AVERAGE(OFFSET($H$3,0,0,'Données projet'!$E$13+1,1))</f>
        <v>622.07867348539082</v>
      </c>
      <c r="CZ145" s="59">
        <f t="shared" si="150"/>
        <v>398.29010684041634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92.369141979393092</v>
      </c>
      <c r="DG145" s="21">
        <f>EXP(-LN(2)/25)*DG144+(1-EXP(-LN(2)/25))/(LN(2)/25)*Calculateur!DB145*Calculateur!DD145*VLOOKUP('Données projet'!$B$13,Paramètres!$A$1:$I$89,3,0)*0.475*44/12</f>
        <v>0</v>
      </c>
      <c r="DH145" s="21">
        <f>EXP(-LN(2)/2)*DH144+(1-EXP(-LN(2)/2))/(LN(2)/2)*DB145*DE145*VLOOKUP('Données projet'!$B$13,Paramètres!$A$1:$I$89,3,0)*0.475*44/12</f>
        <v>0</v>
      </c>
      <c r="DI145" s="22">
        <f t="shared" si="123"/>
        <v>92.369141979393092</v>
      </c>
      <c r="DJ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3.4000000000000057</v>
      </c>
      <c r="DO145" s="12">
        <f>IF('Données projet'!$A$166&gt;35,DO144+DN145-DW144,IF(A145&lt;'Données projet'!$A$166,$DL$205^A145,IF(A145='Données projet'!$A$166,'Données projet'!$B$166,DO144+DN145-DW144)))</f>
        <v>305.79999999999995</v>
      </c>
      <c r="DP145" s="17">
        <f>DO145*VLOOKUP('Données projet'!$B$14,Paramètres!$A$1:$I$89,3,0)*VLOOKUP('Données projet'!$B$14,Paramètres!$A$1:$I$89,5,0)</f>
        <v>290.99927999999994</v>
      </c>
      <c r="DQ145" s="13">
        <f t="shared" si="151"/>
        <v>69.286234676112883</v>
      </c>
      <c r="DR145" s="20">
        <f t="shared" si="124"/>
        <v>627.49727139422976</v>
      </c>
      <c r="DS145" s="59">
        <f t="shared" si="125"/>
        <v>911.54258291794963</v>
      </c>
      <c r="DT145" s="59">
        <f ca="1">AVERAGE(OFFSET($DS$3,0,0,'Données projet'!$E$14+1,1))-AVERAGE(OFFSET($H$3,0,0,'Données projet'!$E$14+1,1))</f>
        <v>590.05965493677377</v>
      </c>
      <c r="DU145" s="59">
        <f t="shared" si="152"/>
        <v>378.40640480134505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86.684887088353463</v>
      </c>
      <c r="EB145" s="21">
        <f>EXP(-LN(2)/25)*EB144+(1-EXP(-LN(2)/25))/(LN(2)/25)*Calculateur!DW145*Calculateur!DY145*VLOOKUP('Données projet'!$B$14,Paramètres!$A$1:$I$89,3,0)*0.475*44/12</f>
        <v>0</v>
      </c>
      <c r="EC145" s="21">
        <f>EXP(-LN(2)/2)*EC144+(1-EXP(-LN(2)/2))/(LN(2)/2)*DW145*DZ145*VLOOKUP('Données projet'!$B$14,Paramètres!$A$1:$I$89,3,0)*0.475*44/12</f>
        <v>0</v>
      </c>
      <c r="ED145" s="22">
        <f t="shared" si="126"/>
        <v>86.684887088353463</v>
      </c>
      <c r="EE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67.466903142832678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2">
        <f>'Scénario référence'!$B$16*5+'Scénario référence'!$B$17*0+'Scénario référence'!$B$18*5</f>
        <v>4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14.666666666666666</v>
      </c>
      <c r="H146" s="66">
        <f t="shared" si="110"/>
        <v>159.86666666666667</v>
      </c>
      <c r="I146" s="6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-2.9085640562698246E-14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140.03175887621094</v>
      </c>
      <c r="T146" s="59">
        <f t="shared" si="142"/>
        <v>377.29475975964954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7.5342335271043037</v>
      </c>
      <c r="AA146" s="21">
        <f>EXP(-LN(2)/25)*AA145+(1-EXP(-LN(2)/25))/(LN(2)/25)*Calculateur!V146*Calculateur!X146*VLOOKUP('Données projet'!$B$9,Paramètres!$A$1:$I$89,3,0)*0.475*44/12</f>
        <v>0</v>
      </c>
      <c r="AB146" s="21">
        <f>EXP(-LN(2)/2)*AB145+(1-EXP(-LN(2)/2))/(LN(2)/2)*V146*Y146*VLOOKUP('Données projet'!$B$9,Paramètres!$A$1:$I$89,3,0)*0.475*44/12</f>
        <v>2.4051181001616113E-17</v>
      </c>
      <c r="AC146" s="22">
        <f t="shared" si="111"/>
        <v>7.5342335271043037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-5.6843418860808015E-14</v>
      </c>
      <c r="AJ146" s="13">
        <f>AI146*VLOOKUP('Données projet'!$B$10,Paramètres!$A$1:$I$89,3,0)*VLOOKUP('Données projet'!$B$10,Paramètres!$A$1:$I$89,5,0)</f>
        <v>-2.8642261895583942E-14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138.27364731587764</v>
      </c>
      <c r="AO146" s="59">
        <f t="shared" si="144"/>
        <v>372.50391467700013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7.4193824062642841</v>
      </c>
      <c r="AV146" s="21">
        <f>EXP(-LN(2)/25)*AV145+(1-EXP(-LN(2)/25))/(LN(2)/25)*Calculateur!AQ146*Calculateur!AS146*VLOOKUP('Données projet'!$B$10,Paramètres!$A$1:$I$89,3,0)*0.475*44/12</f>
        <v>0</v>
      </c>
      <c r="AW146" s="21">
        <f>EXP(-LN(2)/2)*AW145+(1-EXP(-LN(2)/2))/(LN(2)/2)*AQ146*AT146*VLOOKUP('Données projet'!$B$10,Paramètres!$A$1:$I$89,3,0)*0.475*44/12</f>
        <v>2.3684547144884136E-17</v>
      </c>
      <c r="AX146" s="21">
        <f t="shared" si="114"/>
        <v>7.4193824062642841</v>
      </c>
      <c r="AY146" s="7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3.4000000000000057</v>
      </c>
      <c r="BD146" s="12">
        <f>IF('Données projet'!$A$88&gt;35,BD145+BC146-BL145,IF(A146&lt;'Données projet'!$A$88,$BA$205^A146,IF(A146='Données projet'!$A$88,'Données projet'!$B$88,BD145+BC146-BL145)))</f>
        <v>309.19999999999993</v>
      </c>
      <c r="BE146" s="13">
        <f>BD146*VLOOKUP('Données projet'!$B$11,Paramètres!$A$1:$I$89,3,0)*VLOOKUP('Données projet'!$B$11,Paramètres!$A$1:$I$89,5,0)</f>
        <v>323.17583999999994</v>
      </c>
      <c r="BF146" s="13">
        <f t="shared" si="145"/>
        <v>76.013768660960906</v>
      </c>
      <c r="BG146" s="20">
        <f t="shared" si="115"/>
        <v>695.25523508450681</v>
      </c>
      <c r="BH146" s="59">
        <f t="shared" si="116"/>
        <v>979.4616730217175</v>
      </c>
      <c r="BI146" s="59">
        <f ca="1">AVERAGE(OFFSET($BH$3,0,0,'Données projet'!$E$11+1,1))-AVERAGE(OFFSET($H$3,0,0,'Données projet'!$E$11+1,1))</f>
        <v>638.07304290599211</v>
      </c>
      <c r="BJ146" s="59">
        <f t="shared" si="146"/>
        <v>408.22196233793511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93.344234504630393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93.344234504630393</v>
      </c>
      <c r="BT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3.4000000000000057</v>
      </c>
      <c r="BY146" s="12">
        <f>IF('Données projet'!$A$114&gt;35,BY145+BX146-CG145,IF(A146&lt;'Données projet'!$A$114,$BV$205^A146,IF(A146='Données projet'!$A$114,'Données projet'!$B$114,BY145+BX146-CG145)))</f>
        <v>309.19999999999993</v>
      </c>
      <c r="BZ146" s="13">
        <f>BY146*VLOOKUP('Données projet'!$B$12,Paramètres!$A$1:$I$89,3,0)*VLOOKUP('Données projet'!$B$12,Paramètres!$A$1:$I$89,5,0)</f>
        <v>352.11695999999995</v>
      </c>
      <c r="CA146" s="13">
        <f t="shared" si="147"/>
        <v>81.998262185022156</v>
      </c>
      <c r="CB146" s="20">
        <f t="shared" si="118"/>
        <v>756.08401197224691</v>
      </c>
      <c r="CC146" s="59">
        <f t="shared" si="119"/>
        <v>1040.2904499094575</v>
      </c>
      <c r="CD146" s="59">
        <f ca="1">AVERAGE(OFFSET($CC$3,0,0,'Données projet'!$E$12+1,1))-AVERAGE(OFFSET($H$3,0,0,'Données projet'!$E$12+1,1))</f>
        <v>685.99951993586967</v>
      </c>
      <c r="CE146" s="59">
        <f t="shared" si="148"/>
        <v>437.98014017823095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101.70341968414952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101.70341968414952</v>
      </c>
      <c r="CO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3.4000000000000057</v>
      </c>
      <c r="CT146" s="12">
        <f>IF('Données projet'!$A$140&gt;35,CT145+CS146-DB145,IF(A146&lt;'Données projet'!$A$140,$CQ$205^A146,IF(A146='Données projet'!$A$140,'Données projet'!$B$140,CT145+CS146-DB145)))</f>
        <v>309.19999999999993</v>
      </c>
      <c r="CU146" s="17">
        <f>CT146*VLOOKUP('Données projet'!$B$13,Paramètres!$A$1:$I$89,3,0)*VLOOKUP('Données projet'!$B$13,Paramètres!$A$1:$I$89,5,0)</f>
        <v>313.52879999999993</v>
      </c>
      <c r="CV146" s="13">
        <f t="shared" si="149"/>
        <v>74.005297883010172</v>
      </c>
      <c r="CW146" s="20">
        <f t="shared" si="121"/>
        <v>674.95522047957581</v>
      </c>
      <c r="CX146" s="59">
        <f t="shared" si="122"/>
        <v>959.16165841678651</v>
      </c>
      <c r="CY146" s="59">
        <f ca="1">AVERAGE(OFFSET($CX$3,0,0,'Données projet'!$E$13+1,1))-AVERAGE(OFFSET($H$3,0,0,'Données projet'!$E$13+1,1))</f>
        <v>622.07867348539082</v>
      </c>
      <c r="CZ146" s="59">
        <f t="shared" si="150"/>
        <v>398.29010684041634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90.55783944479073</v>
      </c>
      <c r="DG146" s="21">
        <f>EXP(-LN(2)/25)*DG145+(1-EXP(-LN(2)/25))/(LN(2)/25)*Calculateur!DB146*Calculateur!DD146*VLOOKUP('Données projet'!$B$13,Paramètres!$A$1:$I$89,3,0)*0.475*44/12</f>
        <v>0</v>
      </c>
      <c r="DH146" s="21">
        <f>EXP(-LN(2)/2)*DH145+(1-EXP(-LN(2)/2))/(LN(2)/2)*DB146*DE146*VLOOKUP('Données projet'!$B$13,Paramètres!$A$1:$I$89,3,0)*0.475*44/12</f>
        <v>0</v>
      </c>
      <c r="DI146" s="22">
        <f t="shared" si="123"/>
        <v>90.55783944479073</v>
      </c>
      <c r="DJ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3.4000000000000057</v>
      </c>
      <c r="DO146" s="12">
        <f>IF('Données projet'!$A$166&gt;35,DO145+DN146-DW145,IF(A146&lt;'Données projet'!$A$166,$DL$205^A146,IF(A146='Données projet'!$A$166,'Données projet'!$B$166,DO145+DN146-DW145)))</f>
        <v>309.19999999999993</v>
      </c>
      <c r="DP146" s="17">
        <f>DO146*VLOOKUP('Données projet'!$B$14,Paramètres!$A$1:$I$89,3,0)*VLOOKUP('Données projet'!$B$14,Paramètres!$A$1:$I$89,5,0)</f>
        <v>294.23471999999998</v>
      </c>
      <c r="DQ146" s="13">
        <f t="shared" si="151"/>
        <v>69.966477770945687</v>
      </c>
      <c r="DR146" s="20">
        <f t="shared" si="124"/>
        <v>634.31708611773035</v>
      </c>
      <c r="DS146" s="59">
        <f t="shared" si="125"/>
        <v>918.52352405494105</v>
      </c>
      <c r="DT146" s="59">
        <f ca="1">AVERAGE(OFFSET($DS$3,0,0,'Données projet'!$E$14+1,1))-AVERAGE(OFFSET($H$3,0,0,'Données projet'!$E$14+1,1))</f>
        <v>590.05965493677377</v>
      </c>
      <c r="DU146" s="59">
        <f t="shared" si="152"/>
        <v>378.40640480134505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84.985049325111248</v>
      </c>
      <c r="EB146" s="21">
        <f>EXP(-LN(2)/25)*EB145+(1-EXP(-LN(2)/25))/(LN(2)/25)*Calculateur!DW146*Calculateur!DY146*VLOOKUP('Données projet'!$B$14,Paramètres!$A$1:$I$89,3,0)*0.475*44/12</f>
        <v>0</v>
      </c>
      <c r="EC146" s="21">
        <f>EXP(-LN(2)/2)*EC145+(1-EXP(-LN(2)/2))/(LN(2)/2)*DW146*DZ146*VLOOKUP('Données projet'!$B$14,Paramètres!$A$1:$I$89,3,0)*0.475*44/12</f>
        <v>0</v>
      </c>
      <c r="ED146" s="22">
        <f t="shared" si="126"/>
        <v>84.985049325111248</v>
      </c>
      <c r="EE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67.510846710148371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2">
        <f>'Scénario référence'!$B$16*5+'Scénario référence'!$B$17*0+'Scénario référence'!$B$18*5</f>
        <v>4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14.666666666666666</v>
      </c>
      <c r="H147" s="66">
        <f t="shared" si="110"/>
        <v>159.86666666666667</v>
      </c>
      <c r="I147" s="6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-2.9085640562698246E-14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140.03175887621094</v>
      </c>
      <c r="T147" s="59">
        <f t="shared" si="142"/>
        <v>377.29475975964954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7.3864918030664786</v>
      </c>
      <c r="AA147" s="21">
        <f>EXP(-LN(2)/25)*AA146+(1-EXP(-LN(2)/25))/(LN(2)/25)*Calculateur!V147*Calculateur!X147*VLOOKUP('Données projet'!$B$9,Paramètres!$A$1:$I$89,3,0)*0.475*44/12</f>
        <v>0</v>
      </c>
      <c r="AB147" s="21">
        <f>EXP(-LN(2)/2)*AB146+(1-EXP(-LN(2)/2))/(LN(2)/2)*V147*Y147*VLOOKUP('Données projet'!$B$9,Paramètres!$A$1:$I$89,3,0)*0.475*44/12</f>
        <v>1.7006753181787813E-17</v>
      </c>
      <c r="AC147" s="22">
        <f t="shared" si="111"/>
        <v>7.3864918030664786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-5.6843418860808015E-14</v>
      </c>
      <c r="AJ147" s="13">
        <f>AI147*VLOOKUP('Données projet'!$B$10,Paramètres!$A$1:$I$89,3,0)*VLOOKUP('Données projet'!$B$10,Paramètres!$A$1:$I$89,5,0)</f>
        <v>-2.8642261895583942E-14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138.27364731587764</v>
      </c>
      <c r="AO147" s="59">
        <f t="shared" si="144"/>
        <v>372.50391467700013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7.2738928426538658</v>
      </c>
      <c r="AV147" s="21">
        <f>EXP(-LN(2)/25)*AV146+(1-EXP(-LN(2)/25))/(LN(2)/25)*Calculateur!AQ147*Calculateur!AS147*VLOOKUP('Données projet'!$B$10,Paramètres!$A$1:$I$89,3,0)*0.475*44/12</f>
        <v>0</v>
      </c>
      <c r="AW147" s="21">
        <f>EXP(-LN(2)/2)*AW146+(1-EXP(-LN(2)/2))/(LN(2)/2)*AQ147*AT147*VLOOKUP('Données projet'!$B$10,Paramètres!$A$1:$I$89,3,0)*0.475*44/12</f>
        <v>1.6747503895480055E-17</v>
      </c>
      <c r="AX147" s="21">
        <f t="shared" si="114"/>
        <v>7.2738928426538658</v>
      </c>
      <c r="AY147" s="7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3.4000000000000057</v>
      </c>
      <c r="BD147" s="12">
        <f>IF('Données projet'!$A$88&gt;35,BD146+BC147-BL146,IF(A147&lt;'Données projet'!$A$88,$BA$205^A147,IF(A147='Données projet'!$A$88,'Données projet'!$B$88,BD146+BC147-BL146)))</f>
        <v>312.59999999999991</v>
      </c>
      <c r="BE147" s="13">
        <f>BD147*VLOOKUP('Données projet'!$B$11,Paramètres!$A$1:$I$89,3,0)*VLOOKUP('Données projet'!$B$11,Paramètres!$A$1:$I$89,5,0)</f>
        <v>326.72951999999992</v>
      </c>
      <c r="BF147" s="13">
        <f t="shared" si="145"/>
        <v>76.751860679537671</v>
      </c>
      <c r="BG147" s="20">
        <f t="shared" si="115"/>
        <v>702.73007135019463</v>
      </c>
      <c r="BH147" s="59">
        <f t="shared" si="116"/>
        <v>987.09484051784671</v>
      </c>
      <c r="BI147" s="59">
        <f ca="1">AVERAGE(OFFSET($BH$3,0,0,'Données projet'!$E$11+1,1))-AVERAGE(OFFSET($H$3,0,0,'Données projet'!$E$11+1,1))</f>
        <v>638.07304290599211</v>
      </c>
      <c r="BJ147" s="59">
        <f t="shared" si="146"/>
        <v>408.22196233793511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91.513811000355844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91.513811000355844</v>
      </c>
      <c r="BT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3.4000000000000057</v>
      </c>
      <c r="BY147" s="12">
        <f>IF('Données projet'!$A$114&gt;35,BY146+BX147-CG146,IF(A147&lt;'Données projet'!$A$114,$BV$205^A147,IF(A147='Données projet'!$A$114,'Données projet'!$B$114,BY146+BX147-CG146)))</f>
        <v>312.59999999999991</v>
      </c>
      <c r="BZ147" s="13">
        <f>BY147*VLOOKUP('Données projet'!$B$12,Paramètres!$A$1:$I$89,3,0)*VLOOKUP('Données projet'!$B$12,Paramètres!$A$1:$I$89,5,0)</f>
        <v>355.98887999999988</v>
      </c>
      <c r="CA147" s="13">
        <f t="shared" si="147"/>
        <v>82.794463503836823</v>
      </c>
      <c r="CB147" s="20">
        <f t="shared" si="118"/>
        <v>764.21432326918227</v>
      </c>
      <c r="CC147" s="59">
        <f t="shared" si="119"/>
        <v>1048.5790924368343</v>
      </c>
      <c r="CD147" s="59">
        <f ca="1">AVERAGE(OFFSET($CC$3,0,0,'Données projet'!$E$12+1,1))-AVERAGE(OFFSET($H$3,0,0,'Données projet'!$E$12+1,1))</f>
        <v>685.99951993586967</v>
      </c>
      <c r="CE147" s="59">
        <f t="shared" si="148"/>
        <v>437.98014017823095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99.709077657104118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99.709077657104118</v>
      </c>
      <c r="CO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3.4000000000000057</v>
      </c>
      <c r="CT147" s="12">
        <f>IF('Données projet'!$A$140&gt;35,CT146+CS147-DB146,IF(A147&lt;'Données projet'!$A$140,$CQ$205^A147,IF(A147='Données projet'!$A$140,'Données projet'!$B$140,CT146+CS147-DB146)))</f>
        <v>312.59999999999991</v>
      </c>
      <c r="CU147" s="17">
        <f>CT147*VLOOKUP('Données projet'!$B$13,Paramètres!$A$1:$I$89,3,0)*VLOOKUP('Données projet'!$B$13,Paramètres!$A$1:$I$89,5,0)</f>
        <v>316.9763999999999</v>
      </c>
      <c r="CV147" s="13">
        <f t="shared" si="149"/>
        <v>74.723887694593941</v>
      </c>
      <c r="CW147" s="20">
        <f t="shared" si="121"/>
        <v>682.2113344014175</v>
      </c>
      <c r="CX147" s="59">
        <f t="shared" si="122"/>
        <v>966.57610356906957</v>
      </c>
      <c r="CY147" s="59">
        <f ca="1">AVERAGE(OFFSET($CX$3,0,0,'Données projet'!$E$13+1,1))-AVERAGE(OFFSET($H$3,0,0,'Données projet'!$E$13+1,1))</f>
        <v>622.07867348539082</v>
      </c>
      <c r="CZ147" s="59">
        <f t="shared" si="150"/>
        <v>398.29010684041634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88.782055448106462</v>
      </c>
      <c r="DG147" s="21">
        <f>EXP(-LN(2)/25)*DG146+(1-EXP(-LN(2)/25))/(LN(2)/25)*Calculateur!DB147*Calculateur!DD147*VLOOKUP('Données projet'!$B$13,Paramètres!$A$1:$I$89,3,0)*0.475*44/12</f>
        <v>0</v>
      </c>
      <c r="DH147" s="21">
        <f>EXP(-LN(2)/2)*DH146+(1-EXP(-LN(2)/2))/(LN(2)/2)*DB147*DE147*VLOOKUP('Données projet'!$B$13,Paramètres!$A$1:$I$89,3,0)*0.475*44/12</f>
        <v>0</v>
      </c>
      <c r="DI147" s="22">
        <f t="shared" si="123"/>
        <v>88.782055448106462</v>
      </c>
      <c r="DJ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3.4000000000000057</v>
      </c>
      <c r="DO147" s="12">
        <f>IF('Données projet'!$A$166&gt;35,DO146+DN147-DW146,IF(A147&lt;'Données projet'!$A$166,$DL$205^A147,IF(A147='Données projet'!$A$166,'Données projet'!$B$166,DO146+DN147-DW146)))</f>
        <v>312.59999999999991</v>
      </c>
      <c r="DP147" s="17">
        <f>DO147*VLOOKUP('Données projet'!$B$14,Paramètres!$A$1:$I$89,3,0)*VLOOKUP('Données projet'!$B$14,Paramètres!$A$1:$I$89,5,0)</f>
        <v>297.47015999999991</v>
      </c>
      <c r="DQ147" s="13">
        <f t="shared" si="151"/>
        <v>70.645850728245023</v>
      </c>
      <c r="DR147" s="20">
        <f t="shared" si="124"/>
        <v>641.13538535169323</v>
      </c>
      <c r="DS147" s="59">
        <f t="shared" si="125"/>
        <v>925.50015451934541</v>
      </c>
      <c r="DT147" s="59">
        <f ca="1">AVERAGE(OFFSET($DS$3,0,0,'Données projet'!$E$14+1,1))-AVERAGE(OFFSET($H$3,0,0,'Données projet'!$E$14+1,1))</f>
        <v>590.05965493677377</v>
      </c>
      <c r="DU147" s="59">
        <f t="shared" si="152"/>
        <v>378.40640480134505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83.318544343607542</v>
      </c>
      <c r="EB147" s="21">
        <f>EXP(-LN(2)/25)*EB146+(1-EXP(-LN(2)/25))/(LN(2)/25)*Calculateur!DW147*Calculateur!DY147*VLOOKUP('Données projet'!$B$14,Paramètres!$A$1:$I$89,3,0)*0.475*44/12</f>
        <v>0</v>
      </c>
      <c r="EC147" s="21">
        <f>EXP(-LN(2)/2)*EC146+(1-EXP(-LN(2)/2))/(LN(2)/2)*DW147*DZ147*VLOOKUP('Données projet'!$B$14,Paramètres!$A$1:$I$89,3,0)*0.475*44/12</f>
        <v>0</v>
      </c>
      <c r="ED147" s="22">
        <f t="shared" si="126"/>
        <v>83.318544343607542</v>
      </c>
      <c r="EE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67.554027954814217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2">
        <f>'Scénario référence'!$B$16*5+'Scénario référence'!$B$17*0+'Scénario référence'!$B$18*5</f>
        <v>4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14.666666666666666</v>
      </c>
      <c r="H148" s="66">
        <f t="shared" si="110"/>
        <v>159.86666666666667</v>
      </c>
      <c r="I148" s="6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-2.9085640562698246E-14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140.03175887621094</v>
      </c>
      <c r="T148" s="59">
        <f t="shared" si="142"/>
        <v>377.29475975964954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7.2416472041234821</v>
      </c>
      <c r="AA148" s="21">
        <f>EXP(-LN(2)/25)*AA147+(1-EXP(-LN(2)/25))/(LN(2)/25)*Calculateur!V148*Calculateur!X148*VLOOKUP('Données projet'!$B$9,Paramètres!$A$1:$I$89,3,0)*0.475*44/12</f>
        <v>0</v>
      </c>
      <c r="AB148" s="21">
        <f>EXP(-LN(2)/2)*AB147+(1-EXP(-LN(2)/2))/(LN(2)/2)*V148*Y148*VLOOKUP('Données projet'!$B$9,Paramètres!$A$1:$I$89,3,0)*0.475*44/12</f>
        <v>1.2025590500808056E-17</v>
      </c>
      <c r="AC148" s="22">
        <f t="shared" si="111"/>
        <v>7.2416472041234821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-5.6843418860808015E-14</v>
      </c>
      <c r="AJ148" s="13">
        <f>AI148*VLOOKUP('Données projet'!$B$10,Paramètres!$A$1:$I$89,3,0)*VLOOKUP('Données projet'!$B$10,Paramètres!$A$1:$I$89,5,0)</f>
        <v>-2.8642261895583942E-14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138.27364731587764</v>
      </c>
      <c r="AO148" s="59">
        <f t="shared" si="144"/>
        <v>372.50391467700013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7.1312562406459756</v>
      </c>
      <c r="AV148" s="21">
        <f>EXP(-LN(2)/25)*AV147+(1-EXP(-LN(2)/25))/(LN(2)/25)*Calculateur!AQ148*Calculateur!AS148*VLOOKUP('Données projet'!$B$10,Paramètres!$A$1:$I$89,3,0)*0.475*44/12</f>
        <v>0</v>
      </c>
      <c r="AW148" s="21">
        <f>EXP(-LN(2)/2)*AW147+(1-EXP(-LN(2)/2))/(LN(2)/2)*AQ148*AT148*VLOOKUP('Données projet'!$B$10,Paramètres!$A$1:$I$89,3,0)*0.475*44/12</f>
        <v>1.1842273572442068E-17</v>
      </c>
      <c r="AX148" s="21">
        <f t="shared" si="114"/>
        <v>7.1312562406459756</v>
      </c>
      <c r="AY148" s="7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3.4000000000000057</v>
      </c>
      <c r="BD148" s="12">
        <f>IF('Données projet'!$A$88&gt;35,BD147+BC148-BL147,IF(A148&lt;'Données projet'!$A$88,$BA$205^A148,IF(A148='Données projet'!$A$88,'Données projet'!$B$88,BD147+BC148-BL147)))</f>
        <v>315.99999999999989</v>
      </c>
      <c r="BE148" s="13">
        <f>BD148*VLOOKUP('Données projet'!$B$11,Paramètres!$A$1:$I$89,3,0)*VLOOKUP('Données projet'!$B$11,Paramètres!$A$1:$I$89,5,0)</f>
        <v>330.28319999999991</v>
      </c>
      <c r="BF148" s="13">
        <f t="shared" si="145"/>
        <v>77.489018825579222</v>
      </c>
      <c r="BG148" s="20">
        <f t="shared" si="115"/>
        <v>710.20328112121695</v>
      </c>
      <c r="BH148" s="59">
        <f t="shared" si="116"/>
        <v>994.723634826438</v>
      </c>
      <c r="BI148" s="59">
        <f ca="1">AVERAGE(OFFSET($BH$3,0,0,'Données projet'!$E$11+1,1))-AVERAGE(OFFSET($H$3,0,0,'Données projet'!$E$11+1,1))</f>
        <v>638.07304290599211</v>
      </c>
      <c r="BJ148" s="59">
        <f t="shared" si="146"/>
        <v>408.22196233793511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89.719280984552015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89.719280984552015</v>
      </c>
      <c r="BT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3.4000000000000057</v>
      </c>
      <c r="BY148" s="12">
        <f>IF('Données projet'!$A$114&gt;35,BY147+BX148-CG147,IF(A148&lt;'Données projet'!$A$114,$BV$205^A148,IF(A148='Données projet'!$A$114,'Données projet'!$B$114,BY147+BX148-CG147)))</f>
        <v>315.99999999999989</v>
      </c>
      <c r="BZ148" s="13">
        <f>BY148*VLOOKUP('Données projet'!$B$12,Paramètres!$A$1:$I$89,3,0)*VLOOKUP('Données projet'!$B$12,Paramètres!$A$1:$I$89,5,0)</f>
        <v>359.86079999999987</v>
      </c>
      <c r="CA148" s="13">
        <f t="shared" si="147"/>
        <v>83.589657427197494</v>
      </c>
      <c r="CB148" s="20">
        <f t="shared" si="118"/>
        <v>772.34288001903542</v>
      </c>
      <c r="CC148" s="59">
        <f t="shared" si="119"/>
        <v>1056.8632337242566</v>
      </c>
      <c r="CD148" s="59">
        <f ca="1">AVERAGE(OFFSET($CC$3,0,0,'Données projet'!$E$12+1,1))-AVERAGE(OFFSET($H$3,0,0,'Données projet'!$E$12+1,1))</f>
        <v>685.99951993586967</v>
      </c>
      <c r="CE148" s="59">
        <f t="shared" si="148"/>
        <v>437.98014017823095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97.753843460780544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97.753843460780544</v>
      </c>
      <c r="CO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3.4000000000000057</v>
      </c>
      <c r="CT148" s="12">
        <f>IF('Données projet'!$A$140&gt;35,CT147+CS148-DB147,IF(A148&lt;'Données projet'!$A$140,$CQ$205^A148,IF(A148='Données projet'!$A$140,'Données projet'!$B$140,CT147+CS148-DB147)))</f>
        <v>315.99999999999989</v>
      </c>
      <c r="CU148" s="17">
        <f>CT148*VLOOKUP('Données projet'!$B$13,Paramètres!$A$1:$I$89,3,0)*VLOOKUP('Données projet'!$B$13,Paramètres!$A$1:$I$89,5,0)</f>
        <v>320.42399999999986</v>
      </c>
      <c r="CV148" s="13">
        <f t="shared" si="149"/>
        <v>75.441568308852311</v>
      </c>
      <c r="CW148" s="20">
        <f t="shared" si="121"/>
        <v>689.46586480458427</v>
      </c>
      <c r="CX148" s="59">
        <f t="shared" si="122"/>
        <v>973.98621850980544</v>
      </c>
      <c r="CY148" s="59">
        <f ca="1">AVERAGE(OFFSET($CX$3,0,0,'Données projet'!$E$13+1,1))-AVERAGE(OFFSET($H$3,0,0,'Données projet'!$E$13+1,1))</f>
        <v>622.07867348539082</v>
      </c>
      <c r="CZ148" s="59">
        <f t="shared" si="150"/>
        <v>398.29010684041634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87.041093492475881</v>
      </c>
      <c r="DG148" s="21">
        <f>EXP(-LN(2)/25)*DG147+(1-EXP(-LN(2)/25))/(LN(2)/25)*Calculateur!DB148*Calculateur!DD148*VLOOKUP('Données projet'!$B$13,Paramètres!$A$1:$I$89,3,0)*0.475*44/12</f>
        <v>0</v>
      </c>
      <c r="DH148" s="21">
        <f>EXP(-LN(2)/2)*DH147+(1-EXP(-LN(2)/2))/(LN(2)/2)*DB148*DE148*VLOOKUP('Données projet'!$B$13,Paramètres!$A$1:$I$89,3,0)*0.475*44/12</f>
        <v>0</v>
      </c>
      <c r="DI148" s="22">
        <f t="shared" si="123"/>
        <v>87.041093492475881</v>
      </c>
      <c r="DJ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3.4000000000000057</v>
      </c>
      <c r="DO148" s="12">
        <f>IF('Données projet'!$A$166&gt;35,DO147+DN148-DW147,IF(A148&lt;'Données projet'!$A$166,$DL$205^A148,IF(A148='Données projet'!$A$166,'Données projet'!$B$166,DO147+DN148-DW147)))</f>
        <v>315.99999999999989</v>
      </c>
      <c r="DP148" s="17">
        <f>DO148*VLOOKUP('Données projet'!$B$14,Paramètres!$A$1:$I$89,3,0)*VLOOKUP('Données projet'!$B$14,Paramètres!$A$1:$I$89,5,0)</f>
        <v>300.70559999999989</v>
      </c>
      <c r="DQ148" s="13">
        <f t="shared" si="151"/>
        <v>71.324364107429389</v>
      </c>
      <c r="DR148" s="20">
        <f t="shared" si="124"/>
        <v>647.95218748710602</v>
      </c>
      <c r="DS148" s="59">
        <f t="shared" si="125"/>
        <v>932.47254119232707</v>
      </c>
      <c r="DT148" s="59">
        <f ca="1">AVERAGE(OFFSET($DS$3,0,0,'Données projet'!$E$14+1,1))-AVERAGE(OFFSET($H$3,0,0,'Données projet'!$E$14+1,1))</f>
        <v>590.05965493677377</v>
      </c>
      <c r="DU148" s="59">
        <f t="shared" si="152"/>
        <v>378.40640480134505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81.684718508323456</v>
      </c>
      <c r="EB148" s="21">
        <f>EXP(-LN(2)/25)*EB147+(1-EXP(-LN(2)/25))/(LN(2)/25)*Calculateur!DW148*Calculateur!DY148*VLOOKUP('Données projet'!$B$14,Paramètres!$A$1:$I$89,3,0)*0.475*44/12</f>
        <v>0</v>
      </c>
      <c r="EC148" s="21">
        <f>EXP(-LN(2)/2)*EC147+(1-EXP(-LN(2)/2))/(LN(2)/2)*DW148*DZ148*VLOOKUP('Données projet'!$B$14,Paramètres!$A$1:$I$89,3,0)*0.475*44/12</f>
        <v>0</v>
      </c>
      <c r="ED148" s="22">
        <f t="shared" si="126"/>
        <v>81.684718508323456</v>
      </c>
      <c r="EE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67.596460101423929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2">
        <f>'Scénario référence'!$B$16*5+'Scénario référence'!$B$17*0+'Scénario référence'!$B$18*5</f>
        <v>4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14.666666666666666</v>
      </c>
      <c r="H149" s="66">
        <f t="shared" si="110"/>
        <v>159.86666666666667</v>
      </c>
      <c r="I149" s="6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-2.9085640562698246E-14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140.03175887621094</v>
      </c>
      <c r="T149" s="59">
        <f t="shared" si="142"/>
        <v>377.29475975964954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7.0996429194192761</v>
      </c>
      <c r="AA149" s="21">
        <f>EXP(-LN(2)/25)*AA148+(1-EXP(-LN(2)/25))/(LN(2)/25)*Calculateur!V149*Calculateur!X149*VLOOKUP('Données projet'!$B$9,Paramètres!$A$1:$I$89,3,0)*0.475*44/12</f>
        <v>0</v>
      </c>
      <c r="AB149" s="21">
        <f>EXP(-LN(2)/2)*AB148+(1-EXP(-LN(2)/2))/(LN(2)/2)*V149*Y149*VLOOKUP('Données projet'!$B$9,Paramètres!$A$1:$I$89,3,0)*0.475*44/12</f>
        <v>8.5033765908939067E-18</v>
      </c>
      <c r="AC149" s="22">
        <f t="shared" si="111"/>
        <v>7.0996429194192761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-5.6843418860808015E-14</v>
      </c>
      <c r="AJ149" s="13">
        <f>AI149*VLOOKUP('Données projet'!$B$10,Paramètres!$A$1:$I$89,3,0)*VLOOKUP('Données projet'!$B$10,Paramètres!$A$1:$I$89,5,0)</f>
        <v>-2.8642261895583942E-14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138.27364731587764</v>
      </c>
      <c r="AO149" s="59">
        <f t="shared" si="144"/>
        <v>372.50391467700013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6.9914166554037243</v>
      </c>
      <c r="AV149" s="21">
        <f>EXP(-LN(2)/25)*AV148+(1-EXP(-LN(2)/25))/(LN(2)/25)*Calculateur!AQ149*Calculateur!AS149*VLOOKUP('Données projet'!$B$10,Paramètres!$A$1:$I$89,3,0)*0.475*44/12</f>
        <v>0</v>
      </c>
      <c r="AW149" s="21">
        <f>EXP(-LN(2)/2)*AW148+(1-EXP(-LN(2)/2))/(LN(2)/2)*AQ149*AT149*VLOOKUP('Données projet'!$B$10,Paramètres!$A$1:$I$89,3,0)*0.475*44/12</f>
        <v>8.3737519477400277E-18</v>
      </c>
      <c r="AX149" s="21">
        <f t="shared" si="114"/>
        <v>6.9914166554037243</v>
      </c>
      <c r="AY149" s="7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3.4000000000000057</v>
      </c>
      <c r="BD149" s="12">
        <f>IF('Données projet'!$A$88&gt;35,BD148+BC149-BL148,IF(A149&lt;'Données projet'!$A$88,$BA$205^A149,IF(A149='Données projet'!$A$88,'Données projet'!$B$88,BD148+BC149-BL148)))</f>
        <v>319.39999999999986</v>
      </c>
      <c r="BE149" s="13">
        <f>BD149*VLOOKUP('Données projet'!$B$11,Paramètres!$A$1:$I$89,3,0)*VLOOKUP('Données projet'!$B$11,Paramètres!$A$1:$I$89,5,0)</f>
        <v>333.83687999999989</v>
      </c>
      <c r="BF149" s="13">
        <f t="shared" si="145"/>
        <v>78.225254310080899</v>
      </c>
      <c r="BG149" s="20">
        <f t="shared" si="115"/>
        <v>717.67488392339067</v>
      </c>
      <c r="BH149" s="59">
        <f t="shared" si="116"/>
        <v>1002.3481231222888</v>
      </c>
      <c r="BI149" s="59">
        <f ca="1">AVERAGE(OFFSET($BH$3,0,0,'Données projet'!$E$11+1,1))-AVERAGE(OFFSET($H$3,0,0,'Données projet'!$E$11+1,1))</f>
        <v>638.07304290599211</v>
      </c>
      <c r="BJ149" s="59">
        <f t="shared" si="146"/>
        <v>408.22196233793511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87.959940607802864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87.959940607802864</v>
      </c>
      <c r="BT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3.4000000000000057</v>
      </c>
      <c r="BY149" s="12">
        <f>IF('Données projet'!$A$114&gt;35,BY148+BX149-CG148,IF(A149&lt;'Données projet'!$A$114,$BV$205^A149,IF(A149='Données projet'!$A$114,'Données projet'!$B$114,BY148+BX149-CG148)))</f>
        <v>319.39999999999986</v>
      </c>
      <c r="BZ149" s="13">
        <f>BY149*VLOOKUP('Données projet'!$B$12,Paramètres!$A$1:$I$89,3,0)*VLOOKUP('Données projet'!$B$12,Paramètres!$A$1:$I$89,5,0)</f>
        <v>363.73271999999986</v>
      </c>
      <c r="CA149" s="13">
        <f t="shared" si="147"/>
        <v>84.383856048730777</v>
      </c>
      <c r="CB149" s="20">
        <f t="shared" si="118"/>
        <v>780.46970328487248</v>
      </c>
      <c r="CC149" s="59">
        <f t="shared" si="119"/>
        <v>1065.1429424837706</v>
      </c>
      <c r="CD149" s="59">
        <f ca="1">AVERAGE(OFFSET($CC$3,0,0,'Données projet'!$E$12+1,1))-AVERAGE(OFFSET($H$3,0,0,'Données projet'!$E$12+1,1))</f>
        <v>685.99951993586967</v>
      </c>
      <c r="CE149" s="59">
        <f t="shared" si="148"/>
        <v>437.98014017823095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95.83695021447177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95.83695021447177</v>
      </c>
      <c r="CO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3.4000000000000057</v>
      </c>
      <c r="CT149" s="12">
        <f>IF('Données projet'!$A$140&gt;35,CT148+CS149-DB148,IF(A149&lt;'Données projet'!$A$140,$CQ$205^A149,IF(A149='Données projet'!$A$140,'Données projet'!$B$140,CT148+CS149-DB148)))</f>
        <v>319.39999999999986</v>
      </c>
      <c r="CU149" s="17">
        <f>CT149*VLOOKUP('Données projet'!$B$13,Paramètres!$A$1:$I$89,3,0)*VLOOKUP('Données projet'!$B$13,Paramètres!$A$1:$I$89,5,0)</f>
        <v>323.87159999999989</v>
      </c>
      <c r="CV149" s="13">
        <f t="shared" si="149"/>
        <v>76.158350640558638</v>
      </c>
      <c r="CW149" s="20">
        <f t="shared" si="121"/>
        <v>696.71883069897274</v>
      </c>
      <c r="CX149" s="59">
        <f t="shared" si="122"/>
        <v>981.3920698978709</v>
      </c>
      <c r="CY149" s="59">
        <f ca="1">AVERAGE(OFFSET($CX$3,0,0,'Données projet'!$E$13+1,1))-AVERAGE(OFFSET($H$3,0,0,'Données projet'!$E$13+1,1))</f>
        <v>622.07867348539082</v>
      </c>
      <c r="CZ149" s="59">
        <f t="shared" si="150"/>
        <v>398.29010684041634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85.334270738913276</v>
      </c>
      <c r="DG149" s="21">
        <f>EXP(-LN(2)/25)*DG148+(1-EXP(-LN(2)/25))/(LN(2)/25)*Calculateur!DB149*Calculateur!DD149*VLOOKUP('Données projet'!$B$13,Paramètres!$A$1:$I$89,3,0)*0.475*44/12</f>
        <v>0</v>
      </c>
      <c r="DH149" s="21">
        <f>EXP(-LN(2)/2)*DH148+(1-EXP(-LN(2)/2))/(LN(2)/2)*DB149*DE149*VLOOKUP('Données projet'!$B$13,Paramètres!$A$1:$I$89,3,0)*0.475*44/12</f>
        <v>0</v>
      </c>
      <c r="DI149" s="22">
        <f t="shared" si="123"/>
        <v>85.334270738913276</v>
      </c>
      <c r="DJ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3.4000000000000057</v>
      </c>
      <c r="DO149" s="12">
        <f>IF('Données projet'!$A$166&gt;35,DO148+DN149-DW148,IF(A149&lt;'Données projet'!$A$166,$DL$205^A149,IF(A149='Données projet'!$A$166,'Données projet'!$B$166,DO148+DN149-DW148)))</f>
        <v>319.39999999999986</v>
      </c>
      <c r="DP149" s="17">
        <f>DO149*VLOOKUP('Données projet'!$B$14,Paramètres!$A$1:$I$89,3,0)*VLOOKUP('Données projet'!$B$14,Paramètres!$A$1:$I$89,5,0)</f>
        <v>303.94103999999987</v>
      </c>
      <c r="DQ149" s="13">
        <f t="shared" si="151"/>
        <v>72.00202822760113</v>
      </c>
      <c r="DR149" s="20">
        <f t="shared" si="124"/>
        <v>654.76751049640495</v>
      </c>
      <c r="DS149" s="59">
        <f t="shared" si="125"/>
        <v>939.44074969530311</v>
      </c>
      <c r="DT149" s="59">
        <f ca="1">AVERAGE(OFFSET($DS$3,0,0,'Données projet'!$E$14+1,1))-AVERAGE(OFFSET($H$3,0,0,'Données projet'!$E$14+1,1))</f>
        <v>590.05965493677377</v>
      </c>
      <c r="DU149" s="59">
        <f t="shared" si="152"/>
        <v>378.40640480134505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80.082931001133929</v>
      </c>
      <c r="EB149" s="21">
        <f>EXP(-LN(2)/25)*EB148+(1-EXP(-LN(2)/25))/(LN(2)/25)*Calculateur!DW149*Calculateur!DY149*VLOOKUP('Données projet'!$B$14,Paramètres!$A$1:$I$89,3,0)*0.475*44/12</f>
        <v>0</v>
      </c>
      <c r="EC149" s="21">
        <f>EXP(-LN(2)/2)*EC148+(1-EXP(-LN(2)/2))/(LN(2)/2)*DW149*DZ149*VLOOKUP('Données projet'!$B$14,Paramètres!$A$1:$I$89,3,0)*0.475*44/12</f>
        <v>0</v>
      </c>
      <c r="ED149" s="22">
        <f t="shared" si="126"/>
        <v>80.082931001133929</v>
      </c>
      <c r="EE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67.638156145154028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2">
        <f>'Scénario référence'!$B$16*5+'Scénario référence'!$B$17*0+'Scénario référence'!$B$18*5</f>
        <v>4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14.666666666666666</v>
      </c>
      <c r="H150" s="66">
        <f t="shared" si="110"/>
        <v>159.86666666666667</v>
      </c>
      <c r="I150" s="6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-2.9085640562698246E-14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140.03175887621094</v>
      </c>
      <c r="T150" s="59">
        <f t="shared" si="142"/>
        <v>377.29475975964954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6.9604232521240581</v>
      </c>
      <c r="AA150" s="21">
        <f>EXP(-LN(2)/25)*AA149+(1-EXP(-LN(2)/25))/(LN(2)/25)*Calculateur!V150*Calculateur!X150*VLOOKUP('Données projet'!$B$9,Paramètres!$A$1:$I$89,3,0)*0.475*44/12</f>
        <v>0</v>
      </c>
      <c r="AB150" s="21">
        <f>EXP(-LN(2)/2)*AB149+(1-EXP(-LN(2)/2))/(LN(2)/2)*V150*Y150*VLOOKUP('Données projet'!$B$9,Paramètres!$A$1:$I$89,3,0)*0.475*44/12</f>
        <v>6.0127952504040282E-18</v>
      </c>
      <c r="AC150" s="22">
        <f t="shared" si="111"/>
        <v>6.9604232521240581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-5.6843418860808015E-14</v>
      </c>
      <c r="AJ150" s="13">
        <f>AI150*VLOOKUP('Données projet'!$B$10,Paramètres!$A$1:$I$89,3,0)*VLOOKUP('Données projet'!$B$10,Paramètres!$A$1:$I$89,5,0)</f>
        <v>-2.8642261895583942E-14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138.27364731587764</v>
      </c>
      <c r="AO150" s="59">
        <f t="shared" si="144"/>
        <v>372.50391467700013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6.8543192391343482</v>
      </c>
      <c r="AV150" s="21">
        <f>EXP(-LN(2)/25)*AV149+(1-EXP(-LN(2)/25))/(LN(2)/25)*Calculateur!AQ150*Calculateur!AS150*VLOOKUP('Données projet'!$B$10,Paramètres!$A$1:$I$89,3,0)*0.475*44/12</f>
        <v>0</v>
      </c>
      <c r="AW150" s="21">
        <f>EXP(-LN(2)/2)*AW149+(1-EXP(-LN(2)/2))/(LN(2)/2)*AQ150*AT150*VLOOKUP('Données projet'!$B$10,Paramètres!$A$1:$I$89,3,0)*0.475*44/12</f>
        <v>5.921136786221034E-18</v>
      </c>
      <c r="AX150" s="21">
        <f t="shared" si="114"/>
        <v>6.8543192391343482</v>
      </c>
      <c r="AY150" s="7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3.4000000000000057</v>
      </c>
      <c r="BD150" s="12">
        <f>IF('Données projet'!$A$88&gt;35,BD149+BC150-BL149,IF(A150&lt;'Données projet'!$A$88,$BA$205^A150,IF(A150='Données projet'!$A$88,'Données projet'!$B$88,BD149+BC150-BL149)))</f>
        <v>322.79999999999984</v>
      </c>
      <c r="BE150" s="13">
        <f>BD150*VLOOKUP('Données projet'!$B$11,Paramètres!$A$1:$I$89,3,0)*VLOOKUP('Données projet'!$B$11,Paramètres!$A$1:$I$89,5,0)</f>
        <v>337.39055999999982</v>
      </c>
      <c r="BF150" s="13">
        <f t="shared" si="145"/>
        <v>78.96057809160807</v>
      </c>
      <c r="BG150" s="20">
        <f t="shared" si="115"/>
        <v>725.14489884288378</v>
      </c>
      <c r="BH150" s="59">
        <f t="shared" si="116"/>
        <v>1009.9683713139443</v>
      </c>
      <c r="BI150" s="59">
        <f ca="1">AVERAGE(OFFSET($BH$3,0,0,'Données projet'!$E$11+1,1))-AVERAGE(OFFSET($H$3,0,0,'Données projet'!$E$11+1,1))</f>
        <v>638.07304290599211</v>
      </c>
      <c r="BJ150" s="59">
        <f t="shared" si="146"/>
        <v>408.22196233793511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86.235099822750101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86.235099822750101</v>
      </c>
      <c r="BT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3.4000000000000057</v>
      </c>
      <c r="BY150" s="12">
        <f>IF('Données projet'!$A$114&gt;35,BY149+BX150-CG149,IF(A150&lt;'Données projet'!$A$114,$BV$205^A150,IF(A150='Données projet'!$A$114,'Données projet'!$B$114,BY149+BX150-CG149)))</f>
        <v>322.79999999999984</v>
      </c>
      <c r="BZ150" s="13">
        <f>BY150*VLOOKUP('Données projet'!$B$12,Paramètres!$A$1:$I$89,3,0)*VLOOKUP('Données projet'!$B$12,Paramètres!$A$1:$I$89,5,0)</f>
        <v>367.60463999999985</v>
      </c>
      <c r="CA150" s="13">
        <f t="shared" si="147"/>
        <v>85.177071189759744</v>
      </c>
      <c r="CB150" s="20">
        <f t="shared" si="118"/>
        <v>788.59481365549789</v>
      </c>
      <c r="CC150" s="59">
        <f t="shared" si="119"/>
        <v>1073.4182861265585</v>
      </c>
      <c r="CD150" s="59">
        <f ca="1">AVERAGE(OFFSET($CC$3,0,0,'Données projet'!$E$12+1,1))-AVERAGE(OFFSET($H$3,0,0,'Données projet'!$E$12+1,1))</f>
        <v>685.99951993586967</v>
      </c>
      <c r="CE150" s="59">
        <f t="shared" si="148"/>
        <v>437.98014017823095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93.957646075533674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93.957646075533674</v>
      </c>
      <c r="CO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3.4000000000000057</v>
      </c>
      <c r="CT150" s="12">
        <f>IF('Données projet'!$A$140&gt;35,CT149+CS150-DB149,IF(A150&lt;'Données projet'!$A$140,$CQ$205^A150,IF(A150='Données projet'!$A$140,'Données projet'!$B$140,CT149+CS150-DB149)))</f>
        <v>322.79999999999984</v>
      </c>
      <c r="CU150" s="17">
        <f>CT150*VLOOKUP('Données projet'!$B$13,Paramètres!$A$1:$I$89,3,0)*VLOOKUP('Données projet'!$B$13,Paramètres!$A$1:$I$89,5,0)</f>
        <v>327.31919999999985</v>
      </c>
      <c r="CV150" s="13">
        <f t="shared" si="149"/>
        <v>76.8742453587261</v>
      </c>
      <c r="CW150" s="20">
        <f t="shared" si="121"/>
        <v>703.97025066644767</v>
      </c>
      <c r="CX150" s="59">
        <f t="shared" si="122"/>
        <v>988.79372313750821</v>
      </c>
      <c r="CY150" s="59">
        <f ca="1">AVERAGE(OFFSET($CX$3,0,0,'Données projet'!$E$13+1,1))-AVERAGE(OFFSET($H$3,0,0,'Données projet'!$E$13+1,1))</f>
        <v>622.07867348539082</v>
      </c>
      <c r="CZ150" s="59">
        <f t="shared" si="150"/>
        <v>398.29010684041634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83.660917738488948</v>
      </c>
      <c r="DG150" s="21">
        <f>EXP(-LN(2)/25)*DG149+(1-EXP(-LN(2)/25))/(LN(2)/25)*Calculateur!DB150*Calculateur!DD150*VLOOKUP('Données projet'!$B$13,Paramètres!$A$1:$I$89,3,0)*0.475*44/12</f>
        <v>0</v>
      </c>
      <c r="DH150" s="21">
        <f>EXP(-LN(2)/2)*DH149+(1-EXP(-LN(2)/2))/(LN(2)/2)*DB150*DE150*VLOOKUP('Données projet'!$B$13,Paramètres!$A$1:$I$89,3,0)*0.475*44/12</f>
        <v>0</v>
      </c>
      <c r="DI150" s="22">
        <f t="shared" si="123"/>
        <v>83.660917738488948</v>
      </c>
      <c r="DJ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3.4000000000000057</v>
      </c>
      <c r="DO150" s="12">
        <f>IF('Données projet'!$A$166&gt;35,DO149+DN150-DW149,IF(A150&lt;'Données projet'!$A$166,$DL$205^A150,IF(A150='Données projet'!$A$166,'Données projet'!$B$166,DO149+DN150-DW149)))</f>
        <v>322.79999999999984</v>
      </c>
      <c r="DP150" s="17">
        <f>DO150*VLOOKUP('Données projet'!$B$14,Paramètres!$A$1:$I$89,3,0)*VLOOKUP('Données projet'!$B$14,Paramètres!$A$1:$I$89,5,0)</f>
        <v>307.17647999999986</v>
      </c>
      <c r="DQ150" s="13">
        <f t="shared" si="151"/>
        <v>72.67885317551476</v>
      </c>
      <c r="DR150" s="20">
        <f t="shared" si="124"/>
        <v>661.58137194735457</v>
      </c>
      <c r="DS150" s="59">
        <f t="shared" si="125"/>
        <v>946.40484441841511</v>
      </c>
      <c r="DT150" s="59">
        <f ca="1">AVERAGE(OFFSET($DS$3,0,0,'Données projet'!$E$14+1,1))-AVERAGE(OFFSET($H$3,0,0,'Données projet'!$E$14+1,1))</f>
        <v>590.05965493677377</v>
      </c>
      <c r="DU150" s="59">
        <f t="shared" si="152"/>
        <v>378.40640480134505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78.512553569966485</v>
      </c>
      <c r="EB150" s="21">
        <f>EXP(-LN(2)/25)*EB149+(1-EXP(-LN(2)/25))/(LN(2)/25)*Calculateur!DW150*Calculateur!DY150*VLOOKUP('Données projet'!$B$14,Paramètres!$A$1:$I$89,3,0)*0.475*44/12</f>
        <v>0</v>
      </c>
      <c r="EC150" s="21">
        <f>EXP(-LN(2)/2)*EC149+(1-EXP(-LN(2)/2))/(LN(2)/2)*DW150*DZ150*VLOOKUP('Données projet'!$B$14,Paramètres!$A$1:$I$89,3,0)*0.475*44/12</f>
        <v>0</v>
      </c>
      <c r="ED150" s="22">
        <f t="shared" si="126"/>
        <v>78.512553569966485</v>
      </c>
      <c r="EE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67.679128855743784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2">
        <f>'Scénario référence'!$B$16*5+'Scénario référence'!$B$17*0+'Scénario référence'!$B$18*5</f>
        <v>4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14.666666666666666</v>
      </c>
      <c r="H151" s="66">
        <f t="shared" si="110"/>
        <v>159.86666666666667</v>
      </c>
      <c r="I151" s="6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-2.9085640562698246E-14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140.03175887621094</v>
      </c>
      <c r="T151" s="59">
        <f t="shared" si="142"/>
        <v>377.29475975964954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6.8239335975888871</v>
      </c>
      <c r="AA151" s="21">
        <f>EXP(-LN(2)/25)*AA150+(1-EXP(-LN(2)/25))/(LN(2)/25)*Calculateur!V151*Calculateur!X151*VLOOKUP('Données projet'!$B$9,Paramètres!$A$1:$I$89,3,0)*0.475*44/12</f>
        <v>0</v>
      </c>
      <c r="AB151" s="21">
        <f>EXP(-LN(2)/2)*AB150+(1-EXP(-LN(2)/2))/(LN(2)/2)*V151*Y151*VLOOKUP('Données projet'!$B$9,Paramètres!$A$1:$I$89,3,0)*0.475*44/12</f>
        <v>4.2516882954469534E-18</v>
      </c>
      <c r="AC151" s="22">
        <f t="shared" si="111"/>
        <v>6.8239335975888871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-5.6843418860808015E-14</v>
      </c>
      <c r="AJ151" s="13">
        <f>AI151*VLOOKUP('Données projet'!$B$10,Paramètres!$A$1:$I$89,3,0)*VLOOKUP('Données projet'!$B$10,Paramètres!$A$1:$I$89,5,0)</f>
        <v>-2.8642261895583942E-14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138.27364731587764</v>
      </c>
      <c r="AO151" s="59">
        <f t="shared" si="144"/>
        <v>372.50391467700013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6.7199102195768479</v>
      </c>
      <c r="AV151" s="21">
        <f>EXP(-LN(2)/25)*AV150+(1-EXP(-LN(2)/25))/(LN(2)/25)*Calculateur!AQ151*Calculateur!AS151*VLOOKUP('Données projet'!$B$10,Paramètres!$A$1:$I$89,3,0)*0.475*44/12</f>
        <v>0</v>
      </c>
      <c r="AW151" s="21">
        <f>EXP(-LN(2)/2)*AW150+(1-EXP(-LN(2)/2))/(LN(2)/2)*AQ151*AT151*VLOOKUP('Données projet'!$B$10,Paramètres!$A$1:$I$89,3,0)*0.475*44/12</f>
        <v>4.1868759738700139E-18</v>
      </c>
      <c r="AX151" s="21">
        <f t="shared" si="114"/>
        <v>6.7199102195768479</v>
      </c>
      <c r="AY151" s="7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3.4000000000000057</v>
      </c>
      <c r="BD151" s="12">
        <f>IF('Données projet'!$A$88&gt;35,BD150+BC151-BL150,IF(A151&lt;'Données projet'!$A$88,$BA$205^A151,IF(A151='Données projet'!$A$88,'Données projet'!$B$88,BD150+BC151-BL150)))</f>
        <v>326.19999999999982</v>
      </c>
      <c r="BE151" s="13">
        <f>BD151*VLOOKUP('Données projet'!$B$11,Paramètres!$A$1:$I$89,3,0)*VLOOKUP('Données projet'!$B$11,Paramètres!$A$1:$I$89,5,0)</f>
        <v>340.94423999999987</v>
      </c>
      <c r="BF151" s="13">
        <f t="shared" si="145"/>
        <v>79.695000884577297</v>
      </c>
      <c r="BG151" s="20">
        <f t="shared" si="115"/>
        <v>732.61334454063854</v>
      </c>
      <c r="BH151" s="59">
        <f t="shared" si="116"/>
        <v>1017.5844440724608</v>
      </c>
      <c r="BI151" s="59">
        <f ca="1">AVERAGE(OFFSET($BH$3,0,0,'Données projet'!$E$11+1,1))-AVERAGE(OFFSET($H$3,0,0,'Données projet'!$E$11+1,1))</f>
        <v>638.07304290599211</v>
      </c>
      <c r="BJ151" s="59">
        <f t="shared" si="146"/>
        <v>408.22196233793511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84.544082113443224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84.544082113443224</v>
      </c>
      <c r="BT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3.4000000000000057</v>
      </c>
      <c r="BY151" s="12">
        <f>IF('Données projet'!$A$114&gt;35,BY150+BX151-CG150,IF(A151&lt;'Données projet'!$A$114,$BV$205^A151,IF(A151='Données projet'!$A$114,'Données projet'!$B$114,BY150+BX151-CG150)))</f>
        <v>326.19999999999982</v>
      </c>
      <c r="BZ151" s="13">
        <f>BY151*VLOOKUP('Données projet'!$B$12,Paramètres!$A$1:$I$89,3,0)*VLOOKUP('Données projet'!$B$12,Paramètres!$A$1:$I$89,5,0)</f>
        <v>371.47655999999978</v>
      </c>
      <c r="CA151" s="13">
        <f t="shared" si="147"/>
        <v>85.969314408237025</v>
      </c>
      <c r="CB151" s="20">
        <f t="shared" si="118"/>
        <v>796.71823126101242</v>
      </c>
      <c r="CC151" s="59">
        <f t="shared" si="119"/>
        <v>1081.6893307928347</v>
      </c>
      <c r="CD151" s="59">
        <f ca="1">AVERAGE(OFFSET($CC$3,0,0,'Données projet'!$E$12+1,1))-AVERAGE(OFFSET($H$3,0,0,'Données projet'!$E$12+1,1))</f>
        <v>685.99951993586967</v>
      </c>
      <c r="CE151" s="59">
        <f t="shared" si="148"/>
        <v>437.98014017823095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92.115193944497818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92.115193944497818</v>
      </c>
      <c r="CO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3.4000000000000057</v>
      </c>
      <c r="CT151" s="12">
        <f>IF('Données projet'!$A$140&gt;35,CT150+CS151-DB150,IF(A151&lt;'Données projet'!$A$140,$CQ$205^A151,IF(A151='Données projet'!$A$140,'Données projet'!$B$140,CT150+CS151-DB150)))</f>
        <v>326.19999999999982</v>
      </c>
      <c r="CU151" s="17">
        <f>CT151*VLOOKUP('Données projet'!$B$13,Paramètres!$A$1:$I$89,3,0)*VLOOKUP('Données projet'!$B$13,Paramètres!$A$1:$I$89,5,0)</f>
        <v>330.76679999999982</v>
      </c>
      <c r="CV151" s="13">
        <f t="shared" si="149"/>
        <v>77.589262894669801</v>
      </c>
      <c r="CW151" s="20">
        <f t="shared" si="121"/>
        <v>711.22014287488275</v>
      </c>
      <c r="CX151" s="59">
        <f t="shared" si="122"/>
        <v>996.19124240670499</v>
      </c>
      <c r="CY151" s="59">
        <f ca="1">AVERAGE(OFFSET($CX$3,0,0,'Données projet'!$E$13+1,1))-AVERAGE(OFFSET($H$3,0,0,'Données projet'!$E$13+1,1))</f>
        <v>622.07867348539082</v>
      </c>
      <c r="CZ151" s="59">
        <f t="shared" si="150"/>
        <v>398.29010684041634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82.020378169758388</v>
      </c>
      <c r="DG151" s="21">
        <f>EXP(-LN(2)/25)*DG150+(1-EXP(-LN(2)/25))/(LN(2)/25)*Calculateur!DB151*Calculateur!DD151*VLOOKUP('Données projet'!$B$13,Paramètres!$A$1:$I$89,3,0)*0.475*44/12</f>
        <v>0</v>
      </c>
      <c r="DH151" s="21">
        <f>EXP(-LN(2)/2)*DH150+(1-EXP(-LN(2)/2))/(LN(2)/2)*DB151*DE151*VLOOKUP('Données projet'!$B$13,Paramètres!$A$1:$I$89,3,0)*0.475*44/12</f>
        <v>0</v>
      </c>
      <c r="DI151" s="22">
        <f t="shared" si="123"/>
        <v>82.020378169758388</v>
      </c>
      <c r="DJ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3.4000000000000057</v>
      </c>
      <c r="DO151" s="12">
        <f>IF('Données projet'!$A$166&gt;35,DO150+DN151-DW150,IF(A151&lt;'Données projet'!$A$166,$DL$205^A151,IF(A151='Données projet'!$A$166,'Données projet'!$B$166,DO150+DN151-DW150)))</f>
        <v>326.19999999999982</v>
      </c>
      <c r="DP151" s="17">
        <f>DO151*VLOOKUP('Données projet'!$B$14,Paramètres!$A$1:$I$89,3,0)*VLOOKUP('Données projet'!$B$14,Paramètres!$A$1:$I$89,5,0)</f>
        <v>310.41191999999984</v>
      </c>
      <c r="DQ151" s="13">
        <f t="shared" si="151"/>
        <v>73.354848813199112</v>
      </c>
      <c r="DR151" s="20">
        <f t="shared" si="124"/>
        <v>668.39378901632153</v>
      </c>
      <c r="DS151" s="59">
        <f t="shared" si="125"/>
        <v>953.36488854814377</v>
      </c>
      <c r="DT151" s="59">
        <f ca="1">AVERAGE(OFFSET($DS$3,0,0,'Données projet'!$E$14+1,1))-AVERAGE(OFFSET($H$3,0,0,'Données projet'!$E$14+1,1))</f>
        <v>590.05965493677377</v>
      </c>
      <c r="DU151" s="59">
        <f t="shared" si="152"/>
        <v>378.40640480134505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76.972970282388573</v>
      </c>
      <c r="EB151" s="21">
        <f>EXP(-LN(2)/25)*EB150+(1-EXP(-LN(2)/25))/(LN(2)/25)*Calculateur!DW151*Calculateur!DY151*VLOOKUP('Données projet'!$B$14,Paramètres!$A$1:$I$89,3,0)*0.475*44/12</f>
        <v>0</v>
      </c>
      <c r="EC151" s="21">
        <f>EXP(-LN(2)/2)*EC150+(1-EXP(-LN(2)/2))/(LN(2)/2)*DW151*DZ151*VLOOKUP('Données projet'!$B$14,Paramètres!$A$1:$I$89,3,0)*0.475*44/12</f>
        <v>0</v>
      </c>
      <c r="ED151" s="22">
        <f t="shared" si="126"/>
        <v>76.972970282388573</v>
      </c>
      <c r="EE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67.719390781406062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2">
        <f>'Scénario référence'!$B$16*5+'Scénario référence'!$B$17*0+'Scénario référence'!$B$18*5</f>
        <v>4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14.666666666666666</v>
      </c>
      <c r="H152" s="66">
        <f t="shared" si="110"/>
        <v>159.86666666666667</v>
      </c>
      <c r="I152" s="6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-2.9085640562698246E-14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140.03175887621094</v>
      </c>
      <c r="T152" s="59">
        <f t="shared" si="142"/>
        <v>377.29475975964954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6.6901204219286816</v>
      </c>
      <c r="AA152" s="21">
        <f>EXP(-LN(2)/25)*AA151+(1-EXP(-LN(2)/25))/(LN(2)/25)*Calculateur!V152*Calculateur!X152*VLOOKUP('Données projet'!$B$9,Paramètres!$A$1:$I$89,3,0)*0.475*44/12</f>
        <v>0</v>
      </c>
      <c r="AB152" s="21">
        <f>EXP(-LN(2)/2)*AB151+(1-EXP(-LN(2)/2))/(LN(2)/2)*V152*Y152*VLOOKUP('Données projet'!$B$9,Paramètres!$A$1:$I$89,3,0)*0.475*44/12</f>
        <v>3.0063976252020141E-18</v>
      </c>
      <c r="AC152" s="22">
        <f t="shared" si="111"/>
        <v>6.6901204219286816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-5.6843418860808015E-14</v>
      </c>
      <c r="AJ152" s="13">
        <f>AI152*VLOOKUP('Données projet'!$B$10,Paramètres!$A$1:$I$89,3,0)*VLOOKUP('Données projet'!$B$10,Paramètres!$A$1:$I$89,5,0)</f>
        <v>-2.8642261895583942E-14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138.27364731587764</v>
      </c>
      <c r="AO152" s="59">
        <f t="shared" si="144"/>
        <v>372.50391467700013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6.5881368789114632</v>
      </c>
      <c r="AV152" s="21">
        <f>EXP(-LN(2)/25)*AV151+(1-EXP(-LN(2)/25))/(LN(2)/25)*Calculateur!AQ152*Calculateur!AS152*VLOOKUP('Données projet'!$B$10,Paramètres!$A$1:$I$89,3,0)*0.475*44/12</f>
        <v>0</v>
      </c>
      <c r="AW152" s="21">
        <f>EXP(-LN(2)/2)*AW151+(1-EXP(-LN(2)/2))/(LN(2)/2)*AQ152*AT152*VLOOKUP('Données projet'!$B$10,Paramètres!$A$1:$I$89,3,0)*0.475*44/12</f>
        <v>2.960568393110517E-18</v>
      </c>
      <c r="AX152" s="21">
        <f t="shared" si="114"/>
        <v>6.5881368789114632</v>
      </c>
      <c r="AY152" s="7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3.4000000000000057</v>
      </c>
      <c r="BD152" s="12">
        <f>IF('Données projet'!$A$88&gt;35,BD151+BC152-BL151,IF(A152&lt;'Données projet'!$A$88,$BA$205^A152,IF(A152='Données projet'!$A$88,'Données projet'!$B$88,BD151+BC152-BL151)))</f>
        <v>329.5999999999998</v>
      </c>
      <c r="BE152" s="13">
        <f>BD152*VLOOKUP('Données projet'!$B$11,Paramètres!$A$1:$I$89,3,0)*VLOOKUP('Données projet'!$B$11,Paramètres!$A$1:$I$89,5,0)</f>
        <v>344.49791999999985</v>
      </c>
      <c r="BF152" s="13">
        <f t="shared" si="145"/>
        <v>80.428533167182664</v>
      </c>
      <c r="BG152" s="20">
        <f t="shared" si="115"/>
        <v>740.08023926617625</v>
      </c>
      <c r="BH152" s="59">
        <f t="shared" si="116"/>
        <v>1025.1964048593006</v>
      </c>
      <c r="BI152" s="59">
        <f ca="1">AVERAGE(OFFSET($BH$3,0,0,'Données projet'!$E$11+1,1))-AVERAGE(OFFSET($H$3,0,0,'Données projet'!$E$11+1,1))</f>
        <v>638.07304290599211</v>
      </c>
      <c r="BJ152" s="59">
        <f t="shared" si="146"/>
        <v>408.22196233793511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82.886224229996898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82.886224229996898</v>
      </c>
      <c r="BT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3.4000000000000057</v>
      </c>
      <c r="BY152" s="12">
        <f>IF('Données projet'!$A$114&gt;35,BY151+BX152-CG151,IF(A152&lt;'Données projet'!$A$114,$BV$205^A152,IF(A152='Données projet'!$A$114,'Données projet'!$B$114,BY151+BX152-CG151)))</f>
        <v>329.5999999999998</v>
      </c>
      <c r="BZ152" s="13">
        <f>BY152*VLOOKUP('Données projet'!$B$12,Paramètres!$A$1:$I$89,3,0)*VLOOKUP('Données projet'!$B$12,Paramètres!$A$1:$I$89,5,0)</f>
        <v>375.34847999999977</v>
      </c>
      <c r="CA152" s="13">
        <f t="shared" si="147"/>
        <v>86.760597007295203</v>
      </c>
      <c r="CB152" s="20">
        <f t="shared" si="118"/>
        <v>804.83997578770538</v>
      </c>
      <c r="CC152" s="59">
        <f t="shared" si="119"/>
        <v>1089.9561413808299</v>
      </c>
      <c r="CD152" s="59">
        <f ca="1">AVERAGE(OFFSET($CC$3,0,0,'Données projet'!$E$12+1,1))-AVERAGE(OFFSET($H$3,0,0,'Données projet'!$E$12+1,1))</f>
        <v>685.99951993586967</v>
      </c>
      <c r="CE152" s="59">
        <f t="shared" si="148"/>
        <v>437.98014017823095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90.308871175966743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90.308871175966743</v>
      </c>
      <c r="CO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3.4000000000000057</v>
      </c>
      <c r="CT152" s="12">
        <f>IF('Données projet'!$A$140&gt;35,CT151+CS152-DB151,IF(A152&lt;'Données projet'!$A$140,$CQ$205^A152,IF(A152='Données projet'!$A$140,'Données projet'!$B$140,CT151+CS152-DB151)))</f>
        <v>329.5999999999998</v>
      </c>
      <c r="CU152" s="17">
        <f>CT152*VLOOKUP('Données projet'!$B$13,Paramètres!$A$1:$I$89,3,0)*VLOOKUP('Données projet'!$B$13,Paramètres!$A$1:$I$89,5,0)</f>
        <v>334.21439999999978</v>
      </c>
      <c r="CV152" s="13">
        <f t="shared" si="149"/>
        <v>78.30341344972436</v>
      </c>
      <c r="CW152" s="20">
        <f t="shared" si="121"/>
        <v>718.46852509160283</v>
      </c>
      <c r="CX152" s="59">
        <f t="shared" si="122"/>
        <v>1003.5846906847273</v>
      </c>
      <c r="CY152" s="59">
        <f ca="1">AVERAGE(OFFSET($CX$3,0,0,'Données projet'!$E$13+1,1))-AVERAGE(OFFSET($H$3,0,0,'Données projet'!$E$13+1,1))</f>
        <v>622.07867348539082</v>
      </c>
      <c r="CZ152" s="59">
        <f t="shared" si="150"/>
        <v>398.29010684041634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80.412008581340302</v>
      </c>
      <c r="DG152" s="21">
        <f>EXP(-LN(2)/25)*DG151+(1-EXP(-LN(2)/25))/(LN(2)/25)*Calculateur!DB152*Calculateur!DD152*VLOOKUP('Données projet'!$B$13,Paramètres!$A$1:$I$89,3,0)*0.475*44/12</f>
        <v>0</v>
      </c>
      <c r="DH152" s="21">
        <f>EXP(-LN(2)/2)*DH151+(1-EXP(-LN(2)/2))/(LN(2)/2)*DB152*DE152*VLOOKUP('Données projet'!$B$13,Paramètres!$A$1:$I$89,3,0)*0.475*44/12</f>
        <v>0</v>
      </c>
      <c r="DI152" s="22">
        <f t="shared" si="123"/>
        <v>80.412008581340302</v>
      </c>
      <c r="DJ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3.4000000000000057</v>
      </c>
      <c r="DO152" s="12">
        <f>IF('Données projet'!$A$166&gt;35,DO151+DN152-DW151,IF(A152&lt;'Données projet'!$A$166,$DL$205^A152,IF(A152='Données projet'!$A$166,'Données projet'!$B$166,DO151+DN152-DW151)))</f>
        <v>329.5999999999998</v>
      </c>
      <c r="DP152" s="17">
        <f>DO152*VLOOKUP('Données projet'!$B$14,Paramètres!$A$1:$I$89,3,0)*VLOOKUP('Données projet'!$B$14,Paramètres!$A$1:$I$89,5,0)</f>
        <v>313.64735999999982</v>
      </c>
      <c r="DQ152" s="13">
        <f t="shared" si="151"/>
        <v>74.030024785253474</v>
      </c>
      <c r="DR152" s="20">
        <f t="shared" si="124"/>
        <v>675.2047785009828</v>
      </c>
      <c r="DS152" s="59">
        <f t="shared" si="125"/>
        <v>960.32094409410729</v>
      </c>
      <c r="DT152" s="59">
        <f ca="1">AVERAGE(OFFSET($DS$3,0,0,'Données projet'!$E$14+1,1))-AVERAGE(OFFSET($H$3,0,0,'Données projet'!$E$14+1,1))</f>
        <v>590.05965493677377</v>
      </c>
      <c r="DU152" s="59">
        <f t="shared" si="152"/>
        <v>378.40640480134505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75.463577284026982</v>
      </c>
      <c r="EB152" s="21">
        <f>EXP(-LN(2)/25)*EB151+(1-EXP(-LN(2)/25))/(LN(2)/25)*Calculateur!DW152*Calculateur!DY152*VLOOKUP('Données projet'!$B$14,Paramètres!$A$1:$I$89,3,0)*0.475*44/12</f>
        <v>0</v>
      </c>
      <c r="EC152" s="21">
        <f>EXP(-LN(2)/2)*EC151+(1-EXP(-LN(2)/2))/(LN(2)/2)*DW152*DZ152*VLOOKUP('Données projet'!$B$14,Paramètres!$A$1:$I$89,3,0)*0.475*44/12</f>
        <v>0</v>
      </c>
      <c r="ED152" s="22">
        <f t="shared" si="126"/>
        <v>75.463577284026982</v>
      </c>
      <c r="EE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67.758954252670293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2">
        <f>'Scénario référence'!$B$16*5+'Scénario référence'!$B$17*0+'Scénario référence'!$B$18*5</f>
        <v>4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14.666666666666666</v>
      </c>
      <c r="H153" s="66">
        <f t="shared" si="110"/>
        <v>159.86666666666667</v>
      </c>
      <c r="I153" s="6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-2.9085640562698246E-14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140.03175887621094</v>
      </c>
      <c r="T153" s="59">
        <f t="shared" si="142"/>
        <v>377.29475975964954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6.5589312410251948</v>
      </c>
      <c r="AA153" s="21">
        <f>EXP(-LN(2)/25)*AA152+(1-EXP(-LN(2)/25))/(LN(2)/25)*Calculateur!V153*Calculateur!X153*VLOOKUP('Données projet'!$B$9,Paramètres!$A$1:$I$89,3,0)*0.475*44/12</f>
        <v>0</v>
      </c>
      <c r="AB153" s="21">
        <f>EXP(-LN(2)/2)*AB152+(1-EXP(-LN(2)/2))/(LN(2)/2)*V153*Y153*VLOOKUP('Données projet'!$B$9,Paramètres!$A$1:$I$89,3,0)*0.475*44/12</f>
        <v>2.1258441477234767E-18</v>
      </c>
      <c r="AC153" s="22">
        <f t="shared" si="111"/>
        <v>6.5589312410251948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-5.6843418860808015E-14</v>
      </c>
      <c r="AJ153" s="13">
        <f>AI153*VLOOKUP('Données projet'!$B$10,Paramètres!$A$1:$I$89,3,0)*VLOOKUP('Données projet'!$B$10,Paramètres!$A$1:$I$89,5,0)</f>
        <v>-2.8642261895583942E-14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138.27364731587764</v>
      </c>
      <c r="AO153" s="59">
        <f t="shared" si="144"/>
        <v>372.50391467700013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6.4589475330827248</v>
      </c>
      <c r="AV153" s="21">
        <f>EXP(-LN(2)/25)*AV152+(1-EXP(-LN(2)/25))/(LN(2)/25)*Calculateur!AQ153*Calculateur!AS153*VLOOKUP('Données projet'!$B$10,Paramètres!$A$1:$I$89,3,0)*0.475*44/12</f>
        <v>0</v>
      </c>
      <c r="AW153" s="21">
        <f>EXP(-LN(2)/2)*AW152+(1-EXP(-LN(2)/2))/(LN(2)/2)*AQ153*AT153*VLOOKUP('Données projet'!$B$10,Paramètres!$A$1:$I$89,3,0)*0.475*44/12</f>
        <v>2.0934379869350069E-18</v>
      </c>
      <c r="AX153" s="21">
        <f t="shared" si="114"/>
        <v>6.4589475330827248</v>
      </c>
      <c r="AY153" s="7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>
        <f>VLOOKUP(A153,'Données projet'!$A$87:$I$107,2,0)</f>
        <v>333</v>
      </c>
      <c r="BB153" s="12">
        <f>VLOOKUP(A153,'Données projet'!$A$87:$I$107,9,0)</f>
        <v>3.4000000000000057</v>
      </c>
      <c r="BC153" s="12">
        <f t="array" ref="BC153">INDEX(BB:BB,MIN(IF(ISNUMBER(BB153:BB349),ROW(BB153:BB349),"")))</f>
        <v>3.4000000000000057</v>
      </c>
      <c r="BD153" s="12">
        <f>IF('Données projet'!$A$88&gt;35,BD152+BC153-BL152,IF(A153&lt;'Données projet'!$A$88,$BA$205^A153,IF(A153='Données projet'!$A$88,'Données projet'!$B$88,BD152+BC153-BL152)))</f>
        <v>332.99999999999977</v>
      </c>
      <c r="BE153" s="13">
        <f>BD153*VLOOKUP('Données projet'!$B$11,Paramètres!$A$1:$I$89,3,0)*VLOOKUP('Données projet'!$B$11,Paramètres!$A$1:$I$89,5,0)</f>
        <v>348.05159999999984</v>
      </c>
      <c r="BF153" s="13">
        <f t="shared" si="145"/>
        <v>81.161185188985755</v>
      </c>
      <c r="BG153" s="20">
        <f t="shared" si="115"/>
        <v>747.54560087081654</v>
      </c>
      <c r="BH153" s="59">
        <f t="shared" si="116"/>
        <v>1032.8043159533986</v>
      </c>
      <c r="BI153" s="59">
        <f ca="1">AVERAGE(OFFSET($BH$3,0,0,'Données projet'!$E$11+1,1))-AVERAGE(OFFSET($H$3,0,0,'Données projet'!$E$11+1,1))</f>
        <v>638.07304290599211</v>
      </c>
      <c r="BJ153" s="59">
        <f t="shared" si="146"/>
        <v>408.22196233793511</v>
      </c>
      <c r="BK153" s="15">
        <f>IF(ISNA(VLOOKUP(A153,'Données projet'!$A$87:$I$107,3,0)),0,VLOOKUP(A153,'Données projet'!$A$87:$I$107,3,0))</f>
        <v>14</v>
      </c>
      <c r="BL153" s="15">
        <f>IF(ISNA(VLOOKUP(A153,'Données projet'!$A$87:$I$107,4,0)),0,VLOOKUP(A153,'Données projet'!$A$87:$I$107,4,0))</f>
        <v>333</v>
      </c>
      <c r="BM153" s="16">
        <f>IF(ISNA(VLOOKUP(A153,'Données projet'!$A$87:$I$107,5,0)),0%,VLOOKUP(A153,'Données projet'!$A$87:$I$107,5,0)*VLOOKUP('Données projet'!$B$11,Paramètres!$A$1:$I$89,7,0))</f>
        <v>0.36549999999999999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221.89092433302949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221.89092433302949</v>
      </c>
      <c r="BT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>
        <f>VLOOKUP(A153,'Données projet'!$A$113:$I$133,2,0)</f>
        <v>333</v>
      </c>
      <c r="BW153" s="12">
        <f>VLOOKUP(A153,'Données projet'!$A$113:$I$133,9,0)</f>
        <v>3.4000000000000057</v>
      </c>
      <c r="BX153" s="12">
        <f t="array" ref="BX153">INDEX(BW:BW,MIN(IF(ISNUMBER(BW153:BW349),ROW(BW153:BW349),"")))</f>
        <v>3.4000000000000057</v>
      </c>
      <c r="BY153" s="12">
        <f>IF('Données projet'!$A$114&gt;35,BY152+BX153-CG152,IF(A153&lt;'Données projet'!$A$114,$BV$205^A153,IF(A153='Données projet'!$A$114,'Données projet'!$B$114,BY152+BX153-CG152)))</f>
        <v>332.99999999999977</v>
      </c>
      <c r="BZ153" s="13">
        <f>BY153*VLOOKUP('Données projet'!$B$12,Paramètres!$A$1:$I$89,3,0)*VLOOKUP('Données projet'!$B$12,Paramètres!$A$1:$I$89,5,0)</f>
        <v>379.22039999999976</v>
      </c>
      <c r="CA153" s="13">
        <f t="shared" si="147"/>
        <v>87.550930043434363</v>
      </c>
      <c r="CB153" s="20">
        <f t="shared" si="118"/>
        <v>812.96006649231424</v>
      </c>
      <c r="CC153" s="59">
        <f t="shared" si="119"/>
        <v>1098.2187815748964</v>
      </c>
      <c r="CD153" s="59">
        <f ca="1">AVERAGE(OFFSET($CC$3,0,0,'Données projet'!$E$12+1,1))-AVERAGE(OFFSET($H$3,0,0,'Données projet'!$E$12+1,1))</f>
        <v>685.99951993586967</v>
      </c>
      <c r="CE153" s="59">
        <f t="shared" si="148"/>
        <v>437.98014017823095</v>
      </c>
      <c r="CF153" s="15">
        <f>IF(ISNA(VLOOKUP(A153,'Données projet'!$A$113:$I$133,3,0)),0,VLOOKUP(A153,'Données projet'!$A$113:$I$133,3,0))</f>
        <v>14</v>
      </c>
      <c r="CG153" s="15">
        <f>IF(ISNA(VLOOKUP(A153,'Données projet'!$A$113:$I$133,4,0)),0,VLOOKUP(A153,'Données projet'!$A$113:$I$133,4,0))</f>
        <v>333</v>
      </c>
      <c r="CH153" s="16">
        <f>IF(ISNA(VLOOKUP(A153,'Données projet'!$A$113:$I$133,5,0)),0%,VLOOKUP(A153,'Données projet'!$A$113:$I$133,5,0)*VLOOKUP('Données projet'!$B$12,Paramètres!$A$1:$I$89,7,0))</f>
        <v>0.36549999999999999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241.76175337777835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241.76175337777835</v>
      </c>
      <c r="CO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>
        <f>VLOOKUP(A153,'Données projet'!$A$139:$I$159,2,0)</f>
        <v>333</v>
      </c>
      <c r="CR153" s="12">
        <f>VLOOKUP(A153,'Données projet'!$A$139:$I$159,9,0)</f>
        <v>3.4000000000000057</v>
      </c>
      <c r="CS153" s="12">
        <f t="array" ref="CS153">INDEX(CR:CR,MIN(IF(ISNUMBER(CR153:CR349),ROW(CR153:CR349),"")))</f>
        <v>3.4000000000000057</v>
      </c>
      <c r="CT153" s="12">
        <f>IF('Données projet'!$A$140&gt;35,CT152+CS153-DB152,IF(A153&lt;'Données projet'!$A$140,$CQ$205^A153,IF(A153='Données projet'!$A$140,'Données projet'!$B$140,CT152+CS153-DB152)))</f>
        <v>332.99999999999977</v>
      </c>
      <c r="CU153" s="17">
        <f>CT153*VLOOKUP('Données projet'!$B$13,Paramètres!$A$1:$I$89,3,0)*VLOOKUP('Données projet'!$B$13,Paramètres!$A$1:$I$89,5,0)</f>
        <v>337.66199999999975</v>
      </c>
      <c r="CV153" s="13">
        <f t="shared" si="149"/>
        <v>79.016707002632614</v>
      </c>
      <c r="CW153" s="20">
        <f t="shared" si="121"/>
        <v>725.71541469625129</v>
      </c>
      <c r="CX153" s="59">
        <f t="shared" si="122"/>
        <v>1010.9741297788335</v>
      </c>
      <c r="CY153" s="59">
        <f ca="1">AVERAGE(OFFSET($CX$3,0,0,'Données projet'!$E$13+1,1))-AVERAGE(OFFSET($H$3,0,0,'Données projet'!$E$13+1,1))</f>
        <v>622.07867348539082</v>
      </c>
      <c r="CZ153" s="59">
        <f t="shared" si="150"/>
        <v>398.29010684041634</v>
      </c>
      <c r="DA153" s="15">
        <f>IF(ISNA(VLOOKUP(A153,'Données projet'!$A$139:$I$159,3,0)),0,VLOOKUP(A153,'Données projet'!$A$139:$I$159,3,0))</f>
        <v>14</v>
      </c>
      <c r="DB153" s="15">
        <f>IF(ISNA(VLOOKUP(A153,'Données projet'!$A$139:$I$159,4,0)),0,VLOOKUP(A153,'Données projet'!$A$139:$I$159,4,0))</f>
        <v>333</v>
      </c>
      <c r="DC153" s="16">
        <f>IF(ISNA(VLOOKUP(A153,'Données projet'!$A$139:$I$159,5,0)),0%,VLOOKUP(A153,'Données projet'!$A$139:$I$159,5,0)*VLOOKUP('Données projet'!$B$13,Paramètres!$A$1:$I$89,7,0))</f>
        <v>0.36549999999999999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215.26731465144655</v>
      </c>
      <c r="DG153" s="21">
        <f>EXP(-LN(2)/25)*DG152+(1-EXP(-LN(2)/25))/(LN(2)/25)*Calculateur!DB153*Calculateur!DD153*VLOOKUP('Données projet'!$B$13,Paramètres!$A$1:$I$89,3,0)*0.475*44/12</f>
        <v>0</v>
      </c>
      <c r="DH153" s="21">
        <f>EXP(-LN(2)/2)*DH152+(1-EXP(-LN(2)/2))/(LN(2)/2)*DB153*DE153*VLOOKUP('Données projet'!$B$13,Paramètres!$A$1:$I$89,3,0)*0.475*44/12</f>
        <v>0</v>
      </c>
      <c r="DI153" s="22">
        <f t="shared" si="123"/>
        <v>215.26731465144655</v>
      </c>
      <c r="DJ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>
        <f>VLOOKUP(A153,'Données projet'!$A$165:$I$185,2,0)</f>
        <v>333</v>
      </c>
      <c r="DM153" s="12">
        <f>VLOOKUP(A153,'Données projet'!$A$165:$I$185,9,0)</f>
        <v>3.4000000000000057</v>
      </c>
      <c r="DN153" s="12">
        <f t="array" ref="DN153">INDEX(DM:DM,MIN(IF(ISNUMBER(DM153:DM349),ROW(DM153:DM349),"")))</f>
        <v>3.4000000000000057</v>
      </c>
      <c r="DO153" s="12">
        <f>IF('Données projet'!$A$166&gt;35,DO152+DN153-DW152,IF(A153&lt;'Données projet'!$A$166,$DL$205^A153,IF(A153='Données projet'!$A$166,'Données projet'!$B$166,DO152+DN153-DW152)))</f>
        <v>332.99999999999977</v>
      </c>
      <c r="DP153" s="17">
        <f>DO153*VLOOKUP('Données projet'!$B$14,Paramètres!$A$1:$I$89,3,0)*VLOOKUP('Données projet'!$B$14,Paramètres!$A$1:$I$89,5,0)</f>
        <v>316.8827999999998</v>
      </c>
      <c r="DQ153" s="13">
        <f t="shared" si="151"/>
        <v>74.70439052583346</v>
      </c>
      <c r="DR153" s="20">
        <f t="shared" si="124"/>
        <v>682.01435683249281</v>
      </c>
      <c r="DS153" s="59">
        <f t="shared" si="125"/>
        <v>967.27307191507498</v>
      </c>
      <c r="DT153" s="59">
        <f ca="1">AVERAGE(OFFSET($DS$3,0,0,'Données projet'!$E$14+1,1))-AVERAGE(OFFSET($H$3,0,0,'Données projet'!$E$14+1,1))</f>
        <v>590.05965493677377</v>
      </c>
      <c r="DU153" s="59">
        <f t="shared" si="152"/>
        <v>378.40640480134505</v>
      </c>
      <c r="DV153" s="15">
        <f>IF(ISNA(VLOOKUP(A153,'Données projet'!$A$165:$I$185,3,0)),0,VLOOKUP(A153,'Données projet'!$A$165:$I$185,3,0))</f>
        <v>14</v>
      </c>
      <c r="DW153" s="15">
        <f>IF(ISNA(VLOOKUP(A153,'Données projet'!$A$165:$I$185,4,0)),0,VLOOKUP(A153,'Données projet'!$A$165:$I$185,4,0))</f>
        <v>333</v>
      </c>
      <c r="DX153" s="16">
        <f>IF(ISNA(VLOOKUP(A153,'Données projet'!$A$165:$I$185,5,0)),0%,VLOOKUP(A153,'Données projet'!$A$165:$I$185,5,0)*VLOOKUP('Données projet'!$B$14,Paramètres!$A$1:$I$89,7,0))</f>
        <v>0.36549999999999999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202.02009528828052</v>
      </c>
      <c r="EB153" s="21">
        <f>EXP(-LN(2)/25)*EB152+(1-EXP(-LN(2)/25))/(LN(2)/25)*Calculateur!DW153*Calculateur!DY153*VLOOKUP('Données projet'!$B$14,Paramètres!$A$1:$I$89,3,0)*0.475*44/12</f>
        <v>0</v>
      </c>
      <c r="EC153" s="21">
        <f>EXP(-LN(2)/2)*EC152+(1-EXP(-LN(2)/2))/(LN(2)/2)*DW153*DZ153*VLOOKUP('Données projet'!$B$14,Paramètres!$A$1:$I$89,3,0)*0.475*44/12</f>
        <v>0</v>
      </c>
      <c r="ED153" s="22">
        <f t="shared" si="126"/>
        <v>202.02009528828052</v>
      </c>
      <c r="EE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67.797831386158762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2">
        <f>'Scénario référence'!$B$16*5+'Scénario référence'!$B$17*0+'Scénario référence'!$B$18*5</f>
        <v>4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14.666666666666666</v>
      </c>
      <c r="H154" s="66">
        <f t="shared" si="110"/>
        <v>159.86666666666667</v>
      </c>
      <c r="I154" s="6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-2.9085640562698246E-14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140.03175887621094</v>
      </c>
      <c r="T154" s="59">
        <f t="shared" si="142"/>
        <v>377.29475975964954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6.4303145999417257</v>
      </c>
      <c r="AA154" s="21">
        <f>EXP(-LN(2)/25)*AA153+(1-EXP(-LN(2)/25))/(LN(2)/25)*Calculateur!V154*Calculateur!X154*VLOOKUP('Données projet'!$B$9,Paramètres!$A$1:$I$89,3,0)*0.475*44/12</f>
        <v>0</v>
      </c>
      <c r="AB154" s="21">
        <f>EXP(-LN(2)/2)*AB153+(1-EXP(-LN(2)/2))/(LN(2)/2)*V154*Y154*VLOOKUP('Données projet'!$B$9,Paramètres!$A$1:$I$89,3,0)*0.475*44/12</f>
        <v>1.5031988126010071E-18</v>
      </c>
      <c r="AC154" s="22">
        <f t="shared" ref="AC154:AC203" si="163">SUM(Z154:AB154)</f>
        <v>6.4303145999417257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-5.6843418860808015E-14</v>
      </c>
      <c r="AJ154" s="13">
        <f>AI154*VLOOKUP('Données projet'!$B$10,Paramètres!$A$1:$I$89,3,0)*VLOOKUP('Données projet'!$B$10,Paramètres!$A$1:$I$89,5,0)</f>
        <v>-2.8642261895583942E-14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138.27364731587764</v>
      </c>
      <c r="AO154" s="59">
        <f t="shared" si="144"/>
        <v>372.50391467700013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6.3322915115279681</v>
      </c>
      <c r="AV154" s="21">
        <f>EXP(-LN(2)/25)*AV153+(1-EXP(-LN(2)/25))/(LN(2)/25)*Calculateur!AQ154*Calculateur!AS154*VLOOKUP('Données projet'!$B$10,Paramètres!$A$1:$I$89,3,0)*0.475*44/12</f>
        <v>0</v>
      </c>
      <c r="AW154" s="21">
        <f>EXP(-LN(2)/2)*AW153+(1-EXP(-LN(2)/2))/(LN(2)/2)*AQ154*AT154*VLOOKUP('Données projet'!$B$10,Paramètres!$A$1:$I$89,3,0)*0.475*44/12</f>
        <v>1.4802841965552585E-18</v>
      </c>
      <c r="AX154" s="21">
        <f t="shared" ref="AX154:AX203" si="166">SUM(AU154:AW154)</f>
        <v>6.3322915115279681</v>
      </c>
      <c r="AY154" s="7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-2.2737367544323206E-13</v>
      </c>
      <c r="BE154" s="13">
        <f>BD154*VLOOKUP('Données projet'!$B$11,Paramètres!$A$1:$I$89,3,0)*VLOOKUP('Données projet'!$B$11,Paramètres!$A$1:$I$89,5,0)</f>
        <v>-2.3765096557326618E-13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638.07304290599211</v>
      </c>
      <c r="BJ154" s="59">
        <f t="shared" si="146"/>
        <v>408.22196233793511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217.53977864695889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217.53977864695889</v>
      </c>
      <c r="BT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-2.2737367544323206E-13</v>
      </c>
      <c r="BZ154" s="13">
        <f>BY154*VLOOKUP('Données projet'!$B$12,Paramètres!$A$1:$I$89,3,0)*VLOOKUP('Données projet'!$B$12,Paramètres!$A$1:$I$89,5,0)</f>
        <v>-2.5893314159475268E-13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685.99951993586967</v>
      </c>
      <c r="CE154" s="59">
        <f t="shared" si="148"/>
        <v>437.98014017823095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237.02095285414919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237.02095285414919</v>
      </c>
      <c r="CO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-2.2737367544323206E-13</v>
      </c>
      <c r="CU154" s="17">
        <f>CT154*VLOOKUP('Données projet'!$B$13,Paramètres!$A$1:$I$89,3,0)*VLOOKUP('Données projet'!$B$13,Paramètres!$A$1:$I$89,5,0)</f>
        <v>-2.3055690689943731E-13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622.07867348539082</v>
      </c>
      <c r="CZ154" s="59">
        <f t="shared" si="150"/>
        <v>398.29010684041634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211.04605391122882</v>
      </c>
      <c r="DG154" s="21">
        <f>EXP(-LN(2)/25)*DG153+(1-EXP(-LN(2)/25))/(LN(2)/25)*Calculateur!DB154*Calculateur!DD154*VLOOKUP('Données projet'!$B$13,Paramètres!$A$1:$I$89,3,0)*0.475*44/12</f>
        <v>0</v>
      </c>
      <c r="DH154" s="21">
        <f>EXP(-LN(2)/2)*DH153+(1-EXP(-LN(2)/2))/(LN(2)/2)*DB154*DE154*VLOOKUP('Données projet'!$B$13,Paramètres!$A$1:$I$89,3,0)*0.475*44/12</f>
        <v>0</v>
      </c>
      <c r="DI154" s="22">
        <f t="shared" ref="DI154:DI203" si="175">SUM(DF154:DH154)</f>
        <v>211.04605391122882</v>
      </c>
      <c r="DJ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-2.2737367544323206E-13</v>
      </c>
      <c r="DP154" s="17">
        <f>DO154*VLOOKUP('Données projet'!$B$14,Paramètres!$A$1:$I$89,3,0)*VLOOKUP('Données projet'!$B$14,Paramètres!$A$1:$I$89,5,0)</f>
        <v>-2.1636878955177963E-13</v>
      </c>
      <c r="DQ154" s="13" t="e">
        <f t="shared" ref="DQ154:DQ203" si="176">EXP(-1.0587+0.8836*LN(DP154)+0.284)</f>
        <v>#NUM!</v>
      </c>
      <c r="DR154" s="20" t="e">
        <f t="shared" ref="DR154:DR203" si="177">(DP154+DQ154)*0.475*44/12</f>
        <v>#NUM!</v>
      </c>
      <c r="DS154" s="59" t="e">
        <f t="shared" si="125"/>
        <v>#NUM!</v>
      </c>
      <c r="DT154" s="59">
        <f ca="1">AVERAGE(OFFSET($DS$3,0,0,'Données projet'!$E$14+1,1))-AVERAGE(OFFSET($H$3,0,0,'Données projet'!$E$14+1,1))</f>
        <v>590.05965493677377</v>
      </c>
      <c r="DU154" s="59">
        <f t="shared" si="152"/>
        <v>378.40640480134505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198.05860443976849</v>
      </c>
      <c r="EB154" s="21">
        <f>EXP(-LN(2)/25)*EB153+(1-EXP(-LN(2)/25))/(LN(2)/25)*Calculateur!DW154*Calculateur!DY154*VLOOKUP('Données projet'!$B$14,Paramètres!$A$1:$I$89,3,0)*0.475*44/12</f>
        <v>0</v>
      </c>
      <c r="EC154" s="21">
        <f>EXP(-LN(2)/2)*EC153+(1-EXP(-LN(2)/2))/(LN(2)/2)*DW154*DZ154*VLOOKUP('Données projet'!$B$14,Paramètres!$A$1:$I$89,3,0)*0.475*44/12</f>
        <v>0</v>
      </c>
      <c r="ED154" s="22">
        <f t="shared" ref="ED154:ED203" si="178">SUM(EA154:EC154)</f>
        <v>198.05860443976849</v>
      </c>
      <c r="EE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67.836034088297453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2">
        <f>'Scénario référence'!$B$16*5+'Scénario référence'!$B$17*0+'Scénario référence'!$B$18*5</f>
        <v>4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14.666666666666666</v>
      </c>
      <c r="H155" s="66">
        <f t="shared" si="110"/>
        <v>159.86666666666667</v>
      </c>
      <c r="I155" s="6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-2.9085640562698246E-14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140.03175887621094</v>
      </c>
      <c r="T155" s="59">
        <f t="shared" si="142"/>
        <v>377.29475975964954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6.3042200527414991</v>
      </c>
      <c r="AA155" s="21">
        <f>EXP(-LN(2)/25)*AA154+(1-EXP(-LN(2)/25))/(LN(2)/25)*Calculateur!V155*Calculateur!X155*VLOOKUP('Données projet'!$B$9,Paramètres!$A$1:$I$89,3,0)*0.475*44/12</f>
        <v>0</v>
      </c>
      <c r="AB155" s="21">
        <f>EXP(-LN(2)/2)*AB154+(1-EXP(-LN(2)/2))/(LN(2)/2)*V155*Y155*VLOOKUP('Données projet'!$B$9,Paramètres!$A$1:$I$89,3,0)*0.475*44/12</f>
        <v>1.0629220738617383E-18</v>
      </c>
      <c r="AC155" s="22">
        <f t="shared" si="163"/>
        <v>6.3042200527414991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-5.6843418860808015E-14</v>
      </c>
      <c r="AJ155" s="13">
        <f>AI155*VLOOKUP('Données projet'!$B$10,Paramètres!$A$1:$I$89,3,0)*VLOOKUP('Données projet'!$B$10,Paramètres!$A$1:$I$89,5,0)</f>
        <v>-2.8642261895583942E-14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138.27364731587764</v>
      </c>
      <c r="AO155" s="59">
        <f t="shared" si="144"/>
        <v>372.50391467700013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6.2081191373033544</v>
      </c>
      <c r="AV155" s="21">
        <f>EXP(-LN(2)/25)*AV154+(1-EXP(-LN(2)/25))/(LN(2)/25)*Calculateur!AQ155*Calculateur!AS155*VLOOKUP('Données projet'!$B$10,Paramètres!$A$1:$I$89,3,0)*0.475*44/12</f>
        <v>0</v>
      </c>
      <c r="AW155" s="21">
        <f>EXP(-LN(2)/2)*AW154+(1-EXP(-LN(2)/2))/(LN(2)/2)*AQ155*AT155*VLOOKUP('Données projet'!$B$10,Paramètres!$A$1:$I$89,3,0)*0.475*44/12</f>
        <v>1.0467189934675035E-18</v>
      </c>
      <c r="AX155" s="21">
        <f t="shared" si="166"/>
        <v>6.2081191373033544</v>
      </c>
      <c r="AY155" s="7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-2.2737367544323206E-13</v>
      </c>
      <c r="BE155" s="13">
        <f>BD155*VLOOKUP('Données projet'!$B$11,Paramètres!$A$1:$I$89,3,0)*VLOOKUP('Données projet'!$B$11,Paramètres!$A$1:$I$89,5,0)</f>
        <v>-2.3765096557326618E-13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638.07304290599211</v>
      </c>
      <c r="BJ155" s="59">
        <f t="shared" si="146"/>
        <v>408.22196233793511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213.27395627385533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213.27395627385533</v>
      </c>
      <c r="BT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-2.2737367544323206E-13</v>
      </c>
      <c r="BZ155" s="13">
        <f>BY155*VLOOKUP('Données projet'!$B$12,Paramètres!$A$1:$I$89,3,0)*VLOOKUP('Données projet'!$B$12,Paramètres!$A$1:$I$89,5,0)</f>
        <v>-2.5893314159475268E-13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685.99951993586967</v>
      </c>
      <c r="CE155" s="59">
        <f t="shared" si="148"/>
        <v>437.98014017823095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232.37311653718561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232.37311653718561</v>
      </c>
      <c r="CO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-2.2737367544323206E-13</v>
      </c>
      <c r="CU155" s="17">
        <f>CT155*VLOOKUP('Données projet'!$B$13,Paramètres!$A$1:$I$89,3,0)*VLOOKUP('Données projet'!$B$13,Paramètres!$A$1:$I$89,5,0)</f>
        <v>-2.3055690689943731E-13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622.07867348539082</v>
      </c>
      <c r="CZ155" s="59">
        <f t="shared" si="150"/>
        <v>398.29010684041634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206.90756951941194</v>
      </c>
      <c r="DG155" s="21">
        <f>EXP(-LN(2)/25)*DG154+(1-EXP(-LN(2)/25))/(LN(2)/25)*Calculateur!DB155*Calculateur!DD155*VLOOKUP('Données projet'!$B$13,Paramètres!$A$1:$I$89,3,0)*0.475*44/12</f>
        <v>0</v>
      </c>
      <c r="DH155" s="21">
        <f>EXP(-LN(2)/2)*DH154+(1-EXP(-LN(2)/2))/(LN(2)/2)*DB155*DE155*VLOOKUP('Données projet'!$B$13,Paramètres!$A$1:$I$89,3,0)*0.475*44/12</f>
        <v>0</v>
      </c>
      <c r="DI155" s="22">
        <f t="shared" si="175"/>
        <v>206.90756951941194</v>
      </c>
      <c r="DJ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-2.2737367544323206E-13</v>
      </c>
      <c r="DP155" s="17">
        <f>DO155*VLOOKUP('Données projet'!$B$14,Paramètres!$A$1:$I$89,3,0)*VLOOKUP('Données projet'!$B$14,Paramètres!$A$1:$I$89,5,0)</f>
        <v>-2.1636878955177963E-13</v>
      </c>
      <c r="DQ155" s="13" t="e">
        <f t="shared" si="176"/>
        <v>#NUM!</v>
      </c>
      <c r="DR155" s="20" t="e">
        <f t="shared" si="177"/>
        <v>#NUM!</v>
      </c>
      <c r="DS155" s="59" t="e">
        <f t="shared" si="125"/>
        <v>#NUM!</v>
      </c>
      <c r="DT155" s="59">
        <f ca="1">AVERAGE(OFFSET($DS$3,0,0,'Données projet'!$E$14+1,1))-AVERAGE(OFFSET($H$3,0,0,'Données projet'!$E$14+1,1))</f>
        <v>590.05965493677377</v>
      </c>
      <c r="DU155" s="59">
        <f t="shared" si="152"/>
        <v>378.40640480134505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194.17479601052494</v>
      </c>
      <c r="EB155" s="21">
        <f>EXP(-LN(2)/25)*EB154+(1-EXP(-LN(2)/25))/(LN(2)/25)*Calculateur!DW155*Calculateur!DY155*VLOOKUP('Données projet'!$B$14,Paramètres!$A$1:$I$89,3,0)*0.475*44/12</f>
        <v>0</v>
      </c>
      <c r="EC155" s="21">
        <f>EXP(-LN(2)/2)*EC154+(1-EXP(-LN(2)/2))/(LN(2)/2)*DW155*DZ155*VLOOKUP('Données projet'!$B$14,Paramètres!$A$1:$I$89,3,0)*0.475*44/12</f>
        <v>0</v>
      </c>
      <c r="ED155" s="22">
        <f t="shared" si="178"/>
        <v>194.17479601052494</v>
      </c>
      <c r="EE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67.873574058962475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2">
        <f>'Scénario référence'!$B$16*5+'Scénario référence'!$B$17*0+'Scénario référence'!$B$18*5</f>
        <v>4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14.666666666666666</v>
      </c>
      <c r="H156" s="66">
        <f t="shared" si="110"/>
        <v>159.86666666666667</v>
      </c>
      <c r="I156" s="6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-2.9085640562698246E-14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140.03175887621094</v>
      </c>
      <c r="T156" s="59">
        <f t="shared" si="142"/>
        <v>377.29475975964954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6.1805981427017889</v>
      </c>
      <c r="AA156" s="21">
        <f>EXP(-LN(2)/25)*AA155+(1-EXP(-LN(2)/25))/(LN(2)/25)*Calculateur!V156*Calculateur!X156*VLOOKUP('Données projet'!$B$9,Paramètres!$A$1:$I$89,3,0)*0.475*44/12</f>
        <v>0</v>
      </c>
      <c r="AB156" s="21">
        <f>EXP(-LN(2)/2)*AB155+(1-EXP(-LN(2)/2))/(LN(2)/2)*V156*Y156*VLOOKUP('Données projet'!$B$9,Paramètres!$A$1:$I$89,3,0)*0.475*44/12</f>
        <v>7.5159940630050353E-19</v>
      </c>
      <c r="AC156" s="22">
        <f t="shared" si="163"/>
        <v>6.1805981427017889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-5.6843418860808015E-14</v>
      </c>
      <c r="AJ156" s="13">
        <f>AI156*VLOOKUP('Données projet'!$B$10,Paramètres!$A$1:$I$89,3,0)*VLOOKUP('Données projet'!$B$10,Paramètres!$A$1:$I$89,5,0)</f>
        <v>-2.8642261895583942E-14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138.27364731587764</v>
      </c>
      <c r="AO156" s="59">
        <f t="shared" si="144"/>
        <v>372.50391467700013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6.0863817075996156</v>
      </c>
      <c r="AV156" s="21">
        <f>EXP(-LN(2)/25)*AV155+(1-EXP(-LN(2)/25))/(LN(2)/25)*Calculateur!AQ156*Calculateur!AS156*VLOOKUP('Données projet'!$B$10,Paramètres!$A$1:$I$89,3,0)*0.475*44/12</f>
        <v>0</v>
      </c>
      <c r="AW156" s="21">
        <f>EXP(-LN(2)/2)*AW155+(1-EXP(-LN(2)/2))/(LN(2)/2)*AQ156*AT156*VLOOKUP('Données projet'!$B$10,Paramètres!$A$1:$I$89,3,0)*0.475*44/12</f>
        <v>7.4014209827762925E-19</v>
      </c>
      <c r="AX156" s="21">
        <f t="shared" si="166"/>
        <v>6.0863817075996156</v>
      </c>
      <c r="AY156" s="7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-2.2737367544323206E-13</v>
      </c>
      <c r="BE156" s="13">
        <f>BD156*VLOOKUP('Données projet'!$B$11,Paramètres!$A$1:$I$89,3,0)*VLOOKUP('Données projet'!$B$11,Paramètres!$A$1:$I$89,5,0)</f>
        <v>-2.3765096557326618E-13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638.07304290599211</v>
      </c>
      <c r="BJ156" s="59">
        <f t="shared" si="146"/>
        <v>408.22196233793511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209.09178407559361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209.09178407559361</v>
      </c>
      <c r="BT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-2.2737367544323206E-13</v>
      </c>
      <c r="BZ156" s="13">
        <f>BY156*VLOOKUP('Données projet'!$B$12,Paramètres!$A$1:$I$89,3,0)*VLOOKUP('Données projet'!$B$12,Paramètres!$A$1:$I$89,5,0)</f>
        <v>-2.5893314159475268E-13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685.99951993586967</v>
      </c>
      <c r="CE156" s="59">
        <f t="shared" si="148"/>
        <v>437.98014017823095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227.81642145549745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227.81642145549745</v>
      </c>
      <c r="CO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-2.2737367544323206E-13</v>
      </c>
      <c r="CU156" s="17">
        <f>CT156*VLOOKUP('Données projet'!$B$13,Paramètres!$A$1:$I$89,3,0)*VLOOKUP('Données projet'!$B$13,Paramètres!$A$1:$I$89,5,0)</f>
        <v>-2.3055690689943731E-13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622.07867348539082</v>
      </c>
      <c r="CZ156" s="59">
        <f t="shared" si="150"/>
        <v>398.29010684041634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202.85023828229234</v>
      </c>
      <c r="DG156" s="21">
        <f>EXP(-LN(2)/25)*DG155+(1-EXP(-LN(2)/25))/(LN(2)/25)*Calculateur!DB156*Calculateur!DD156*VLOOKUP('Données projet'!$B$13,Paramètres!$A$1:$I$89,3,0)*0.475*44/12</f>
        <v>0</v>
      </c>
      <c r="DH156" s="21">
        <f>EXP(-LN(2)/2)*DH155+(1-EXP(-LN(2)/2))/(LN(2)/2)*DB156*DE156*VLOOKUP('Données projet'!$B$13,Paramètres!$A$1:$I$89,3,0)*0.475*44/12</f>
        <v>0</v>
      </c>
      <c r="DI156" s="22">
        <f t="shared" si="175"/>
        <v>202.85023828229234</v>
      </c>
      <c r="DJ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-2.2737367544323206E-13</v>
      </c>
      <c r="DP156" s="17">
        <f>DO156*VLOOKUP('Données projet'!$B$14,Paramètres!$A$1:$I$89,3,0)*VLOOKUP('Données projet'!$B$14,Paramètres!$A$1:$I$89,5,0)</f>
        <v>-2.1636878955177963E-13</v>
      </c>
      <c r="DQ156" s="13" t="e">
        <f t="shared" si="176"/>
        <v>#NUM!</v>
      </c>
      <c r="DR156" s="20" t="e">
        <f t="shared" si="177"/>
        <v>#NUM!</v>
      </c>
      <c r="DS156" s="59" t="e">
        <f t="shared" si="125"/>
        <v>#NUM!</v>
      </c>
      <c r="DT156" s="59">
        <f ca="1">AVERAGE(OFFSET($DS$3,0,0,'Données projet'!$E$14+1,1))-AVERAGE(OFFSET($H$3,0,0,'Données projet'!$E$14+1,1))</f>
        <v>590.05965493677377</v>
      </c>
      <c r="DU156" s="59">
        <f t="shared" si="152"/>
        <v>378.40640480134505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190.36714669568963</v>
      </c>
      <c r="EB156" s="21">
        <f>EXP(-LN(2)/25)*EB155+(1-EXP(-LN(2)/25))/(LN(2)/25)*Calculateur!DW156*Calculateur!DY156*VLOOKUP('Données projet'!$B$14,Paramètres!$A$1:$I$89,3,0)*0.475*44/12</f>
        <v>0</v>
      </c>
      <c r="EC156" s="21">
        <f>EXP(-LN(2)/2)*EC155+(1-EXP(-LN(2)/2))/(LN(2)/2)*DW156*DZ156*VLOOKUP('Données projet'!$B$14,Paramètres!$A$1:$I$89,3,0)*0.475*44/12</f>
        <v>0</v>
      </c>
      <c r="ED156" s="22">
        <f t="shared" si="178"/>
        <v>190.36714669568963</v>
      </c>
      <c r="EE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67.910462795063268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2">
        <f>'Scénario référence'!$B$16*5+'Scénario référence'!$B$17*0+'Scénario référence'!$B$18*5</f>
        <v>4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14.666666666666666</v>
      </c>
      <c r="H157" s="66">
        <f t="shared" si="110"/>
        <v>159.86666666666667</v>
      </c>
      <c r="I157" s="6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-2.9085640562698246E-14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140.03175887621094</v>
      </c>
      <c r="T157" s="59">
        <f t="shared" si="142"/>
        <v>377.29475975964954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6.0594003829160377</v>
      </c>
      <c r="AA157" s="21">
        <f>EXP(-LN(2)/25)*AA156+(1-EXP(-LN(2)/25))/(LN(2)/25)*Calculateur!V157*Calculateur!X157*VLOOKUP('Données projet'!$B$9,Paramètres!$A$1:$I$89,3,0)*0.475*44/12</f>
        <v>0</v>
      </c>
      <c r="AB157" s="21">
        <f>EXP(-LN(2)/2)*AB156+(1-EXP(-LN(2)/2))/(LN(2)/2)*V157*Y157*VLOOKUP('Données projet'!$B$9,Paramètres!$A$1:$I$89,3,0)*0.475*44/12</f>
        <v>5.3146103693086917E-19</v>
      </c>
      <c r="AC157" s="22">
        <f t="shared" si="163"/>
        <v>6.0594003829160377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-5.6843418860808015E-14</v>
      </c>
      <c r="AJ157" s="13">
        <f>AI157*VLOOKUP('Données projet'!$B$10,Paramètres!$A$1:$I$89,3,0)*VLOOKUP('Données projet'!$B$10,Paramètres!$A$1:$I$89,5,0)</f>
        <v>-2.8642261895583942E-14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138.27364731587764</v>
      </c>
      <c r="AO157" s="59">
        <f t="shared" si="144"/>
        <v>372.50391467700013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5.9670314746398674</v>
      </c>
      <c r="AV157" s="21">
        <f>EXP(-LN(2)/25)*AV156+(1-EXP(-LN(2)/25))/(LN(2)/25)*Calculateur!AQ157*Calculateur!AS157*VLOOKUP('Données projet'!$B$10,Paramètres!$A$1:$I$89,3,0)*0.475*44/12</f>
        <v>0</v>
      </c>
      <c r="AW157" s="21">
        <f>EXP(-LN(2)/2)*AW156+(1-EXP(-LN(2)/2))/(LN(2)/2)*AQ157*AT157*VLOOKUP('Données projet'!$B$10,Paramètres!$A$1:$I$89,3,0)*0.475*44/12</f>
        <v>5.2335949673375173E-19</v>
      </c>
      <c r="AX157" s="21">
        <f t="shared" si="166"/>
        <v>5.9670314746398674</v>
      </c>
      <c r="AY157" s="7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-2.2737367544323206E-13</v>
      </c>
      <c r="BE157" s="13">
        <f>BD157*VLOOKUP('Données projet'!$B$11,Paramètres!$A$1:$I$89,3,0)*VLOOKUP('Données projet'!$B$11,Paramètres!$A$1:$I$89,5,0)</f>
        <v>-2.3765096557326618E-13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638.07304290599211</v>
      </c>
      <c r="BJ157" s="59">
        <f t="shared" si="146"/>
        <v>408.22196233793511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204.99162172326663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204.99162172326663</v>
      </c>
      <c r="BT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-2.2737367544323206E-13</v>
      </c>
      <c r="BZ157" s="13">
        <f>BY157*VLOOKUP('Données projet'!$B$12,Paramètres!$A$1:$I$89,3,0)*VLOOKUP('Données projet'!$B$12,Paramètres!$A$1:$I$89,5,0)</f>
        <v>-2.5893314159475268E-13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685.99951993586967</v>
      </c>
      <c r="CE157" s="59">
        <f t="shared" si="148"/>
        <v>437.98014017823095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223.34908038505162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223.34908038505162</v>
      </c>
      <c r="CO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-2.2737367544323206E-13</v>
      </c>
      <c r="CU157" s="17">
        <f>CT157*VLOOKUP('Données projet'!$B$13,Paramètres!$A$1:$I$89,3,0)*VLOOKUP('Données projet'!$B$13,Paramètres!$A$1:$I$89,5,0)</f>
        <v>-2.3055690689943731E-13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622.07867348539082</v>
      </c>
      <c r="CZ157" s="59">
        <f t="shared" si="150"/>
        <v>398.29010684041634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198.87246883600497</v>
      </c>
      <c r="DG157" s="21">
        <f>EXP(-LN(2)/25)*DG156+(1-EXP(-LN(2)/25))/(LN(2)/25)*Calculateur!DB157*Calculateur!DD157*VLOOKUP('Données projet'!$B$13,Paramètres!$A$1:$I$89,3,0)*0.475*44/12</f>
        <v>0</v>
      </c>
      <c r="DH157" s="21">
        <f>EXP(-LN(2)/2)*DH156+(1-EXP(-LN(2)/2))/(LN(2)/2)*DB157*DE157*VLOOKUP('Données projet'!$B$13,Paramètres!$A$1:$I$89,3,0)*0.475*44/12</f>
        <v>0</v>
      </c>
      <c r="DI157" s="22">
        <f t="shared" si="175"/>
        <v>198.87246883600497</v>
      </c>
      <c r="DJ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-2.2737367544323206E-13</v>
      </c>
      <c r="DP157" s="17">
        <f>DO157*VLOOKUP('Données projet'!$B$14,Paramètres!$A$1:$I$89,3,0)*VLOOKUP('Données projet'!$B$14,Paramètres!$A$1:$I$89,5,0)</f>
        <v>-2.1636878955177963E-13</v>
      </c>
      <c r="DQ157" s="13" t="e">
        <f t="shared" si="176"/>
        <v>#NUM!</v>
      </c>
      <c r="DR157" s="20" t="e">
        <f t="shared" si="177"/>
        <v>#NUM!</v>
      </c>
      <c r="DS157" s="59" t="e">
        <f t="shared" si="125"/>
        <v>#NUM!</v>
      </c>
      <c r="DT157" s="59">
        <f ca="1">AVERAGE(OFFSET($DS$3,0,0,'Données projet'!$E$14+1,1))-AVERAGE(OFFSET($H$3,0,0,'Données projet'!$E$14+1,1))</f>
        <v>590.05965493677377</v>
      </c>
      <c r="DU157" s="59">
        <f t="shared" si="152"/>
        <v>378.40640480134505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186.63416306148147</v>
      </c>
      <c r="EB157" s="21">
        <f>EXP(-LN(2)/25)*EB156+(1-EXP(-LN(2)/25))/(LN(2)/25)*Calculateur!DW157*Calculateur!DY157*VLOOKUP('Données projet'!$B$14,Paramètres!$A$1:$I$89,3,0)*0.475*44/12</f>
        <v>0</v>
      </c>
      <c r="EC157" s="21">
        <f>EXP(-LN(2)/2)*EC156+(1-EXP(-LN(2)/2))/(LN(2)/2)*DW157*DZ157*VLOOKUP('Données projet'!$B$14,Paramètres!$A$1:$I$89,3,0)*0.475*44/12</f>
        <v>0</v>
      </c>
      <c r="ED157" s="22">
        <f t="shared" si="178"/>
        <v>186.63416306148147</v>
      </c>
      <c r="EE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67.946711594063572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2">
        <f>'Scénario référence'!$B$16*5+'Scénario référence'!$B$17*0+'Scénario référence'!$B$18*5</f>
        <v>4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14.666666666666666</v>
      </c>
      <c r="H158" s="66">
        <f t="shared" si="110"/>
        <v>159.86666666666667</v>
      </c>
      <c r="I158" s="6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-2.9085640562698246E-14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140.03175887621094</v>
      </c>
      <c r="T158" s="59">
        <f t="shared" si="142"/>
        <v>377.29475975964954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5.9405792372763511</v>
      </c>
      <c r="AA158" s="21">
        <f>EXP(-LN(2)/25)*AA157+(1-EXP(-LN(2)/25))/(LN(2)/25)*Calculateur!V158*Calculateur!X158*VLOOKUP('Données projet'!$B$9,Paramètres!$A$1:$I$89,3,0)*0.475*44/12</f>
        <v>0</v>
      </c>
      <c r="AB158" s="21">
        <f>EXP(-LN(2)/2)*AB157+(1-EXP(-LN(2)/2))/(LN(2)/2)*V158*Y158*VLOOKUP('Données projet'!$B$9,Paramètres!$A$1:$I$89,3,0)*0.475*44/12</f>
        <v>3.7579970315025176E-19</v>
      </c>
      <c r="AC158" s="22">
        <f t="shared" si="163"/>
        <v>5.9405792372763511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-5.6843418860808015E-14</v>
      </c>
      <c r="AJ158" s="13">
        <f>AI158*VLOOKUP('Données projet'!$B$10,Paramètres!$A$1:$I$89,3,0)*VLOOKUP('Données projet'!$B$10,Paramètres!$A$1:$I$89,5,0)</f>
        <v>-2.8642261895583942E-14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138.27364731587764</v>
      </c>
      <c r="AO158" s="59">
        <f t="shared" si="144"/>
        <v>372.50391467700013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5.8500216269520058</v>
      </c>
      <c r="AV158" s="21">
        <f>EXP(-LN(2)/25)*AV157+(1-EXP(-LN(2)/25))/(LN(2)/25)*Calculateur!AQ158*Calculateur!AS158*VLOOKUP('Données projet'!$B$10,Paramètres!$A$1:$I$89,3,0)*0.475*44/12</f>
        <v>0</v>
      </c>
      <c r="AW158" s="21">
        <f>EXP(-LN(2)/2)*AW157+(1-EXP(-LN(2)/2))/(LN(2)/2)*AQ158*AT158*VLOOKUP('Données projet'!$B$10,Paramètres!$A$1:$I$89,3,0)*0.475*44/12</f>
        <v>3.7007104913881462E-19</v>
      </c>
      <c r="AX158" s="21">
        <f t="shared" si="166"/>
        <v>5.8500216269520058</v>
      </c>
      <c r="AY158" s="7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-2.2737367544323206E-13</v>
      </c>
      <c r="BE158" s="13">
        <f>BD158*VLOOKUP('Données projet'!$B$11,Paramètres!$A$1:$I$89,3,0)*VLOOKUP('Données projet'!$B$11,Paramètres!$A$1:$I$89,5,0)</f>
        <v>-2.3765096557326618E-13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638.07304290599211</v>
      </c>
      <c r="BJ158" s="59">
        <f t="shared" si="146"/>
        <v>408.22196233793511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200.9718610538167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200.9718610538167</v>
      </c>
      <c r="BT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-2.2737367544323206E-13</v>
      </c>
      <c r="BZ158" s="13">
        <f>BY158*VLOOKUP('Données projet'!$B$12,Paramètres!$A$1:$I$89,3,0)*VLOOKUP('Données projet'!$B$12,Paramètres!$A$1:$I$89,5,0)</f>
        <v>-2.5893314159475268E-13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685.99951993586967</v>
      </c>
      <c r="CE158" s="59">
        <f t="shared" si="148"/>
        <v>437.98014017823095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218.96934114818825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218.96934114818825</v>
      </c>
      <c r="CO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-2.2737367544323206E-13</v>
      </c>
      <c r="CU158" s="17">
        <f>CT158*VLOOKUP('Données projet'!$B$13,Paramètres!$A$1:$I$89,3,0)*VLOOKUP('Données projet'!$B$13,Paramètres!$A$1:$I$89,5,0)</f>
        <v>-2.3055690689943731E-13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622.07867348539082</v>
      </c>
      <c r="CZ158" s="59">
        <f t="shared" si="150"/>
        <v>398.29010684041634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194.9727010223595</v>
      </c>
      <c r="DG158" s="21">
        <f>EXP(-LN(2)/25)*DG157+(1-EXP(-LN(2)/25))/(LN(2)/25)*Calculateur!DB158*Calculateur!DD158*VLOOKUP('Données projet'!$B$13,Paramètres!$A$1:$I$89,3,0)*0.475*44/12</f>
        <v>0</v>
      </c>
      <c r="DH158" s="21">
        <f>EXP(-LN(2)/2)*DH157+(1-EXP(-LN(2)/2))/(LN(2)/2)*DB158*DE158*VLOOKUP('Données projet'!$B$13,Paramètres!$A$1:$I$89,3,0)*0.475*44/12</f>
        <v>0</v>
      </c>
      <c r="DI158" s="22">
        <f t="shared" si="175"/>
        <v>194.9727010223595</v>
      </c>
      <c r="DJ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-2.2737367544323206E-13</v>
      </c>
      <c r="DP158" s="17">
        <f>DO158*VLOOKUP('Données projet'!$B$14,Paramètres!$A$1:$I$89,3,0)*VLOOKUP('Données projet'!$B$14,Paramètres!$A$1:$I$89,5,0)</f>
        <v>-2.1636878955177963E-13</v>
      </c>
      <c r="DQ158" s="13" t="e">
        <f t="shared" si="176"/>
        <v>#NUM!</v>
      </c>
      <c r="DR158" s="20" t="e">
        <f t="shared" si="177"/>
        <v>#NUM!</v>
      </c>
      <c r="DS158" s="59" t="e">
        <f t="shared" si="125"/>
        <v>#NUM!</v>
      </c>
      <c r="DT158" s="59">
        <f ca="1">AVERAGE(OFFSET($DS$3,0,0,'Données projet'!$E$14+1,1))-AVERAGE(OFFSET($H$3,0,0,'Données projet'!$E$14+1,1))</f>
        <v>590.05965493677377</v>
      </c>
      <c r="DU158" s="59">
        <f t="shared" si="152"/>
        <v>378.40640480134505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182.97438095944494</v>
      </c>
      <c r="EB158" s="21">
        <f>EXP(-LN(2)/25)*EB157+(1-EXP(-LN(2)/25))/(LN(2)/25)*Calculateur!DW158*Calculateur!DY158*VLOOKUP('Données projet'!$B$14,Paramètres!$A$1:$I$89,3,0)*0.475*44/12</f>
        <v>0</v>
      </c>
      <c r="EC158" s="21">
        <f>EXP(-LN(2)/2)*EC157+(1-EXP(-LN(2)/2))/(LN(2)/2)*DW158*DZ158*VLOOKUP('Données projet'!$B$14,Paramètres!$A$1:$I$89,3,0)*0.475*44/12</f>
        <v>0</v>
      </c>
      <c r="ED158" s="22">
        <f t="shared" si="178"/>
        <v>182.97438095944494</v>
      </c>
      <c r="EE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67.982331557441398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2">
        <f>'Scénario référence'!$B$16*5+'Scénario référence'!$B$17*0+'Scénario référence'!$B$18*5</f>
        <v>4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14.666666666666666</v>
      </c>
      <c r="H159" s="66">
        <f t="shared" si="110"/>
        <v>159.86666666666667</v>
      </c>
      <c r="I159" s="6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-2.9085640562698246E-14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140.03175887621094</v>
      </c>
      <c r="T159" s="59">
        <f t="shared" si="142"/>
        <v>377.29475975964954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5.8240881018289157</v>
      </c>
      <c r="AA159" s="21">
        <f>EXP(-LN(2)/25)*AA158+(1-EXP(-LN(2)/25))/(LN(2)/25)*Calculateur!V159*Calculateur!X159*VLOOKUP('Données projet'!$B$9,Paramètres!$A$1:$I$89,3,0)*0.475*44/12</f>
        <v>0</v>
      </c>
      <c r="AB159" s="21">
        <f>EXP(-LN(2)/2)*AB158+(1-EXP(-LN(2)/2))/(LN(2)/2)*V159*Y159*VLOOKUP('Données projet'!$B$9,Paramètres!$A$1:$I$89,3,0)*0.475*44/12</f>
        <v>2.6573051846543458E-19</v>
      </c>
      <c r="AC159" s="22">
        <f t="shared" si="163"/>
        <v>5.8240881018289157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-5.6843418860808015E-14</v>
      </c>
      <c r="AJ159" s="13">
        <f>AI159*VLOOKUP('Données projet'!$B$10,Paramètres!$A$1:$I$89,3,0)*VLOOKUP('Données projet'!$B$10,Paramètres!$A$1:$I$89,5,0)</f>
        <v>-2.8642261895583942E-14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138.27364731587764</v>
      </c>
      <c r="AO159" s="59">
        <f t="shared" si="144"/>
        <v>372.50391467700013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5.7353062710083424</v>
      </c>
      <c r="AV159" s="21">
        <f>EXP(-LN(2)/25)*AV158+(1-EXP(-LN(2)/25))/(LN(2)/25)*Calculateur!AQ159*Calculateur!AS159*VLOOKUP('Données projet'!$B$10,Paramètres!$A$1:$I$89,3,0)*0.475*44/12</f>
        <v>0</v>
      </c>
      <c r="AW159" s="21">
        <f>EXP(-LN(2)/2)*AW158+(1-EXP(-LN(2)/2))/(LN(2)/2)*AQ159*AT159*VLOOKUP('Données projet'!$B$10,Paramètres!$A$1:$I$89,3,0)*0.475*44/12</f>
        <v>2.6167974836687587E-19</v>
      </c>
      <c r="AX159" s="21">
        <f t="shared" si="166"/>
        <v>5.7353062710083424</v>
      </c>
      <c r="AY159" s="7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-2.2737367544323206E-13</v>
      </c>
      <c r="BE159" s="13">
        <f>BD159*VLOOKUP('Données projet'!$B$11,Paramètres!$A$1:$I$89,3,0)*VLOOKUP('Données projet'!$B$11,Paramètres!$A$1:$I$89,5,0)</f>
        <v>-2.3765096557326618E-13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638.07304290599211</v>
      </c>
      <c r="BJ159" s="59">
        <f t="shared" si="146"/>
        <v>408.22196233793511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197.03092543928275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197.03092543928275</v>
      </c>
      <c r="BT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-2.2737367544323206E-13</v>
      </c>
      <c r="BZ159" s="13">
        <f>BY159*VLOOKUP('Données projet'!$B$12,Paramètres!$A$1:$I$89,3,0)*VLOOKUP('Données projet'!$B$12,Paramètres!$A$1:$I$89,5,0)</f>
        <v>-2.5893314159475268E-13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685.99951993586967</v>
      </c>
      <c r="CE159" s="59">
        <f t="shared" si="148"/>
        <v>437.98014017823095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214.67548592638261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214.67548592638261</v>
      </c>
      <c r="CO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-2.2737367544323206E-13</v>
      </c>
      <c r="CU159" s="17">
        <f>CT159*VLOOKUP('Données projet'!$B$13,Paramètres!$A$1:$I$89,3,0)*VLOOKUP('Données projet'!$B$13,Paramètres!$A$1:$I$89,5,0)</f>
        <v>-2.3055690689943731E-13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622.07867348539082</v>
      </c>
      <c r="CZ159" s="59">
        <f t="shared" si="150"/>
        <v>398.29010684041634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191.14940527691613</v>
      </c>
      <c r="DG159" s="21">
        <f>EXP(-LN(2)/25)*DG158+(1-EXP(-LN(2)/25))/(LN(2)/25)*Calculateur!DB159*Calculateur!DD159*VLOOKUP('Données projet'!$B$13,Paramètres!$A$1:$I$89,3,0)*0.475*44/12</f>
        <v>0</v>
      </c>
      <c r="DH159" s="21">
        <f>EXP(-LN(2)/2)*DH158+(1-EXP(-LN(2)/2))/(LN(2)/2)*DB159*DE159*VLOOKUP('Données projet'!$B$13,Paramètres!$A$1:$I$89,3,0)*0.475*44/12</f>
        <v>0</v>
      </c>
      <c r="DI159" s="22">
        <f t="shared" si="175"/>
        <v>191.14940527691613</v>
      </c>
      <c r="DJ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-2.2737367544323206E-13</v>
      </c>
      <c r="DP159" s="17">
        <f>DO159*VLOOKUP('Données projet'!$B$14,Paramètres!$A$1:$I$89,3,0)*VLOOKUP('Données projet'!$B$14,Paramètres!$A$1:$I$89,5,0)</f>
        <v>-2.1636878955177963E-13</v>
      </c>
      <c r="DQ159" s="13" t="e">
        <f t="shared" si="176"/>
        <v>#NUM!</v>
      </c>
      <c r="DR159" s="20" t="e">
        <f t="shared" si="177"/>
        <v>#NUM!</v>
      </c>
      <c r="DS159" s="59" t="e">
        <f t="shared" si="125"/>
        <v>#NUM!</v>
      </c>
      <c r="DT159" s="59">
        <f ca="1">AVERAGE(OFFSET($DS$3,0,0,'Données projet'!$E$14+1,1))-AVERAGE(OFFSET($H$3,0,0,'Données projet'!$E$14+1,1))</f>
        <v>590.05965493677377</v>
      </c>
      <c r="DU159" s="59">
        <f t="shared" si="152"/>
        <v>378.40640480134505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179.3863649521827</v>
      </c>
      <c r="EB159" s="21">
        <f>EXP(-LN(2)/25)*EB158+(1-EXP(-LN(2)/25))/(LN(2)/25)*Calculateur!DW159*Calculateur!DY159*VLOOKUP('Données projet'!$B$14,Paramètres!$A$1:$I$89,3,0)*0.475*44/12</f>
        <v>0</v>
      </c>
      <c r="EC159" s="21">
        <f>EXP(-LN(2)/2)*EC158+(1-EXP(-LN(2)/2))/(LN(2)/2)*DW159*DZ159*VLOOKUP('Données projet'!$B$14,Paramètres!$A$1:$I$89,3,0)*0.475*44/12</f>
        <v>0</v>
      </c>
      <c r="ED159" s="22">
        <f t="shared" si="178"/>
        <v>179.3863649521827</v>
      </c>
      <c r="EE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68.017333594088939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2">
        <f>'Scénario référence'!$B$16*5+'Scénario référence'!$B$17*0+'Scénario référence'!$B$18*5</f>
        <v>4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14.666666666666666</v>
      </c>
      <c r="H160" s="66">
        <f t="shared" si="110"/>
        <v>159.86666666666667</v>
      </c>
      <c r="I160" s="6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-2.9085640562698246E-14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140.03175887621094</v>
      </c>
      <c r="T160" s="59">
        <f t="shared" si="142"/>
        <v>377.29475975964954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5.7098812864950279</v>
      </c>
      <c r="AA160" s="21">
        <f>EXP(-LN(2)/25)*AA159+(1-EXP(-LN(2)/25))/(LN(2)/25)*Calculateur!V160*Calculateur!X160*VLOOKUP('Données projet'!$B$9,Paramètres!$A$1:$I$89,3,0)*0.475*44/12</f>
        <v>0</v>
      </c>
      <c r="AB160" s="21">
        <f>EXP(-LN(2)/2)*AB159+(1-EXP(-LN(2)/2))/(LN(2)/2)*V160*Y160*VLOOKUP('Données projet'!$B$9,Paramètres!$A$1:$I$89,3,0)*0.475*44/12</f>
        <v>1.8789985157512588E-19</v>
      </c>
      <c r="AC160" s="22">
        <f t="shared" si="163"/>
        <v>5.7098812864950279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-5.6843418860808015E-14</v>
      </c>
      <c r="AJ160" s="13">
        <f>AI160*VLOOKUP('Données projet'!$B$10,Paramètres!$A$1:$I$89,3,0)*VLOOKUP('Données projet'!$B$10,Paramètres!$A$1:$I$89,5,0)</f>
        <v>-2.8642261895583942E-14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138.27364731587764</v>
      </c>
      <c r="AO160" s="59">
        <f t="shared" si="144"/>
        <v>372.50391467700013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5.6228404132252763</v>
      </c>
      <c r="AV160" s="21">
        <f>EXP(-LN(2)/25)*AV159+(1-EXP(-LN(2)/25))/(LN(2)/25)*Calculateur!AQ160*Calculateur!AS160*VLOOKUP('Données projet'!$B$10,Paramètres!$A$1:$I$89,3,0)*0.475*44/12</f>
        <v>0</v>
      </c>
      <c r="AW160" s="21">
        <f>EXP(-LN(2)/2)*AW159+(1-EXP(-LN(2)/2))/(LN(2)/2)*AQ160*AT160*VLOOKUP('Données projet'!$B$10,Paramètres!$A$1:$I$89,3,0)*0.475*44/12</f>
        <v>1.8503552456940731E-19</v>
      </c>
      <c r="AX160" s="21">
        <f t="shared" si="166"/>
        <v>5.6228404132252763</v>
      </c>
      <c r="AY160" s="7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-2.2737367544323206E-13</v>
      </c>
      <c r="BE160" s="13">
        <f>BD160*VLOOKUP('Données projet'!$B$11,Paramètres!$A$1:$I$89,3,0)*VLOOKUP('Données projet'!$B$11,Paramètres!$A$1:$I$89,5,0)</f>
        <v>-2.3765096557326618E-13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638.07304290599211</v>
      </c>
      <c r="BJ160" s="59">
        <f t="shared" si="146"/>
        <v>408.22196233793511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193.16726916841645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193.16726916841645</v>
      </c>
      <c r="BT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-2.2737367544323206E-13</v>
      </c>
      <c r="BZ160" s="13">
        <f>BY160*VLOOKUP('Données projet'!$B$12,Paramètres!$A$1:$I$89,3,0)*VLOOKUP('Données projet'!$B$12,Paramètres!$A$1:$I$89,5,0)</f>
        <v>-2.5893314159475268E-13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685.99951993586967</v>
      </c>
      <c r="CE160" s="59">
        <f t="shared" si="148"/>
        <v>437.98014017823095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210.46583058648349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210.46583058648349</v>
      </c>
      <c r="CO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-2.2737367544323206E-13</v>
      </c>
      <c r="CU160" s="17">
        <f>CT160*VLOOKUP('Données projet'!$B$13,Paramètres!$A$1:$I$89,3,0)*VLOOKUP('Données projet'!$B$13,Paramètres!$A$1:$I$89,5,0)</f>
        <v>-2.3055690689943731E-13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622.07867348539082</v>
      </c>
      <c r="CZ160" s="59">
        <f t="shared" si="150"/>
        <v>398.29010684041634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187.40108202906075</v>
      </c>
      <c r="DG160" s="21">
        <f>EXP(-LN(2)/25)*DG159+(1-EXP(-LN(2)/25))/(LN(2)/25)*Calculateur!DB160*Calculateur!DD160*VLOOKUP('Données projet'!$B$13,Paramètres!$A$1:$I$89,3,0)*0.475*44/12</f>
        <v>0</v>
      </c>
      <c r="DH160" s="21">
        <f>EXP(-LN(2)/2)*DH159+(1-EXP(-LN(2)/2))/(LN(2)/2)*DB160*DE160*VLOOKUP('Données projet'!$B$13,Paramètres!$A$1:$I$89,3,0)*0.475*44/12</f>
        <v>0</v>
      </c>
      <c r="DI160" s="22">
        <f t="shared" si="175"/>
        <v>187.40108202906075</v>
      </c>
      <c r="DJ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-2.2737367544323206E-13</v>
      </c>
      <c r="DP160" s="17">
        <f>DO160*VLOOKUP('Données projet'!$B$14,Paramètres!$A$1:$I$89,3,0)*VLOOKUP('Données projet'!$B$14,Paramètres!$A$1:$I$89,5,0)</f>
        <v>-2.1636878955177963E-13</v>
      </c>
      <c r="DQ160" s="13" t="e">
        <f t="shared" si="176"/>
        <v>#NUM!</v>
      </c>
      <c r="DR160" s="20" t="e">
        <f t="shared" si="177"/>
        <v>#NUM!</v>
      </c>
      <c r="DS160" s="59" t="e">
        <f t="shared" si="125"/>
        <v>#NUM!</v>
      </c>
      <c r="DT160" s="59">
        <f ca="1">AVERAGE(OFFSET($DS$3,0,0,'Données projet'!$E$14+1,1))-AVERAGE(OFFSET($H$3,0,0,'Données projet'!$E$14+1,1))</f>
        <v>590.05965493677377</v>
      </c>
      <c r="DU160" s="59">
        <f t="shared" si="152"/>
        <v>378.40640480134505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175.86870775034919</v>
      </c>
      <c r="EB160" s="21">
        <f>EXP(-LN(2)/25)*EB159+(1-EXP(-LN(2)/25))/(LN(2)/25)*Calculateur!DW160*Calculateur!DY160*VLOOKUP('Données projet'!$B$14,Paramètres!$A$1:$I$89,3,0)*0.475*44/12</f>
        <v>0</v>
      </c>
      <c r="EC160" s="21">
        <f>EXP(-LN(2)/2)*EC159+(1-EXP(-LN(2)/2))/(LN(2)/2)*DW160*DZ160*VLOOKUP('Données projet'!$B$14,Paramètres!$A$1:$I$89,3,0)*0.475*44/12</f>
        <v>0</v>
      </c>
      <c r="ED160" s="22">
        <f t="shared" si="178"/>
        <v>175.86870775034919</v>
      </c>
      <c r="EE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68.051728423653429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2">
        <f>'Scénario référence'!$B$16*5+'Scénario référence'!$B$17*0+'Scénario référence'!$B$18*5</f>
        <v>4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14.666666666666666</v>
      </c>
      <c r="H161" s="66">
        <f t="shared" si="110"/>
        <v>159.86666666666667</v>
      </c>
      <c r="I161" s="6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-2.9085640562698246E-14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140.03175887621094</v>
      </c>
      <c r="T161" s="59">
        <f t="shared" si="142"/>
        <v>377.29475975964954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5.5979139971505587</v>
      </c>
      <c r="AA161" s="21">
        <f>EXP(-LN(2)/25)*AA160+(1-EXP(-LN(2)/25))/(LN(2)/25)*Calculateur!V161*Calculateur!X161*VLOOKUP('Données projet'!$B$9,Paramètres!$A$1:$I$89,3,0)*0.475*44/12</f>
        <v>0</v>
      </c>
      <c r="AB161" s="21">
        <f>EXP(-LN(2)/2)*AB160+(1-EXP(-LN(2)/2))/(LN(2)/2)*V161*Y161*VLOOKUP('Données projet'!$B$9,Paramètres!$A$1:$I$89,3,0)*0.475*44/12</f>
        <v>1.3286525923271729E-19</v>
      </c>
      <c r="AC161" s="22">
        <f t="shared" si="163"/>
        <v>5.5979139971505587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-5.6843418860808015E-14</v>
      </c>
      <c r="AJ161" s="13">
        <f>AI161*VLOOKUP('Données projet'!$B$10,Paramètres!$A$1:$I$89,3,0)*VLOOKUP('Données projet'!$B$10,Paramètres!$A$1:$I$89,5,0)</f>
        <v>-2.8642261895583942E-14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138.27364731587764</v>
      </c>
      <c r="AO161" s="59">
        <f t="shared" si="144"/>
        <v>372.50391467700013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5.5125799423159361</v>
      </c>
      <c r="AV161" s="21">
        <f>EXP(-LN(2)/25)*AV160+(1-EXP(-LN(2)/25))/(LN(2)/25)*Calculateur!AQ161*Calculateur!AS161*VLOOKUP('Données projet'!$B$10,Paramètres!$A$1:$I$89,3,0)*0.475*44/12</f>
        <v>0</v>
      </c>
      <c r="AW161" s="21">
        <f>EXP(-LN(2)/2)*AW160+(1-EXP(-LN(2)/2))/(LN(2)/2)*AQ161*AT161*VLOOKUP('Données projet'!$B$10,Paramètres!$A$1:$I$89,3,0)*0.475*44/12</f>
        <v>1.3083987418343793E-19</v>
      </c>
      <c r="AX161" s="21">
        <f t="shared" si="166"/>
        <v>5.5125799423159361</v>
      </c>
      <c r="AY161" s="7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-2.2737367544323206E-13</v>
      </c>
      <c r="BE161" s="13">
        <f>BD161*VLOOKUP('Données projet'!$B$11,Paramètres!$A$1:$I$89,3,0)*VLOOKUP('Données projet'!$B$11,Paramètres!$A$1:$I$89,5,0)</f>
        <v>-2.3765096557326618E-13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638.07304290599211</v>
      </c>
      <c r="BJ161" s="59">
        <f t="shared" si="146"/>
        <v>408.22196233793511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189.37937684042421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189.37937684042421</v>
      </c>
      <c r="BT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-2.2737367544323206E-13</v>
      </c>
      <c r="BZ161" s="13">
        <f>BY161*VLOOKUP('Données projet'!$B$12,Paramètres!$A$1:$I$89,3,0)*VLOOKUP('Données projet'!$B$12,Paramètres!$A$1:$I$89,5,0)</f>
        <v>-2.5893314159475268E-13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685.99951993586967</v>
      </c>
      <c r="CE161" s="59">
        <f t="shared" si="148"/>
        <v>437.98014017823095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206.33872402016357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206.33872402016357</v>
      </c>
      <c r="CO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-2.2737367544323206E-13</v>
      </c>
      <c r="CU161" s="17">
        <f>CT161*VLOOKUP('Données projet'!$B$13,Paramètres!$A$1:$I$89,3,0)*VLOOKUP('Données projet'!$B$13,Paramètres!$A$1:$I$89,5,0)</f>
        <v>-2.3055690689943731E-13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622.07867348539082</v>
      </c>
      <c r="CZ161" s="59">
        <f t="shared" si="150"/>
        <v>398.29010684041634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183.72626111384437</v>
      </c>
      <c r="DG161" s="21">
        <f>EXP(-LN(2)/25)*DG160+(1-EXP(-LN(2)/25))/(LN(2)/25)*Calculateur!DB161*Calculateur!DD161*VLOOKUP('Données projet'!$B$13,Paramètres!$A$1:$I$89,3,0)*0.475*44/12</f>
        <v>0</v>
      </c>
      <c r="DH161" s="21">
        <f>EXP(-LN(2)/2)*DH160+(1-EXP(-LN(2)/2))/(LN(2)/2)*DB161*DE161*VLOOKUP('Données projet'!$B$13,Paramètres!$A$1:$I$89,3,0)*0.475*44/12</f>
        <v>0</v>
      </c>
      <c r="DI161" s="22">
        <f t="shared" si="175"/>
        <v>183.72626111384437</v>
      </c>
      <c r="DJ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-2.2737367544323206E-13</v>
      </c>
      <c r="DP161" s="17">
        <f>DO161*VLOOKUP('Données projet'!$B$14,Paramètres!$A$1:$I$89,3,0)*VLOOKUP('Données projet'!$B$14,Paramètres!$A$1:$I$89,5,0)</f>
        <v>-2.1636878955177963E-13</v>
      </c>
      <c r="DQ161" s="13" t="e">
        <f t="shared" si="176"/>
        <v>#NUM!</v>
      </c>
      <c r="DR161" s="20" t="e">
        <f t="shared" si="177"/>
        <v>#NUM!</v>
      </c>
      <c r="DS161" s="59" t="e">
        <f t="shared" si="125"/>
        <v>#NUM!</v>
      </c>
      <c r="DT161" s="59">
        <f ca="1">AVERAGE(OFFSET($DS$3,0,0,'Données projet'!$E$14+1,1))-AVERAGE(OFFSET($H$3,0,0,'Données projet'!$E$14+1,1))</f>
        <v>590.05965493677377</v>
      </c>
      <c r="DU161" s="59">
        <f t="shared" si="152"/>
        <v>378.40640480134505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172.42002966068461</v>
      </c>
      <c r="EB161" s="21">
        <f>EXP(-LN(2)/25)*EB160+(1-EXP(-LN(2)/25))/(LN(2)/25)*Calculateur!DW161*Calculateur!DY161*VLOOKUP('Données projet'!$B$14,Paramètres!$A$1:$I$89,3,0)*0.475*44/12</f>
        <v>0</v>
      </c>
      <c r="EC161" s="21">
        <f>EXP(-LN(2)/2)*EC160+(1-EXP(-LN(2)/2))/(LN(2)/2)*DW161*DZ161*VLOOKUP('Données projet'!$B$14,Paramètres!$A$1:$I$89,3,0)*0.475*44/12</f>
        <v>0</v>
      </c>
      <c r="ED161" s="22">
        <f t="shared" si="178"/>
        <v>172.42002966068461</v>
      </c>
      <c r="EE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68.085526579820339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2">
        <f>'Scénario référence'!$B$16*5+'Scénario référence'!$B$17*0+'Scénario référence'!$B$18*5</f>
        <v>4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14.666666666666666</v>
      </c>
      <c r="H162" s="66">
        <f t="shared" si="110"/>
        <v>159.86666666666667</v>
      </c>
      <c r="I162" s="6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-2.9085640562698246E-14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140.03175887621094</v>
      </c>
      <c r="T162" s="59">
        <f t="shared" si="142"/>
        <v>377.29475975964954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5.4881423180568314</v>
      </c>
      <c r="AA162" s="21">
        <f>EXP(-LN(2)/25)*AA161+(1-EXP(-LN(2)/25))/(LN(2)/25)*Calculateur!V162*Calculateur!X162*VLOOKUP('Données projet'!$B$9,Paramètres!$A$1:$I$89,3,0)*0.475*44/12</f>
        <v>0</v>
      </c>
      <c r="AB162" s="21">
        <f>EXP(-LN(2)/2)*AB161+(1-EXP(-LN(2)/2))/(LN(2)/2)*V162*Y162*VLOOKUP('Données projet'!$B$9,Paramètres!$A$1:$I$89,3,0)*0.475*44/12</f>
        <v>9.3949925787562941E-20</v>
      </c>
      <c r="AC162" s="22">
        <f t="shared" si="163"/>
        <v>5.4881423180568314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-5.6843418860808015E-14</v>
      </c>
      <c r="AJ162" s="13">
        <f>AI162*VLOOKUP('Données projet'!$B$10,Paramètres!$A$1:$I$89,3,0)*VLOOKUP('Données projet'!$B$10,Paramètres!$A$1:$I$89,5,0)</f>
        <v>-2.8642261895583942E-14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138.27364731587764</v>
      </c>
      <c r="AO162" s="59">
        <f t="shared" si="144"/>
        <v>372.50391467700013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5.4044816119888814</v>
      </c>
      <c r="AV162" s="21">
        <f>EXP(-LN(2)/25)*AV161+(1-EXP(-LN(2)/25))/(LN(2)/25)*Calculateur!AQ162*Calculateur!AS162*VLOOKUP('Données projet'!$B$10,Paramètres!$A$1:$I$89,3,0)*0.475*44/12</f>
        <v>0</v>
      </c>
      <c r="AW162" s="21">
        <f>EXP(-LN(2)/2)*AW161+(1-EXP(-LN(2)/2))/(LN(2)/2)*AQ162*AT162*VLOOKUP('Données projet'!$B$10,Paramètres!$A$1:$I$89,3,0)*0.475*44/12</f>
        <v>9.2517762284703656E-20</v>
      </c>
      <c r="AX162" s="21">
        <f t="shared" si="166"/>
        <v>5.4044816119888814</v>
      </c>
      <c r="AY162" s="7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-2.2737367544323206E-13</v>
      </c>
      <c r="BE162" s="13">
        <f>BD162*VLOOKUP('Données projet'!$B$11,Paramètres!$A$1:$I$89,3,0)*VLOOKUP('Données projet'!$B$11,Paramètres!$A$1:$I$89,5,0)</f>
        <v>-2.3765096557326618E-13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638.07304290599211</v>
      </c>
      <c r="BJ162" s="59">
        <f t="shared" si="146"/>
        <v>408.22196233793511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185.66576277059769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185.66576277059769</v>
      </c>
      <c r="BT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-2.2737367544323206E-13</v>
      </c>
      <c r="BZ162" s="13">
        <f>BY162*VLOOKUP('Données projet'!$B$12,Paramètres!$A$1:$I$89,3,0)*VLOOKUP('Données projet'!$B$12,Paramètres!$A$1:$I$89,5,0)</f>
        <v>-2.5893314159475268E-13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685.99951993586967</v>
      </c>
      <c r="CE162" s="59">
        <f t="shared" si="148"/>
        <v>437.98014017823095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202.29254749632275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202.29254749632275</v>
      </c>
      <c r="CO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-2.2737367544323206E-13</v>
      </c>
      <c r="CU162" s="17">
        <f>CT162*VLOOKUP('Données projet'!$B$13,Paramètres!$A$1:$I$89,3,0)*VLOOKUP('Données projet'!$B$13,Paramètres!$A$1:$I$89,5,0)</f>
        <v>-2.3055690689943731E-13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622.07867348539082</v>
      </c>
      <c r="CZ162" s="59">
        <f t="shared" si="150"/>
        <v>398.29010684041634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180.12350119535597</v>
      </c>
      <c r="DG162" s="21">
        <f>EXP(-LN(2)/25)*DG161+(1-EXP(-LN(2)/25))/(LN(2)/25)*Calculateur!DB162*Calculateur!DD162*VLOOKUP('Données projet'!$B$13,Paramètres!$A$1:$I$89,3,0)*0.475*44/12</f>
        <v>0</v>
      </c>
      <c r="DH162" s="21">
        <f>EXP(-LN(2)/2)*DH161+(1-EXP(-LN(2)/2))/(LN(2)/2)*DB162*DE162*VLOOKUP('Données projet'!$B$13,Paramètres!$A$1:$I$89,3,0)*0.475*44/12</f>
        <v>0</v>
      </c>
      <c r="DI162" s="22">
        <f t="shared" si="175"/>
        <v>180.12350119535597</v>
      </c>
      <c r="DJ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-2.2737367544323206E-13</v>
      </c>
      <c r="DP162" s="17">
        <f>DO162*VLOOKUP('Données projet'!$B$14,Paramètres!$A$1:$I$89,3,0)*VLOOKUP('Données projet'!$B$14,Paramètres!$A$1:$I$89,5,0)</f>
        <v>-2.1636878955177963E-13</v>
      </c>
      <c r="DQ162" s="13" t="e">
        <f t="shared" si="176"/>
        <v>#NUM!</v>
      </c>
      <c r="DR162" s="20" t="e">
        <f t="shared" si="177"/>
        <v>#NUM!</v>
      </c>
      <c r="DS162" s="59" t="e">
        <f t="shared" si="125"/>
        <v>#NUM!</v>
      </c>
      <c r="DT162" s="59">
        <f ca="1">AVERAGE(OFFSET($DS$3,0,0,'Données projet'!$E$14+1,1))-AVERAGE(OFFSET($H$3,0,0,'Données projet'!$E$14+1,1))</f>
        <v>590.05965493677377</v>
      </c>
      <c r="DU162" s="59">
        <f t="shared" si="152"/>
        <v>378.40640480134505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169.03897804487241</v>
      </c>
      <c r="EB162" s="21">
        <f>EXP(-LN(2)/25)*EB161+(1-EXP(-LN(2)/25))/(LN(2)/25)*Calculateur!DW162*Calculateur!DY162*VLOOKUP('Données projet'!$B$14,Paramètres!$A$1:$I$89,3,0)*0.475*44/12</f>
        <v>0</v>
      </c>
      <c r="EC162" s="21">
        <f>EXP(-LN(2)/2)*EC161+(1-EXP(-LN(2)/2))/(LN(2)/2)*DW162*DZ162*VLOOKUP('Données projet'!$B$14,Paramètres!$A$1:$I$89,3,0)*0.475*44/12</f>
        <v>0</v>
      </c>
      <c r="ED162" s="22">
        <f t="shared" si="178"/>
        <v>169.03897804487241</v>
      </c>
      <c r="EE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68.11873841353912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2">
        <f>'Scénario référence'!$B$16*5+'Scénario référence'!$B$17*0+'Scénario référence'!$B$18*5</f>
        <v>4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14.666666666666666</v>
      </c>
      <c r="H163" s="66">
        <f t="shared" si="110"/>
        <v>159.86666666666667</v>
      </c>
      <c r="I163" s="6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-2.9085640562698246E-14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140.03175887621094</v>
      </c>
      <c r="T163" s="59">
        <f t="shared" si="142"/>
        <v>377.29475975964954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5.3805231946360195</v>
      </c>
      <c r="AA163" s="21">
        <f>EXP(-LN(2)/25)*AA162+(1-EXP(-LN(2)/25))/(LN(2)/25)*Calculateur!V163*Calculateur!X163*VLOOKUP('Données projet'!$B$9,Paramètres!$A$1:$I$89,3,0)*0.475*44/12</f>
        <v>0</v>
      </c>
      <c r="AB163" s="21">
        <f>EXP(-LN(2)/2)*AB162+(1-EXP(-LN(2)/2))/(LN(2)/2)*V163*Y163*VLOOKUP('Données projet'!$B$9,Paramètres!$A$1:$I$89,3,0)*0.475*44/12</f>
        <v>6.6432629616358646E-20</v>
      </c>
      <c r="AC163" s="22">
        <f t="shared" si="163"/>
        <v>5.3805231946360195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-5.6843418860808015E-14</v>
      </c>
      <c r="AJ163" s="13">
        <f>AI163*VLOOKUP('Données projet'!$B$10,Paramètres!$A$1:$I$89,3,0)*VLOOKUP('Données projet'!$B$10,Paramètres!$A$1:$I$89,5,0)</f>
        <v>-2.8642261895583942E-14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138.27364731587764</v>
      </c>
      <c r="AO163" s="59">
        <f t="shared" si="144"/>
        <v>372.50391467700013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5.2985030239860693</v>
      </c>
      <c r="AV163" s="21">
        <f>EXP(-LN(2)/25)*AV162+(1-EXP(-LN(2)/25))/(LN(2)/25)*Calculateur!AQ163*Calculateur!AS163*VLOOKUP('Données projet'!$B$10,Paramètres!$A$1:$I$89,3,0)*0.475*44/12</f>
        <v>0</v>
      </c>
      <c r="AW163" s="21">
        <f>EXP(-LN(2)/2)*AW162+(1-EXP(-LN(2)/2))/(LN(2)/2)*AQ163*AT163*VLOOKUP('Données projet'!$B$10,Paramètres!$A$1:$I$89,3,0)*0.475*44/12</f>
        <v>6.5419937091718967E-20</v>
      </c>
      <c r="AX163" s="21">
        <f t="shared" si="166"/>
        <v>5.2985030239860693</v>
      </c>
      <c r="AY163" s="7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-2.2737367544323206E-13</v>
      </c>
      <c r="BE163" s="13">
        <f>BD163*VLOOKUP('Données projet'!$B$11,Paramètres!$A$1:$I$89,3,0)*VLOOKUP('Données projet'!$B$11,Paramètres!$A$1:$I$89,5,0)</f>
        <v>-2.3765096557326618E-13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638.07304290599211</v>
      </c>
      <c r="BJ163" s="59">
        <f t="shared" si="146"/>
        <v>408.22196233793511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182.02497040759957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182.02497040759957</v>
      </c>
      <c r="BT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-2.2737367544323206E-13</v>
      </c>
      <c r="BZ163" s="13">
        <f>BY163*VLOOKUP('Données projet'!$B$12,Paramètres!$A$1:$I$89,3,0)*VLOOKUP('Données projet'!$B$12,Paramètres!$A$1:$I$89,5,0)</f>
        <v>-2.5893314159475268E-13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685.99951993586967</v>
      </c>
      <c r="CE163" s="59">
        <f t="shared" si="148"/>
        <v>437.98014017823095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198.32571402619047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198.32571402619047</v>
      </c>
      <c r="CO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-2.2737367544323206E-13</v>
      </c>
      <c r="CU163" s="17">
        <f>CT163*VLOOKUP('Données projet'!$B$13,Paramètres!$A$1:$I$89,3,0)*VLOOKUP('Données projet'!$B$13,Paramètres!$A$1:$I$89,5,0)</f>
        <v>-2.3055690689943731E-13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622.07867348539082</v>
      </c>
      <c r="CZ163" s="59">
        <f t="shared" si="150"/>
        <v>398.29010684041634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176.59138920140256</v>
      </c>
      <c r="DG163" s="21">
        <f>EXP(-LN(2)/25)*DG162+(1-EXP(-LN(2)/25))/(LN(2)/25)*Calculateur!DB163*Calculateur!DD163*VLOOKUP('Données projet'!$B$13,Paramètres!$A$1:$I$89,3,0)*0.475*44/12</f>
        <v>0</v>
      </c>
      <c r="DH163" s="21">
        <f>EXP(-LN(2)/2)*DH162+(1-EXP(-LN(2)/2))/(LN(2)/2)*DB163*DE163*VLOOKUP('Données projet'!$B$13,Paramètres!$A$1:$I$89,3,0)*0.475*44/12</f>
        <v>0</v>
      </c>
      <c r="DI163" s="22">
        <f t="shared" si="175"/>
        <v>176.59138920140256</v>
      </c>
      <c r="DJ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-2.2737367544323206E-13</v>
      </c>
      <c r="DP163" s="17">
        <f>DO163*VLOOKUP('Données projet'!$B$14,Paramètres!$A$1:$I$89,3,0)*VLOOKUP('Données projet'!$B$14,Paramètres!$A$1:$I$89,5,0)</f>
        <v>-2.1636878955177963E-13</v>
      </c>
      <c r="DQ163" s="13" t="e">
        <f t="shared" si="176"/>
        <v>#NUM!</v>
      </c>
      <c r="DR163" s="20" t="e">
        <f t="shared" si="177"/>
        <v>#NUM!</v>
      </c>
      <c r="DS163" s="59" t="e">
        <f t="shared" si="125"/>
        <v>#NUM!</v>
      </c>
      <c r="DT163" s="59">
        <f ca="1">AVERAGE(OFFSET($DS$3,0,0,'Données projet'!$E$14+1,1))-AVERAGE(OFFSET($H$3,0,0,'Données projet'!$E$14+1,1))</f>
        <v>590.05965493677377</v>
      </c>
      <c r="DU163" s="59">
        <f t="shared" si="152"/>
        <v>378.40640480134505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165.72422678900844</v>
      </c>
      <c r="EB163" s="21">
        <f>EXP(-LN(2)/25)*EB162+(1-EXP(-LN(2)/25))/(LN(2)/25)*Calculateur!DW163*Calculateur!DY163*VLOOKUP('Données projet'!$B$14,Paramètres!$A$1:$I$89,3,0)*0.475*44/12</f>
        <v>0</v>
      </c>
      <c r="EC163" s="21">
        <f>EXP(-LN(2)/2)*EC162+(1-EXP(-LN(2)/2))/(LN(2)/2)*DW163*DZ163*VLOOKUP('Données projet'!$B$14,Paramètres!$A$1:$I$89,3,0)*0.475*44/12</f>
        <v>0</v>
      </c>
      <c r="ED163" s="22">
        <f t="shared" si="178"/>
        <v>165.72422678900844</v>
      </c>
      <c r="EE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68.151374096193379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2">
        <f>'Scénario référence'!$B$16*5+'Scénario référence'!$B$17*0+'Scénario référence'!$B$18*5</f>
        <v>4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14.666666666666666</v>
      </c>
      <c r="H164" s="66">
        <f t="shared" si="110"/>
        <v>159.86666666666667</v>
      </c>
      <c r="I164" s="6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-2.9085640562698246E-14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140.03175887621094</v>
      </c>
      <c r="T164" s="59">
        <f t="shared" si="142"/>
        <v>377.29475975964954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5.2750144165843054</v>
      </c>
      <c r="AA164" s="21">
        <f>EXP(-LN(2)/25)*AA163+(1-EXP(-LN(2)/25))/(LN(2)/25)*Calculateur!V164*Calculateur!X164*VLOOKUP('Données projet'!$B$9,Paramètres!$A$1:$I$89,3,0)*0.475*44/12</f>
        <v>0</v>
      </c>
      <c r="AB164" s="21">
        <f>EXP(-LN(2)/2)*AB163+(1-EXP(-LN(2)/2))/(LN(2)/2)*V164*Y164*VLOOKUP('Données projet'!$B$9,Paramètres!$A$1:$I$89,3,0)*0.475*44/12</f>
        <v>4.697496289378147E-20</v>
      </c>
      <c r="AC164" s="22">
        <f t="shared" si="163"/>
        <v>5.2750144165843054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-5.6843418860808015E-14</v>
      </c>
      <c r="AJ164" s="13">
        <f>AI164*VLOOKUP('Données projet'!$B$10,Paramètres!$A$1:$I$89,3,0)*VLOOKUP('Données projet'!$B$10,Paramètres!$A$1:$I$89,5,0)</f>
        <v>-2.8642261895583942E-14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138.27364731587764</v>
      </c>
      <c r="AO164" s="59">
        <f t="shared" si="144"/>
        <v>372.50391467700013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5.1946026114534369</v>
      </c>
      <c r="AV164" s="21">
        <f>EXP(-LN(2)/25)*AV163+(1-EXP(-LN(2)/25))/(LN(2)/25)*Calculateur!AQ164*Calculateur!AS164*VLOOKUP('Données projet'!$B$10,Paramètres!$A$1:$I$89,3,0)*0.475*44/12</f>
        <v>0</v>
      </c>
      <c r="AW164" s="21">
        <f>EXP(-LN(2)/2)*AW163+(1-EXP(-LN(2)/2))/(LN(2)/2)*AQ164*AT164*VLOOKUP('Données projet'!$B$10,Paramètres!$A$1:$I$89,3,0)*0.475*44/12</f>
        <v>4.6258881142351828E-20</v>
      </c>
      <c r="AX164" s="21">
        <f t="shared" si="166"/>
        <v>5.1946026114534369</v>
      </c>
      <c r="AY164" s="7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-2.2737367544323206E-13</v>
      </c>
      <c r="BE164" s="13">
        <f>BD164*VLOOKUP('Données projet'!$B$11,Paramètres!$A$1:$I$89,3,0)*VLOOKUP('Données projet'!$B$11,Paramètres!$A$1:$I$89,5,0)</f>
        <v>-2.3765096557326618E-13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638.07304290599211</v>
      </c>
      <c r="BJ164" s="59">
        <f t="shared" si="146"/>
        <v>408.22196233793511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178.45557176217577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178.45557176217577</v>
      </c>
      <c r="BT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-2.2737367544323206E-13</v>
      </c>
      <c r="BZ164" s="13">
        <f>BY164*VLOOKUP('Données projet'!$B$12,Paramètres!$A$1:$I$89,3,0)*VLOOKUP('Données projet'!$B$12,Paramètres!$A$1:$I$89,5,0)</f>
        <v>-2.5893314159475268E-13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685.99951993586967</v>
      </c>
      <c r="CE164" s="59">
        <f t="shared" si="148"/>
        <v>437.98014017823095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194.43666774087797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194.43666774087797</v>
      </c>
      <c r="CO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-2.2737367544323206E-13</v>
      </c>
      <c r="CU164" s="17">
        <f>CT164*VLOOKUP('Données projet'!$B$13,Paramètres!$A$1:$I$89,3,0)*VLOOKUP('Données projet'!$B$13,Paramètres!$A$1:$I$89,5,0)</f>
        <v>-2.3055690689943731E-13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622.07867348539082</v>
      </c>
      <c r="CZ164" s="59">
        <f t="shared" si="150"/>
        <v>398.29010684041634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173.12853976927499</v>
      </c>
      <c r="DG164" s="21">
        <f>EXP(-LN(2)/25)*DG163+(1-EXP(-LN(2)/25))/(LN(2)/25)*Calculateur!DB164*Calculateur!DD164*VLOOKUP('Données projet'!$B$13,Paramètres!$A$1:$I$89,3,0)*0.475*44/12</f>
        <v>0</v>
      </c>
      <c r="DH164" s="21">
        <f>EXP(-LN(2)/2)*DH163+(1-EXP(-LN(2)/2))/(LN(2)/2)*DB164*DE164*VLOOKUP('Données projet'!$B$13,Paramètres!$A$1:$I$89,3,0)*0.475*44/12</f>
        <v>0</v>
      </c>
      <c r="DI164" s="22">
        <f t="shared" si="175"/>
        <v>173.12853976927499</v>
      </c>
      <c r="DJ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-2.2737367544323206E-13</v>
      </c>
      <c r="DP164" s="17">
        <f>DO164*VLOOKUP('Données projet'!$B$14,Paramètres!$A$1:$I$89,3,0)*VLOOKUP('Données projet'!$B$14,Paramètres!$A$1:$I$89,5,0)</f>
        <v>-2.1636878955177963E-13</v>
      </c>
      <c r="DQ164" s="13" t="e">
        <f t="shared" si="176"/>
        <v>#NUM!</v>
      </c>
      <c r="DR164" s="20" t="e">
        <f t="shared" si="177"/>
        <v>#NUM!</v>
      </c>
      <c r="DS164" s="59" t="e">
        <f t="shared" si="125"/>
        <v>#NUM!</v>
      </c>
      <c r="DT164" s="59">
        <f ca="1">AVERAGE(OFFSET($DS$3,0,0,'Données projet'!$E$14+1,1))-AVERAGE(OFFSET($H$3,0,0,'Données projet'!$E$14+1,1))</f>
        <v>590.05965493677377</v>
      </c>
      <c r="DU164" s="59">
        <f t="shared" si="152"/>
        <v>378.40640480134505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162.47447578347334</v>
      </c>
      <c r="EB164" s="21">
        <f>EXP(-LN(2)/25)*EB163+(1-EXP(-LN(2)/25))/(LN(2)/25)*Calculateur!DW164*Calculateur!DY164*VLOOKUP('Données projet'!$B$14,Paramètres!$A$1:$I$89,3,0)*0.475*44/12</f>
        <v>0</v>
      </c>
      <c r="EC164" s="21">
        <f>EXP(-LN(2)/2)*EC163+(1-EXP(-LN(2)/2))/(LN(2)/2)*DW164*DZ164*VLOOKUP('Données projet'!$B$14,Paramètres!$A$1:$I$89,3,0)*0.475*44/12</f>
        <v>0</v>
      </c>
      <c r="ED164" s="22">
        <f t="shared" si="178"/>
        <v>162.47447578347334</v>
      </c>
      <c r="EE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68.183443622716055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2">
        <f>'Scénario référence'!$B$16*5+'Scénario référence'!$B$17*0+'Scénario référence'!$B$18*5</f>
        <v>4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14.666666666666666</v>
      </c>
      <c r="H165" s="66">
        <f t="shared" si="110"/>
        <v>159.86666666666667</v>
      </c>
      <c r="I165" s="6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-2.9085640562698246E-14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140.03175887621094</v>
      </c>
      <c r="T165" s="59">
        <f t="shared" si="142"/>
        <v>377.29475975964954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5.171574601316185</v>
      </c>
      <c r="AA165" s="21">
        <f>EXP(-LN(2)/25)*AA164+(1-EXP(-LN(2)/25))/(LN(2)/25)*Calculateur!V165*Calculateur!X165*VLOOKUP('Données projet'!$B$9,Paramètres!$A$1:$I$89,3,0)*0.475*44/12</f>
        <v>0</v>
      </c>
      <c r="AB165" s="21">
        <f>EXP(-LN(2)/2)*AB164+(1-EXP(-LN(2)/2))/(LN(2)/2)*V165*Y165*VLOOKUP('Données projet'!$B$9,Paramètres!$A$1:$I$89,3,0)*0.475*44/12</f>
        <v>3.3216314808179323E-20</v>
      </c>
      <c r="AC165" s="22">
        <f t="shared" si="163"/>
        <v>5.171574601316185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-5.6843418860808015E-14</v>
      </c>
      <c r="AJ165" s="13">
        <f>AI165*VLOOKUP('Données projet'!$B$10,Paramètres!$A$1:$I$89,3,0)*VLOOKUP('Données projet'!$B$10,Paramètres!$A$1:$I$89,5,0)</f>
        <v>-2.8642261895583942E-14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138.27364731587764</v>
      </c>
      <c r="AO165" s="59">
        <f t="shared" si="144"/>
        <v>372.50391467700013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5.0927396226375752</v>
      </c>
      <c r="AV165" s="21">
        <f>EXP(-LN(2)/25)*AV164+(1-EXP(-LN(2)/25))/(LN(2)/25)*Calculateur!AQ165*Calculateur!AS165*VLOOKUP('Données projet'!$B$10,Paramètres!$A$1:$I$89,3,0)*0.475*44/12</f>
        <v>0</v>
      </c>
      <c r="AW165" s="21">
        <f>EXP(-LN(2)/2)*AW164+(1-EXP(-LN(2)/2))/(LN(2)/2)*AQ165*AT165*VLOOKUP('Données projet'!$B$10,Paramètres!$A$1:$I$89,3,0)*0.475*44/12</f>
        <v>3.2709968545859483E-20</v>
      </c>
      <c r="AX165" s="21">
        <f t="shared" si="166"/>
        <v>5.0927396226375752</v>
      </c>
      <c r="AY165" s="7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-2.2737367544323206E-13</v>
      </c>
      <c r="BE165" s="13">
        <f>BD165*VLOOKUP('Données projet'!$B$11,Paramètres!$A$1:$I$89,3,0)*VLOOKUP('Données projet'!$B$11,Paramètres!$A$1:$I$89,5,0)</f>
        <v>-2.3765096557326618E-13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638.07304290599211</v>
      </c>
      <c r="BJ165" s="59">
        <f t="shared" si="146"/>
        <v>408.22196233793511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174.95616684707051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174.95616684707051</v>
      </c>
      <c r="BT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-2.2737367544323206E-13</v>
      </c>
      <c r="BZ165" s="13">
        <f>BY165*VLOOKUP('Données projet'!$B$12,Paramètres!$A$1:$I$89,3,0)*VLOOKUP('Données projet'!$B$12,Paramètres!$A$1:$I$89,5,0)</f>
        <v>-2.5893314159475268E-13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685.99951993586967</v>
      </c>
      <c r="CE165" s="59">
        <f t="shared" si="148"/>
        <v>437.98014017823095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190.62388328113641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190.62388328113641</v>
      </c>
      <c r="CO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-2.2737367544323206E-13</v>
      </c>
      <c r="CU165" s="17">
        <f>CT165*VLOOKUP('Données projet'!$B$13,Paramètres!$A$1:$I$89,3,0)*VLOOKUP('Données projet'!$B$13,Paramètres!$A$1:$I$89,5,0)</f>
        <v>-2.3055690689943731E-13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622.07867348539082</v>
      </c>
      <c r="CZ165" s="59">
        <f t="shared" si="150"/>
        <v>398.29010684041634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169.73359470238182</v>
      </c>
      <c r="DG165" s="21">
        <f>EXP(-LN(2)/25)*DG164+(1-EXP(-LN(2)/25))/(LN(2)/25)*Calculateur!DB165*Calculateur!DD165*VLOOKUP('Données projet'!$B$13,Paramètres!$A$1:$I$89,3,0)*0.475*44/12</f>
        <v>0</v>
      </c>
      <c r="DH165" s="21">
        <f>EXP(-LN(2)/2)*DH164+(1-EXP(-LN(2)/2))/(LN(2)/2)*DB165*DE165*VLOOKUP('Données projet'!$B$13,Paramètres!$A$1:$I$89,3,0)*0.475*44/12</f>
        <v>0</v>
      </c>
      <c r="DI165" s="22">
        <f t="shared" si="175"/>
        <v>169.73359470238182</v>
      </c>
      <c r="DJ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-2.2737367544323206E-13</v>
      </c>
      <c r="DP165" s="17">
        <f>DO165*VLOOKUP('Données projet'!$B$14,Paramètres!$A$1:$I$89,3,0)*VLOOKUP('Données projet'!$B$14,Paramètres!$A$1:$I$89,5,0)</f>
        <v>-2.1636878955177963E-13</v>
      </c>
      <c r="DQ165" s="13" t="e">
        <f t="shared" si="176"/>
        <v>#NUM!</v>
      </c>
      <c r="DR165" s="20" t="e">
        <f t="shared" si="177"/>
        <v>#NUM!</v>
      </c>
      <c r="DS165" s="59" t="e">
        <f t="shared" si="125"/>
        <v>#NUM!</v>
      </c>
      <c r="DT165" s="59">
        <f ca="1">AVERAGE(OFFSET($DS$3,0,0,'Données projet'!$E$14+1,1))-AVERAGE(OFFSET($H$3,0,0,'Données projet'!$E$14+1,1))</f>
        <v>590.05965493677377</v>
      </c>
      <c r="DU165" s="59">
        <f t="shared" si="152"/>
        <v>378.40640480134505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159.28845041300437</v>
      </c>
      <c r="EB165" s="21">
        <f>EXP(-LN(2)/25)*EB164+(1-EXP(-LN(2)/25))/(LN(2)/25)*Calculateur!DW165*Calculateur!DY165*VLOOKUP('Données projet'!$B$14,Paramètres!$A$1:$I$89,3,0)*0.475*44/12</f>
        <v>0</v>
      </c>
      <c r="EC165" s="21">
        <f>EXP(-LN(2)/2)*EC164+(1-EXP(-LN(2)/2))/(LN(2)/2)*DW165*DZ165*VLOOKUP('Données projet'!$B$14,Paramètres!$A$1:$I$89,3,0)*0.475*44/12</f>
        <v>0</v>
      </c>
      <c r="ED165" s="22">
        <f t="shared" si="178"/>
        <v>159.28845041300437</v>
      </c>
      <c r="EE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68.214956814650293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2">
        <f>'Scénario référence'!$B$16*5+'Scénario référence'!$B$17*0+'Scénario référence'!$B$18*5</f>
        <v>4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14.666666666666666</v>
      </c>
      <c r="H166" s="66">
        <f t="shared" si="110"/>
        <v>159.86666666666667</v>
      </c>
      <c r="I166" s="6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-2.9085640562698246E-14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140.03175887621094</v>
      </c>
      <c r="T166" s="59">
        <f t="shared" si="142"/>
        <v>377.29475975964954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5.0701631777334155</v>
      </c>
      <c r="AA166" s="21">
        <f>EXP(-LN(2)/25)*AA165+(1-EXP(-LN(2)/25))/(LN(2)/25)*Calculateur!V166*Calculateur!X166*VLOOKUP('Données projet'!$B$9,Paramètres!$A$1:$I$89,3,0)*0.475*44/12</f>
        <v>0</v>
      </c>
      <c r="AB166" s="21">
        <f>EXP(-LN(2)/2)*AB165+(1-EXP(-LN(2)/2))/(LN(2)/2)*V166*Y166*VLOOKUP('Données projet'!$B$9,Paramètres!$A$1:$I$89,3,0)*0.475*44/12</f>
        <v>2.3487481446890735E-20</v>
      </c>
      <c r="AC166" s="22">
        <f t="shared" si="163"/>
        <v>5.0701631777334155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-5.6843418860808015E-14</v>
      </c>
      <c r="AJ166" s="13">
        <f>AI166*VLOOKUP('Données projet'!$B$10,Paramètres!$A$1:$I$89,3,0)*VLOOKUP('Données projet'!$B$10,Paramètres!$A$1:$I$89,5,0)</f>
        <v>-2.8642261895583942E-14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138.27364731587764</v>
      </c>
      <c r="AO166" s="59">
        <f t="shared" si="144"/>
        <v>372.50391467700013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4.9928741049021044</v>
      </c>
      <c r="AV166" s="21">
        <f>EXP(-LN(2)/25)*AV165+(1-EXP(-LN(2)/25))/(LN(2)/25)*Calculateur!AQ166*Calculateur!AS166*VLOOKUP('Données projet'!$B$10,Paramètres!$A$1:$I$89,3,0)*0.475*44/12</f>
        <v>0</v>
      </c>
      <c r="AW166" s="21">
        <f>EXP(-LN(2)/2)*AW165+(1-EXP(-LN(2)/2))/(LN(2)/2)*AQ166*AT166*VLOOKUP('Données projet'!$B$10,Paramètres!$A$1:$I$89,3,0)*0.475*44/12</f>
        <v>2.3129440571175914E-20</v>
      </c>
      <c r="AX166" s="21">
        <f t="shared" si="166"/>
        <v>4.9928741049021044</v>
      </c>
      <c r="AY166" s="7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-2.2737367544323206E-13</v>
      </c>
      <c r="BE166" s="13">
        <f>BD166*VLOOKUP('Données projet'!$B$11,Paramètres!$A$1:$I$89,3,0)*VLOOKUP('Données projet'!$B$11,Paramètres!$A$1:$I$89,5,0)</f>
        <v>-2.3765096557326618E-13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638.07304290599211</v>
      </c>
      <c r="BJ166" s="59">
        <f t="shared" si="146"/>
        <v>408.22196233793511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171.52538312792421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171.52538312792421</v>
      </c>
      <c r="BT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-2.2737367544323206E-13</v>
      </c>
      <c r="BZ166" s="13">
        <f>BY166*VLOOKUP('Données projet'!$B$12,Paramètres!$A$1:$I$89,3,0)*VLOOKUP('Données projet'!$B$12,Paramètres!$A$1:$I$89,5,0)</f>
        <v>-2.5893314159475268E-13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685.99951993586967</v>
      </c>
      <c r="CE166" s="59">
        <f t="shared" si="148"/>
        <v>437.98014017823095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186.88586519908151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186.88586519908151</v>
      </c>
      <c r="CO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-2.2737367544323206E-13</v>
      </c>
      <c r="CU166" s="17">
        <f>CT166*VLOOKUP('Données projet'!$B$13,Paramètres!$A$1:$I$89,3,0)*VLOOKUP('Données projet'!$B$13,Paramètres!$A$1:$I$89,5,0)</f>
        <v>-2.3055690689943731E-13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622.07867348539082</v>
      </c>
      <c r="CZ166" s="59">
        <f t="shared" si="150"/>
        <v>398.29010684041634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166.40522243753841</v>
      </c>
      <c r="DG166" s="21">
        <f>EXP(-LN(2)/25)*DG165+(1-EXP(-LN(2)/25))/(LN(2)/25)*Calculateur!DB166*Calculateur!DD166*VLOOKUP('Données projet'!$B$13,Paramètres!$A$1:$I$89,3,0)*0.475*44/12</f>
        <v>0</v>
      </c>
      <c r="DH166" s="21">
        <f>EXP(-LN(2)/2)*DH165+(1-EXP(-LN(2)/2))/(LN(2)/2)*DB166*DE166*VLOOKUP('Données projet'!$B$13,Paramètres!$A$1:$I$89,3,0)*0.475*44/12</f>
        <v>0</v>
      </c>
      <c r="DI166" s="22">
        <f t="shared" si="175"/>
        <v>166.40522243753841</v>
      </c>
      <c r="DJ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-2.2737367544323206E-13</v>
      </c>
      <c r="DP166" s="17">
        <f>DO166*VLOOKUP('Données projet'!$B$14,Paramètres!$A$1:$I$89,3,0)*VLOOKUP('Données projet'!$B$14,Paramètres!$A$1:$I$89,5,0)</f>
        <v>-2.1636878955177963E-13</v>
      </c>
      <c r="DQ166" s="13" t="e">
        <f t="shared" si="176"/>
        <v>#NUM!</v>
      </c>
      <c r="DR166" s="20" t="e">
        <f t="shared" si="177"/>
        <v>#NUM!</v>
      </c>
      <c r="DS166" s="59" t="e">
        <f t="shared" si="125"/>
        <v>#NUM!</v>
      </c>
      <c r="DT166" s="59">
        <f ca="1">AVERAGE(OFFSET($DS$3,0,0,'Données projet'!$E$14+1,1))-AVERAGE(OFFSET($H$3,0,0,'Données projet'!$E$14+1,1))</f>
        <v>590.05965493677377</v>
      </c>
      <c r="DU166" s="59">
        <f t="shared" si="152"/>
        <v>378.40640480134505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156.16490105676672</v>
      </c>
      <c r="EB166" s="21">
        <f>EXP(-LN(2)/25)*EB165+(1-EXP(-LN(2)/25))/(LN(2)/25)*Calculateur!DW166*Calculateur!DY166*VLOOKUP('Données projet'!$B$14,Paramètres!$A$1:$I$89,3,0)*0.475*44/12</f>
        <v>0</v>
      </c>
      <c r="EC166" s="21">
        <f>EXP(-LN(2)/2)*EC165+(1-EXP(-LN(2)/2))/(LN(2)/2)*DW166*DZ166*VLOOKUP('Données projet'!$B$14,Paramètres!$A$1:$I$89,3,0)*0.475*44/12</f>
        <v>0</v>
      </c>
      <c r="ED166" s="22">
        <f t="shared" si="178"/>
        <v>156.16490105676672</v>
      </c>
      <c r="EE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68.245923323157399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2">
        <f>'Scénario référence'!$B$16*5+'Scénario référence'!$B$17*0+'Scénario référence'!$B$18*5</f>
        <v>4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14.666666666666666</v>
      </c>
      <c r="H167" s="66">
        <f t="shared" si="110"/>
        <v>159.86666666666667</v>
      </c>
      <c r="I167" s="6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-2.9085640562698246E-14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140.03175887621094</v>
      </c>
      <c r="T167" s="59">
        <f t="shared" si="142"/>
        <v>377.29475975964954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4.9707403703122433</v>
      </c>
      <c r="AA167" s="21">
        <f>EXP(-LN(2)/25)*AA166+(1-EXP(-LN(2)/25))/(LN(2)/25)*Calculateur!V167*Calculateur!X167*VLOOKUP('Données projet'!$B$9,Paramètres!$A$1:$I$89,3,0)*0.475*44/12</f>
        <v>0</v>
      </c>
      <c r="AB167" s="21">
        <f>EXP(-LN(2)/2)*AB166+(1-EXP(-LN(2)/2))/(LN(2)/2)*V167*Y167*VLOOKUP('Données projet'!$B$9,Paramètres!$A$1:$I$89,3,0)*0.475*44/12</f>
        <v>1.6608157404089662E-20</v>
      </c>
      <c r="AC167" s="22">
        <f t="shared" si="163"/>
        <v>4.9707403703122433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-5.6843418860808015E-14</v>
      </c>
      <c r="AJ167" s="13">
        <f>AI167*VLOOKUP('Données projet'!$B$10,Paramètres!$A$1:$I$89,3,0)*VLOOKUP('Données projet'!$B$10,Paramètres!$A$1:$I$89,5,0)</f>
        <v>-2.8642261895583942E-14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138.27364731587764</v>
      </c>
      <c r="AO167" s="59">
        <f t="shared" si="144"/>
        <v>372.50391467700013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4.8949668890574749</v>
      </c>
      <c r="AV167" s="21">
        <f>EXP(-LN(2)/25)*AV166+(1-EXP(-LN(2)/25))/(LN(2)/25)*Calculateur!AQ167*Calculateur!AS167*VLOOKUP('Données projet'!$B$10,Paramètres!$A$1:$I$89,3,0)*0.475*44/12</f>
        <v>0</v>
      </c>
      <c r="AW167" s="21">
        <f>EXP(-LN(2)/2)*AW166+(1-EXP(-LN(2)/2))/(LN(2)/2)*AQ167*AT167*VLOOKUP('Données projet'!$B$10,Paramètres!$A$1:$I$89,3,0)*0.475*44/12</f>
        <v>1.6354984272929742E-20</v>
      </c>
      <c r="AX167" s="21">
        <f t="shared" si="166"/>
        <v>4.8949668890574749</v>
      </c>
      <c r="AY167" s="7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-2.2737367544323206E-13</v>
      </c>
      <c r="BE167" s="13">
        <f>BD167*VLOOKUP('Données projet'!$B$11,Paramètres!$A$1:$I$89,3,0)*VLOOKUP('Données projet'!$B$11,Paramètres!$A$1:$I$89,5,0)</f>
        <v>-2.3765096557326618E-13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638.07304290599211</v>
      </c>
      <c r="BJ167" s="59">
        <f t="shared" si="146"/>
        <v>408.22196233793511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168.16187498493895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168.16187498493895</v>
      </c>
      <c r="BT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-2.2737367544323206E-13</v>
      </c>
      <c r="BZ167" s="13">
        <f>BY167*VLOOKUP('Données projet'!$B$12,Paramètres!$A$1:$I$89,3,0)*VLOOKUP('Données projet'!$B$12,Paramètres!$A$1:$I$89,5,0)</f>
        <v>-2.5893314159475268E-13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685.99951993586967</v>
      </c>
      <c r="CE167" s="59">
        <f t="shared" si="148"/>
        <v>437.98014017823095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183.22114737164981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183.22114737164981</v>
      </c>
      <c r="CO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-2.2737367544323206E-13</v>
      </c>
      <c r="CU167" s="17">
        <f>CT167*VLOOKUP('Données projet'!$B$13,Paramètres!$A$1:$I$89,3,0)*VLOOKUP('Données projet'!$B$13,Paramètres!$A$1:$I$89,5,0)</f>
        <v>-2.3055690689943731E-13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622.07867348539082</v>
      </c>
      <c r="CZ167" s="59">
        <f t="shared" si="150"/>
        <v>398.29010684041634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163.14211752270197</v>
      </c>
      <c r="DG167" s="21">
        <f>EXP(-LN(2)/25)*DG166+(1-EXP(-LN(2)/25))/(LN(2)/25)*Calculateur!DB167*Calculateur!DD167*VLOOKUP('Données projet'!$B$13,Paramètres!$A$1:$I$89,3,0)*0.475*44/12</f>
        <v>0</v>
      </c>
      <c r="DH167" s="21">
        <f>EXP(-LN(2)/2)*DH166+(1-EXP(-LN(2)/2))/(LN(2)/2)*DB167*DE167*VLOOKUP('Données projet'!$B$13,Paramètres!$A$1:$I$89,3,0)*0.475*44/12</f>
        <v>0</v>
      </c>
      <c r="DI167" s="22">
        <f t="shared" si="175"/>
        <v>163.14211752270197</v>
      </c>
      <c r="DJ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-2.2737367544323206E-13</v>
      </c>
      <c r="DP167" s="17">
        <f>DO167*VLOOKUP('Données projet'!$B$14,Paramètres!$A$1:$I$89,3,0)*VLOOKUP('Données projet'!$B$14,Paramètres!$A$1:$I$89,5,0)</f>
        <v>-2.1636878955177963E-13</v>
      </c>
      <c r="DQ167" s="13" t="e">
        <f t="shared" si="176"/>
        <v>#NUM!</v>
      </c>
      <c r="DR167" s="20" t="e">
        <f t="shared" si="177"/>
        <v>#NUM!</v>
      </c>
      <c r="DS167" s="59" t="e">
        <f t="shared" si="125"/>
        <v>#NUM!</v>
      </c>
      <c r="DT167" s="59">
        <f ca="1">AVERAGE(OFFSET($DS$3,0,0,'Données projet'!$E$14+1,1))-AVERAGE(OFFSET($H$3,0,0,'Données projet'!$E$14+1,1))</f>
        <v>590.05965493677377</v>
      </c>
      <c r="DU167" s="59">
        <f t="shared" si="152"/>
        <v>378.40640480134505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153.10260259822789</v>
      </c>
      <c r="EB167" s="21">
        <f>EXP(-LN(2)/25)*EB166+(1-EXP(-LN(2)/25))/(LN(2)/25)*Calculateur!DW167*Calculateur!DY167*VLOOKUP('Données projet'!$B$14,Paramètres!$A$1:$I$89,3,0)*0.475*44/12</f>
        <v>0</v>
      </c>
      <c r="EC167" s="21">
        <f>EXP(-LN(2)/2)*EC166+(1-EXP(-LN(2)/2))/(LN(2)/2)*DW167*DZ167*VLOOKUP('Données projet'!$B$14,Paramètres!$A$1:$I$89,3,0)*0.475*44/12</f>
        <v>0</v>
      </c>
      <c r="ED167" s="22">
        <f t="shared" si="178"/>
        <v>153.10260259822789</v>
      </c>
      <c r="EE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68.276352631972657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2">
        <f>'Scénario référence'!$B$16*5+'Scénario référence'!$B$17*0+'Scénario référence'!$B$18*5</f>
        <v>4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14.666666666666666</v>
      </c>
      <c r="H168" s="66">
        <f t="shared" si="110"/>
        <v>159.86666666666667</v>
      </c>
      <c r="I168" s="6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-2.9085640562698246E-14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140.03175887621094</v>
      </c>
      <c r="T168" s="59">
        <f t="shared" si="142"/>
        <v>377.29475975964954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4.8732671835026755</v>
      </c>
      <c r="AA168" s="21">
        <f>EXP(-LN(2)/25)*AA167+(1-EXP(-LN(2)/25))/(LN(2)/25)*Calculateur!V168*Calculateur!X168*VLOOKUP('Données projet'!$B$9,Paramètres!$A$1:$I$89,3,0)*0.475*44/12</f>
        <v>0</v>
      </c>
      <c r="AB168" s="21">
        <f>EXP(-LN(2)/2)*AB167+(1-EXP(-LN(2)/2))/(LN(2)/2)*V168*Y168*VLOOKUP('Données projet'!$B$9,Paramètres!$A$1:$I$89,3,0)*0.475*44/12</f>
        <v>1.1743740723445368E-20</v>
      </c>
      <c r="AC168" s="22">
        <f t="shared" si="163"/>
        <v>4.8732671835026755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-5.6843418860808015E-14</v>
      </c>
      <c r="AJ168" s="13">
        <f>AI168*VLOOKUP('Données projet'!$B$10,Paramètres!$A$1:$I$89,3,0)*VLOOKUP('Données projet'!$B$10,Paramètres!$A$1:$I$89,5,0)</f>
        <v>-2.8642261895583942E-14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138.27364731587764</v>
      </c>
      <c r="AO168" s="59">
        <f t="shared" si="144"/>
        <v>372.50391467700013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4.7989795739980528</v>
      </c>
      <c r="AV168" s="21">
        <f>EXP(-LN(2)/25)*AV167+(1-EXP(-LN(2)/25))/(LN(2)/25)*Calculateur!AQ168*Calculateur!AS168*VLOOKUP('Données projet'!$B$10,Paramètres!$A$1:$I$89,3,0)*0.475*44/12</f>
        <v>0</v>
      </c>
      <c r="AW168" s="21">
        <f>EXP(-LN(2)/2)*AW167+(1-EXP(-LN(2)/2))/(LN(2)/2)*AQ168*AT168*VLOOKUP('Données projet'!$B$10,Paramètres!$A$1:$I$89,3,0)*0.475*44/12</f>
        <v>1.1564720285587957E-20</v>
      </c>
      <c r="AX168" s="21">
        <f t="shared" si="166"/>
        <v>4.7989795739980528</v>
      </c>
      <c r="AY168" s="7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-2.2737367544323206E-13</v>
      </c>
      <c r="BE168" s="13">
        <f>BD168*VLOOKUP('Données projet'!$B$11,Paramètres!$A$1:$I$89,3,0)*VLOOKUP('Données projet'!$B$11,Paramètres!$A$1:$I$89,5,0)</f>
        <v>-2.3765096557326618E-13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638.07304290599211</v>
      </c>
      <c r="BJ168" s="59">
        <f t="shared" si="146"/>
        <v>408.22196233793511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164.86432318510023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164.86432318510023</v>
      </c>
      <c r="BT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-2.2737367544323206E-13</v>
      </c>
      <c r="BZ168" s="13">
        <f>BY168*VLOOKUP('Données projet'!$B$12,Paramètres!$A$1:$I$89,3,0)*VLOOKUP('Données projet'!$B$12,Paramètres!$A$1:$I$89,5,0)</f>
        <v>-2.5893314159475268E-13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685.99951993586967</v>
      </c>
      <c r="CE168" s="59">
        <f t="shared" si="148"/>
        <v>437.98014017823095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179.62829242555688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179.62829242555688</v>
      </c>
      <c r="CO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-2.2737367544323206E-13</v>
      </c>
      <c r="CU168" s="17">
        <f>CT168*VLOOKUP('Données projet'!$B$13,Paramètres!$A$1:$I$89,3,0)*VLOOKUP('Données projet'!$B$13,Paramètres!$A$1:$I$89,5,0)</f>
        <v>-2.3055690689943731E-13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622.07867348539082</v>
      </c>
      <c r="CZ168" s="59">
        <f t="shared" si="150"/>
        <v>398.29010684041634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159.94300010494797</v>
      </c>
      <c r="DG168" s="21">
        <f>EXP(-LN(2)/25)*DG167+(1-EXP(-LN(2)/25))/(LN(2)/25)*Calculateur!DB168*Calculateur!DD168*VLOOKUP('Données projet'!$B$13,Paramètres!$A$1:$I$89,3,0)*0.475*44/12</f>
        <v>0</v>
      </c>
      <c r="DH168" s="21">
        <f>EXP(-LN(2)/2)*DH167+(1-EXP(-LN(2)/2))/(LN(2)/2)*DB168*DE168*VLOOKUP('Données projet'!$B$13,Paramètres!$A$1:$I$89,3,0)*0.475*44/12</f>
        <v>0</v>
      </c>
      <c r="DI168" s="22">
        <f t="shared" si="175"/>
        <v>159.94300010494797</v>
      </c>
      <c r="DJ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-2.2737367544323206E-13</v>
      </c>
      <c r="DP168" s="17">
        <f>DO168*VLOOKUP('Données projet'!$B$14,Paramètres!$A$1:$I$89,3,0)*VLOOKUP('Données projet'!$B$14,Paramètres!$A$1:$I$89,5,0)</f>
        <v>-2.1636878955177963E-13</v>
      </c>
      <c r="DQ168" s="13" t="e">
        <f t="shared" si="176"/>
        <v>#NUM!</v>
      </c>
      <c r="DR168" s="20" t="e">
        <f t="shared" si="177"/>
        <v>#NUM!</v>
      </c>
      <c r="DS168" s="59" t="e">
        <f t="shared" si="125"/>
        <v>#NUM!</v>
      </c>
      <c r="DT168" s="59">
        <f ca="1">AVERAGE(OFFSET($DS$3,0,0,'Données projet'!$E$14+1,1))-AVERAGE(OFFSET($H$3,0,0,'Données projet'!$E$14+1,1))</f>
        <v>590.05965493677377</v>
      </c>
      <c r="DU168" s="59">
        <f t="shared" si="152"/>
        <v>378.40640480134505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150.10035394464339</v>
      </c>
      <c r="EB168" s="21">
        <f>EXP(-LN(2)/25)*EB167+(1-EXP(-LN(2)/25))/(LN(2)/25)*Calculateur!DW168*Calculateur!DY168*VLOOKUP('Données projet'!$B$14,Paramètres!$A$1:$I$89,3,0)*0.475*44/12</f>
        <v>0</v>
      </c>
      <c r="EC168" s="21">
        <f>EXP(-LN(2)/2)*EC167+(1-EXP(-LN(2)/2))/(LN(2)/2)*DW168*DZ168*VLOOKUP('Données projet'!$B$14,Paramètres!$A$1:$I$89,3,0)*0.475*44/12</f>
        <v>0</v>
      </c>
      <c r="ED168" s="22">
        <f t="shared" si="178"/>
        <v>150.10035394464339</v>
      </c>
      <c r="EE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68.306254060309712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2">
        <f>'Scénario référence'!$B$16*5+'Scénario référence'!$B$17*0+'Scénario référence'!$B$18*5</f>
        <v>4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14.666666666666666</v>
      </c>
      <c r="H169" s="66">
        <f t="shared" si="110"/>
        <v>159.86666666666667</v>
      </c>
      <c r="I169" s="6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-2.9085640562698246E-14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140.03175887621094</v>
      </c>
      <c r="T169" s="59">
        <f t="shared" si="142"/>
        <v>377.29475975964954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4.77770538643367</v>
      </c>
      <c r="AA169" s="21">
        <f>EXP(-LN(2)/25)*AA168+(1-EXP(-LN(2)/25))/(LN(2)/25)*Calculateur!V169*Calculateur!X169*VLOOKUP('Données projet'!$B$9,Paramètres!$A$1:$I$89,3,0)*0.475*44/12</f>
        <v>0</v>
      </c>
      <c r="AB169" s="21">
        <f>EXP(-LN(2)/2)*AB168+(1-EXP(-LN(2)/2))/(LN(2)/2)*V169*Y169*VLOOKUP('Données projet'!$B$9,Paramètres!$A$1:$I$89,3,0)*0.475*44/12</f>
        <v>8.3040787020448308E-21</v>
      </c>
      <c r="AC169" s="22">
        <f t="shared" si="163"/>
        <v>4.77770538643367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-5.6843418860808015E-14</v>
      </c>
      <c r="AJ169" s="13">
        <f>AI169*VLOOKUP('Données projet'!$B$10,Paramètres!$A$1:$I$89,3,0)*VLOOKUP('Données projet'!$B$10,Paramètres!$A$1:$I$89,5,0)</f>
        <v>-2.8642261895583942E-14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138.27364731587764</v>
      </c>
      <c r="AO169" s="59">
        <f t="shared" si="144"/>
        <v>372.50391467700013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4.7048745116404653</v>
      </c>
      <c r="AV169" s="21">
        <f>EXP(-LN(2)/25)*AV168+(1-EXP(-LN(2)/25))/(LN(2)/25)*Calculateur!AQ169*Calculateur!AS169*VLOOKUP('Données projet'!$B$10,Paramètres!$A$1:$I$89,3,0)*0.475*44/12</f>
        <v>0</v>
      </c>
      <c r="AW169" s="21">
        <f>EXP(-LN(2)/2)*AW168+(1-EXP(-LN(2)/2))/(LN(2)/2)*AQ169*AT169*VLOOKUP('Données projet'!$B$10,Paramètres!$A$1:$I$89,3,0)*0.475*44/12</f>
        <v>8.1774921364648708E-21</v>
      </c>
      <c r="AX169" s="21">
        <f t="shared" si="166"/>
        <v>4.7048745116404653</v>
      </c>
      <c r="AY169" s="7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-2.2737367544323206E-13</v>
      </c>
      <c r="BE169" s="13">
        <f>BD169*VLOOKUP('Données projet'!$B$11,Paramètres!$A$1:$I$89,3,0)*VLOOKUP('Données projet'!$B$11,Paramètres!$A$1:$I$89,5,0)</f>
        <v>-2.3765096557326618E-13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638.07304290599211</v>
      </c>
      <c r="BJ169" s="59">
        <f t="shared" si="146"/>
        <v>408.22196233793511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161.63143436474834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161.63143436474834</v>
      </c>
      <c r="BT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-2.2737367544323206E-13</v>
      </c>
      <c r="BZ169" s="13">
        <f>BY169*VLOOKUP('Données projet'!$B$12,Paramètres!$A$1:$I$89,3,0)*VLOOKUP('Données projet'!$B$12,Paramètres!$A$1:$I$89,5,0)</f>
        <v>-2.5893314159475268E-13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685.99951993586967</v>
      </c>
      <c r="CE169" s="59">
        <f t="shared" si="148"/>
        <v>437.98014017823095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176.10589117353169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176.10589117353169</v>
      </c>
      <c r="CO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-2.2737367544323206E-13</v>
      </c>
      <c r="CU169" s="17">
        <f>CT169*VLOOKUP('Données projet'!$B$13,Paramètres!$A$1:$I$89,3,0)*VLOOKUP('Données projet'!$B$13,Paramètres!$A$1:$I$89,5,0)</f>
        <v>-2.3055690689943731E-13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622.07867348539082</v>
      </c>
      <c r="CZ169" s="59">
        <f t="shared" si="150"/>
        <v>398.29010684041634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156.80661542848719</v>
      </c>
      <c r="DG169" s="21">
        <f>EXP(-LN(2)/25)*DG168+(1-EXP(-LN(2)/25))/(LN(2)/25)*Calculateur!DB169*Calculateur!DD169*VLOOKUP('Données projet'!$B$13,Paramètres!$A$1:$I$89,3,0)*0.475*44/12</f>
        <v>0</v>
      </c>
      <c r="DH169" s="21">
        <f>EXP(-LN(2)/2)*DH168+(1-EXP(-LN(2)/2))/(LN(2)/2)*DB169*DE169*VLOOKUP('Données projet'!$B$13,Paramètres!$A$1:$I$89,3,0)*0.475*44/12</f>
        <v>0</v>
      </c>
      <c r="DI169" s="22">
        <f t="shared" si="175"/>
        <v>156.80661542848719</v>
      </c>
      <c r="DJ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-2.2737367544323206E-13</v>
      </c>
      <c r="DP169" s="17">
        <f>DO169*VLOOKUP('Données projet'!$B$14,Paramètres!$A$1:$I$89,3,0)*VLOOKUP('Données projet'!$B$14,Paramètres!$A$1:$I$89,5,0)</f>
        <v>-2.1636878955177963E-13</v>
      </c>
      <c r="DQ169" s="13" t="e">
        <f t="shared" si="176"/>
        <v>#NUM!</v>
      </c>
      <c r="DR169" s="20" t="e">
        <f t="shared" si="177"/>
        <v>#NUM!</v>
      </c>
      <c r="DS169" s="59" t="e">
        <f t="shared" si="125"/>
        <v>#NUM!</v>
      </c>
      <c r="DT169" s="59">
        <f ca="1">AVERAGE(OFFSET($DS$3,0,0,'Données projet'!$E$14+1,1))-AVERAGE(OFFSET($H$3,0,0,'Données projet'!$E$14+1,1))</f>
        <v>590.05965493677377</v>
      </c>
      <c r="DU169" s="59">
        <f t="shared" si="152"/>
        <v>378.40640480134505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147.1569775559648</v>
      </c>
      <c r="EB169" s="21">
        <f>EXP(-LN(2)/25)*EB168+(1-EXP(-LN(2)/25))/(LN(2)/25)*Calculateur!DW169*Calculateur!DY169*VLOOKUP('Données projet'!$B$14,Paramètres!$A$1:$I$89,3,0)*0.475*44/12</f>
        <v>0</v>
      </c>
      <c r="EC169" s="21">
        <f>EXP(-LN(2)/2)*EC168+(1-EXP(-LN(2)/2))/(LN(2)/2)*DW169*DZ169*VLOOKUP('Données projet'!$B$14,Paramètres!$A$1:$I$89,3,0)*0.475*44/12</f>
        <v>0</v>
      </c>
      <c r="ED169" s="22">
        <f t="shared" si="178"/>
        <v>147.1569775559648</v>
      </c>
      <c r="EE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68.335636765714696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2">
        <f>'Scénario référence'!$B$16*5+'Scénario référence'!$B$17*0+'Scénario référence'!$B$18*5</f>
        <v>4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14.666666666666666</v>
      </c>
      <c r="H170" s="66">
        <f t="shared" si="110"/>
        <v>159.86666666666667</v>
      </c>
      <c r="I170" s="6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-2.9085640562698246E-14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140.03175887621094</v>
      </c>
      <c r="T170" s="59">
        <f t="shared" si="142"/>
        <v>377.29475975964954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4.684017497918247</v>
      </c>
      <c r="AA170" s="21">
        <f>EXP(-LN(2)/25)*AA169+(1-EXP(-LN(2)/25))/(LN(2)/25)*Calculateur!V170*Calculateur!X170*VLOOKUP('Données projet'!$B$9,Paramètres!$A$1:$I$89,3,0)*0.475*44/12</f>
        <v>0</v>
      </c>
      <c r="AB170" s="21">
        <f>EXP(-LN(2)/2)*AB169+(1-EXP(-LN(2)/2))/(LN(2)/2)*V170*Y170*VLOOKUP('Données projet'!$B$9,Paramètres!$A$1:$I$89,3,0)*0.475*44/12</f>
        <v>5.8718703617226838E-21</v>
      </c>
      <c r="AC170" s="22">
        <f t="shared" si="163"/>
        <v>4.684017497918247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-5.6843418860808015E-14</v>
      </c>
      <c r="AJ170" s="13">
        <f>AI170*VLOOKUP('Données projet'!$B$10,Paramètres!$A$1:$I$89,3,0)*VLOOKUP('Données projet'!$B$10,Paramètres!$A$1:$I$89,5,0)</f>
        <v>-2.8642261895583942E-14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138.27364731587764</v>
      </c>
      <c r="AO170" s="59">
        <f t="shared" si="144"/>
        <v>372.50391467700013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4.6126147921572898</v>
      </c>
      <c r="AV170" s="21">
        <f>EXP(-LN(2)/25)*AV169+(1-EXP(-LN(2)/25))/(LN(2)/25)*Calculateur!AQ170*Calculateur!AS170*VLOOKUP('Données projet'!$B$10,Paramètres!$A$1:$I$89,3,0)*0.475*44/12</f>
        <v>0</v>
      </c>
      <c r="AW170" s="21">
        <f>EXP(-LN(2)/2)*AW169+(1-EXP(-LN(2)/2))/(LN(2)/2)*AQ170*AT170*VLOOKUP('Données projet'!$B$10,Paramètres!$A$1:$I$89,3,0)*0.475*44/12</f>
        <v>5.7823601427939785E-21</v>
      </c>
      <c r="AX170" s="21">
        <f t="shared" si="166"/>
        <v>4.6126147921572898</v>
      </c>
      <c r="AY170" s="7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-2.2737367544323206E-13</v>
      </c>
      <c r="BE170" s="13">
        <f>BD170*VLOOKUP('Données projet'!$B$11,Paramètres!$A$1:$I$89,3,0)*VLOOKUP('Données projet'!$B$11,Paramètres!$A$1:$I$89,5,0)</f>
        <v>-2.3765096557326618E-13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638.07304290599211</v>
      </c>
      <c r="BJ170" s="59">
        <f t="shared" si="146"/>
        <v>408.22196233793511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158.46194052229609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158.46194052229609</v>
      </c>
      <c r="BT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-2.2737367544323206E-13</v>
      </c>
      <c r="BZ170" s="13">
        <f>BY170*VLOOKUP('Données projet'!$B$12,Paramètres!$A$1:$I$89,3,0)*VLOOKUP('Données projet'!$B$12,Paramètres!$A$1:$I$89,5,0)</f>
        <v>-2.5893314159475268E-13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685.99951993586967</v>
      </c>
      <c r="CE170" s="59">
        <f t="shared" si="148"/>
        <v>437.98014017823095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172.65256206160609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172.65256206160609</v>
      </c>
      <c r="CO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-2.2737367544323206E-13</v>
      </c>
      <c r="CU170" s="17">
        <f>CT170*VLOOKUP('Données projet'!$B$13,Paramètres!$A$1:$I$89,3,0)*VLOOKUP('Données projet'!$B$13,Paramètres!$A$1:$I$89,5,0)</f>
        <v>-2.3055690689943731E-13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622.07867348539082</v>
      </c>
      <c r="CZ170" s="59">
        <f t="shared" si="150"/>
        <v>398.29010684041634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153.73173334252604</v>
      </c>
      <c r="DG170" s="21">
        <f>EXP(-LN(2)/25)*DG169+(1-EXP(-LN(2)/25))/(LN(2)/25)*Calculateur!DB170*Calculateur!DD170*VLOOKUP('Données projet'!$B$13,Paramètres!$A$1:$I$89,3,0)*0.475*44/12</f>
        <v>0</v>
      </c>
      <c r="DH170" s="21">
        <f>EXP(-LN(2)/2)*DH169+(1-EXP(-LN(2)/2))/(LN(2)/2)*DB170*DE170*VLOOKUP('Données projet'!$B$13,Paramètres!$A$1:$I$89,3,0)*0.475*44/12</f>
        <v>0</v>
      </c>
      <c r="DI170" s="22">
        <f t="shared" si="175"/>
        <v>153.73173334252604</v>
      </c>
      <c r="DJ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-2.2737367544323206E-13</v>
      </c>
      <c r="DP170" s="17">
        <f>DO170*VLOOKUP('Données projet'!$B$14,Paramètres!$A$1:$I$89,3,0)*VLOOKUP('Données projet'!$B$14,Paramètres!$A$1:$I$89,5,0)</f>
        <v>-2.1636878955177963E-13</v>
      </c>
      <c r="DQ170" s="13" t="e">
        <f t="shared" si="176"/>
        <v>#NUM!</v>
      </c>
      <c r="DR170" s="20" t="e">
        <f t="shared" si="177"/>
        <v>#NUM!</v>
      </c>
      <c r="DS170" s="59" t="e">
        <f t="shared" si="125"/>
        <v>#NUM!</v>
      </c>
      <c r="DT170" s="59">
        <f ca="1">AVERAGE(OFFSET($DS$3,0,0,'Données projet'!$E$14+1,1))-AVERAGE(OFFSET($H$3,0,0,'Données projet'!$E$14+1,1))</f>
        <v>590.05965493677377</v>
      </c>
      <c r="DU170" s="59">
        <f t="shared" si="152"/>
        <v>378.40640480134505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144.27131898298589</v>
      </c>
      <c r="EB170" s="21">
        <f>EXP(-LN(2)/25)*EB169+(1-EXP(-LN(2)/25))/(LN(2)/25)*Calculateur!DW170*Calculateur!DY170*VLOOKUP('Données projet'!$B$14,Paramètres!$A$1:$I$89,3,0)*0.475*44/12</f>
        <v>0</v>
      </c>
      <c r="EC170" s="21">
        <f>EXP(-LN(2)/2)*EC169+(1-EXP(-LN(2)/2))/(LN(2)/2)*DW170*DZ170*VLOOKUP('Données projet'!$B$14,Paramètres!$A$1:$I$89,3,0)*0.475*44/12</f>
        <v>0</v>
      </c>
      <c r="ED170" s="22">
        <f t="shared" si="178"/>
        <v>144.27131898298589</v>
      </c>
      <c r="EE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68.364509746870795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2">
        <f>'Scénario référence'!$B$16*5+'Scénario référence'!$B$17*0+'Scénario référence'!$B$18*5</f>
        <v>4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14.666666666666666</v>
      </c>
      <c r="H171" s="66">
        <f t="shared" si="110"/>
        <v>159.86666666666667</v>
      </c>
      <c r="I171" s="6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-2.9085640562698246E-14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140.03175887621094</v>
      </c>
      <c r="T171" s="59">
        <f t="shared" si="142"/>
        <v>377.29475975964954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4.592166771752642</v>
      </c>
      <c r="AA171" s="21">
        <f>EXP(-LN(2)/25)*AA170+(1-EXP(-LN(2)/25))/(LN(2)/25)*Calculateur!V171*Calculateur!X171*VLOOKUP('Données projet'!$B$9,Paramètres!$A$1:$I$89,3,0)*0.475*44/12</f>
        <v>0</v>
      </c>
      <c r="AB171" s="21">
        <f>EXP(-LN(2)/2)*AB170+(1-EXP(-LN(2)/2))/(LN(2)/2)*V171*Y171*VLOOKUP('Données projet'!$B$9,Paramètres!$A$1:$I$89,3,0)*0.475*44/12</f>
        <v>4.1520393510224154E-21</v>
      </c>
      <c r="AC171" s="22">
        <f t="shared" si="163"/>
        <v>4.592166771752642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-5.6843418860808015E-14</v>
      </c>
      <c r="AJ171" s="13">
        <f>AI171*VLOOKUP('Données projet'!$B$10,Paramètres!$A$1:$I$89,3,0)*VLOOKUP('Données projet'!$B$10,Paramètres!$A$1:$I$89,5,0)</f>
        <v>-2.8642261895583942E-14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138.27364731587764</v>
      </c>
      <c r="AO171" s="59">
        <f t="shared" si="144"/>
        <v>372.50391467700013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4.5221642295003068</v>
      </c>
      <c r="AV171" s="21">
        <f>EXP(-LN(2)/25)*AV170+(1-EXP(-LN(2)/25))/(LN(2)/25)*Calculateur!AQ171*Calculateur!AS171*VLOOKUP('Données projet'!$B$10,Paramètres!$A$1:$I$89,3,0)*0.475*44/12</f>
        <v>0</v>
      </c>
      <c r="AW171" s="21">
        <f>EXP(-LN(2)/2)*AW170+(1-EXP(-LN(2)/2))/(LN(2)/2)*AQ171*AT171*VLOOKUP('Données projet'!$B$10,Paramètres!$A$1:$I$89,3,0)*0.475*44/12</f>
        <v>4.0887460682324354E-21</v>
      </c>
      <c r="AX171" s="21">
        <f t="shared" si="166"/>
        <v>4.5221642295003068</v>
      </c>
      <c r="AY171" s="7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-2.2737367544323206E-13</v>
      </c>
      <c r="BE171" s="13">
        <f>BD171*VLOOKUP('Données projet'!$B$11,Paramètres!$A$1:$I$89,3,0)*VLOOKUP('Données projet'!$B$11,Paramètres!$A$1:$I$89,5,0)</f>
        <v>-2.3765096557326618E-13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638.07304290599211</v>
      </c>
      <c r="BJ171" s="59">
        <f t="shared" si="146"/>
        <v>408.22196233793511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155.35459852089397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155.35459852089397</v>
      </c>
      <c r="BT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-2.2737367544323206E-13</v>
      </c>
      <c r="BZ171" s="13">
        <f>BY171*VLOOKUP('Données projet'!$B$12,Paramètres!$A$1:$I$89,3,0)*VLOOKUP('Données projet'!$B$12,Paramètres!$A$1:$I$89,5,0)</f>
        <v>-2.5893314159475268E-13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685.99951993586967</v>
      </c>
      <c r="CE171" s="59">
        <f t="shared" si="148"/>
        <v>437.98014017823095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169.26695062724258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169.26695062724258</v>
      </c>
      <c r="CO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-2.2737367544323206E-13</v>
      </c>
      <c r="CU171" s="17">
        <f>CT171*VLOOKUP('Données projet'!$B$13,Paramètres!$A$1:$I$89,3,0)*VLOOKUP('Données projet'!$B$13,Paramètres!$A$1:$I$89,5,0)</f>
        <v>-2.3055690689943731E-13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622.07867348539082</v>
      </c>
      <c r="CZ171" s="59">
        <f t="shared" si="150"/>
        <v>398.29010684041634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150.7171478187777</v>
      </c>
      <c r="DG171" s="21">
        <f>EXP(-LN(2)/25)*DG170+(1-EXP(-LN(2)/25))/(LN(2)/25)*Calculateur!DB171*Calculateur!DD171*VLOOKUP('Données projet'!$B$13,Paramètres!$A$1:$I$89,3,0)*0.475*44/12</f>
        <v>0</v>
      </c>
      <c r="DH171" s="21">
        <f>EXP(-LN(2)/2)*DH170+(1-EXP(-LN(2)/2))/(LN(2)/2)*DB171*DE171*VLOOKUP('Données projet'!$B$13,Paramètres!$A$1:$I$89,3,0)*0.475*44/12</f>
        <v>0</v>
      </c>
      <c r="DI171" s="22">
        <f t="shared" si="175"/>
        <v>150.7171478187777</v>
      </c>
      <c r="DJ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-2.2737367544323206E-13</v>
      </c>
      <c r="DP171" s="17">
        <f>DO171*VLOOKUP('Données projet'!$B$14,Paramètres!$A$1:$I$89,3,0)*VLOOKUP('Données projet'!$B$14,Paramètres!$A$1:$I$89,5,0)</f>
        <v>-2.1636878955177963E-13</v>
      </c>
      <c r="DQ171" s="13" t="e">
        <f t="shared" si="176"/>
        <v>#NUM!</v>
      </c>
      <c r="DR171" s="20" t="e">
        <f t="shared" si="177"/>
        <v>#NUM!</v>
      </c>
      <c r="DS171" s="59" t="e">
        <f t="shared" si="125"/>
        <v>#NUM!</v>
      </c>
      <c r="DT171" s="59">
        <f ca="1">AVERAGE(OFFSET($DS$3,0,0,'Données projet'!$E$14+1,1))-AVERAGE(OFFSET($H$3,0,0,'Données projet'!$E$14+1,1))</f>
        <v>590.05965493677377</v>
      </c>
      <c r="DU171" s="59">
        <f t="shared" si="152"/>
        <v>378.40640480134505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141.44224641454514</v>
      </c>
      <c r="EB171" s="21">
        <f>EXP(-LN(2)/25)*EB170+(1-EXP(-LN(2)/25))/(LN(2)/25)*Calculateur!DW171*Calculateur!DY171*VLOOKUP('Données projet'!$B$14,Paramètres!$A$1:$I$89,3,0)*0.475*44/12</f>
        <v>0</v>
      </c>
      <c r="EC171" s="21">
        <f>EXP(-LN(2)/2)*EC170+(1-EXP(-LN(2)/2))/(LN(2)/2)*DW171*DZ171*VLOOKUP('Données projet'!$B$14,Paramètres!$A$1:$I$89,3,0)*0.475*44/12</f>
        <v>0</v>
      </c>
      <c r="ED171" s="22">
        <f t="shared" si="178"/>
        <v>141.44224641454514</v>
      </c>
      <c r="EE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68.392881846354157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2">
        <f>'Scénario référence'!$B$16*5+'Scénario référence'!$B$17*0+'Scénario référence'!$B$18*5</f>
        <v>4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14.666666666666666</v>
      </c>
      <c r="H172" s="66">
        <f t="shared" si="110"/>
        <v>159.86666666666667</v>
      </c>
      <c r="I172" s="6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-2.9085640562698246E-14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140.03175887621094</v>
      </c>
      <c r="T172" s="59">
        <f t="shared" si="142"/>
        <v>377.29475975964954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4.5021171823037331</v>
      </c>
      <c r="AA172" s="21">
        <f>EXP(-LN(2)/25)*AA171+(1-EXP(-LN(2)/25))/(LN(2)/25)*Calculateur!V172*Calculateur!X172*VLOOKUP('Données projet'!$B$9,Paramètres!$A$1:$I$89,3,0)*0.475*44/12</f>
        <v>0</v>
      </c>
      <c r="AB172" s="21">
        <f>EXP(-LN(2)/2)*AB171+(1-EXP(-LN(2)/2))/(LN(2)/2)*V172*Y172*VLOOKUP('Données projet'!$B$9,Paramètres!$A$1:$I$89,3,0)*0.475*44/12</f>
        <v>2.9359351808613419E-21</v>
      </c>
      <c r="AC172" s="22">
        <f t="shared" si="163"/>
        <v>4.5021171823037331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-5.6843418860808015E-14</v>
      </c>
      <c r="AJ172" s="13">
        <f>AI172*VLOOKUP('Données projet'!$B$10,Paramètres!$A$1:$I$89,3,0)*VLOOKUP('Données projet'!$B$10,Paramètres!$A$1:$I$89,5,0)</f>
        <v>-2.8642261895583942E-14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138.27364731587764</v>
      </c>
      <c r="AO172" s="59">
        <f t="shared" si="144"/>
        <v>372.50391467700013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4.433487347207631</v>
      </c>
      <c r="AV172" s="21">
        <f>EXP(-LN(2)/25)*AV171+(1-EXP(-LN(2)/25))/(LN(2)/25)*Calculateur!AQ172*Calculateur!AS172*VLOOKUP('Données projet'!$B$10,Paramètres!$A$1:$I$89,3,0)*0.475*44/12</f>
        <v>0</v>
      </c>
      <c r="AW172" s="21">
        <f>EXP(-LN(2)/2)*AW171+(1-EXP(-LN(2)/2))/(LN(2)/2)*AQ172*AT172*VLOOKUP('Données projet'!$B$10,Paramètres!$A$1:$I$89,3,0)*0.475*44/12</f>
        <v>2.8911800713969893E-21</v>
      </c>
      <c r="AX172" s="21">
        <f t="shared" si="166"/>
        <v>4.433487347207631</v>
      </c>
      <c r="AY172" s="7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-2.2737367544323206E-13</v>
      </c>
      <c r="BE172" s="13">
        <f>BD172*VLOOKUP('Données projet'!$B$11,Paramètres!$A$1:$I$89,3,0)*VLOOKUP('Données projet'!$B$11,Paramètres!$A$1:$I$89,5,0)</f>
        <v>-2.3765096557326618E-13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638.07304290599211</v>
      </c>
      <c r="BJ172" s="59">
        <f t="shared" si="146"/>
        <v>408.22196233793511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152.30818960084787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152.30818960084787</v>
      </c>
      <c r="BT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-2.2737367544323206E-13</v>
      </c>
      <c r="BZ172" s="13">
        <f>BY172*VLOOKUP('Données projet'!$B$12,Paramètres!$A$1:$I$89,3,0)*VLOOKUP('Données projet'!$B$12,Paramètres!$A$1:$I$89,5,0)</f>
        <v>-2.5893314159475268E-13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685.99951993586967</v>
      </c>
      <c r="CE172" s="59">
        <f t="shared" si="148"/>
        <v>437.98014017823095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165.94772896808786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165.94772896808786</v>
      </c>
      <c r="CO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-2.2737367544323206E-13</v>
      </c>
      <c r="CU172" s="17">
        <f>CT172*VLOOKUP('Données projet'!$B$13,Paramètres!$A$1:$I$89,3,0)*VLOOKUP('Données projet'!$B$13,Paramètres!$A$1:$I$89,5,0)</f>
        <v>-2.3055690689943731E-13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622.07867348539082</v>
      </c>
      <c r="CZ172" s="59">
        <f t="shared" si="150"/>
        <v>398.29010684041634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147.76167647843448</v>
      </c>
      <c r="DG172" s="21">
        <f>EXP(-LN(2)/25)*DG171+(1-EXP(-LN(2)/25))/(LN(2)/25)*Calculateur!DB172*Calculateur!DD172*VLOOKUP('Données projet'!$B$13,Paramètres!$A$1:$I$89,3,0)*0.475*44/12</f>
        <v>0</v>
      </c>
      <c r="DH172" s="21">
        <f>EXP(-LN(2)/2)*DH171+(1-EXP(-LN(2)/2))/(LN(2)/2)*DB172*DE172*VLOOKUP('Données projet'!$B$13,Paramètres!$A$1:$I$89,3,0)*0.475*44/12</f>
        <v>0</v>
      </c>
      <c r="DI172" s="22">
        <f t="shared" si="175"/>
        <v>147.76167647843448</v>
      </c>
      <c r="DJ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-2.2737367544323206E-13</v>
      </c>
      <c r="DP172" s="17">
        <f>DO172*VLOOKUP('Données projet'!$B$14,Paramètres!$A$1:$I$89,3,0)*VLOOKUP('Données projet'!$B$14,Paramètres!$A$1:$I$89,5,0)</f>
        <v>-2.1636878955177963E-13</v>
      </c>
      <c r="DQ172" s="13" t="e">
        <f t="shared" si="176"/>
        <v>#NUM!</v>
      </c>
      <c r="DR172" s="20" t="e">
        <f t="shared" si="177"/>
        <v>#NUM!</v>
      </c>
      <c r="DS172" s="59" t="e">
        <f t="shared" si="125"/>
        <v>#NUM!</v>
      </c>
      <c r="DT172" s="59">
        <f ca="1">AVERAGE(OFFSET($DS$3,0,0,'Données projet'!$E$14+1,1))-AVERAGE(OFFSET($H$3,0,0,'Données projet'!$E$14+1,1))</f>
        <v>590.05965493677377</v>
      </c>
      <c r="DU172" s="59">
        <f t="shared" si="152"/>
        <v>378.40640480134505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138.66865023360765</v>
      </c>
      <c r="EB172" s="21">
        <f>EXP(-LN(2)/25)*EB171+(1-EXP(-LN(2)/25))/(LN(2)/25)*Calculateur!DW172*Calculateur!DY172*VLOOKUP('Données projet'!$B$14,Paramètres!$A$1:$I$89,3,0)*0.475*44/12</f>
        <v>0</v>
      </c>
      <c r="EC172" s="21">
        <f>EXP(-LN(2)/2)*EC171+(1-EXP(-LN(2)/2))/(LN(2)/2)*DW172*DZ172*VLOOKUP('Données projet'!$B$14,Paramètres!$A$1:$I$89,3,0)*0.475*44/12</f>
        <v>0</v>
      </c>
      <c r="ED172" s="22">
        <f t="shared" si="178"/>
        <v>138.66865023360765</v>
      </c>
      <c r="EE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68.420761753341992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2">
        <f>'Scénario référence'!$B$16*5+'Scénario référence'!$B$17*0+'Scénario référence'!$B$18*5</f>
        <v>4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14.666666666666666</v>
      </c>
      <c r="H173" s="66">
        <f t="shared" si="110"/>
        <v>159.86666666666667</v>
      </c>
      <c r="I173" s="6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-2.9085640562698246E-14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140.03175887621094</v>
      </c>
      <c r="T173" s="59">
        <f t="shared" si="142"/>
        <v>377.29475975964954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4.413833410379091</v>
      </c>
      <c r="AA173" s="21">
        <f>EXP(-LN(2)/25)*AA172+(1-EXP(-LN(2)/25))/(LN(2)/25)*Calculateur!V173*Calculateur!X173*VLOOKUP('Données projet'!$B$9,Paramètres!$A$1:$I$89,3,0)*0.475*44/12</f>
        <v>0</v>
      </c>
      <c r="AB173" s="21">
        <f>EXP(-LN(2)/2)*AB172+(1-EXP(-LN(2)/2))/(LN(2)/2)*V173*Y173*VLOOKUP('Données projet'!$B$9,Paramètres!$A$1:$I$89,3,0)*0.475*44/12</f>
        <v>2.0760196755112077E-21</v>
      </c>
      <c r="AC173" s="22">
        <f t="shared" si="163"/>
        <v>4.413833410379091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-5.6843418860808015E-14</v>
      </c>
      <c r="AJ173" s="13">
        <f>AI173*VLOOKUP('Données projet'!$B$10,Paramètres!$A$1:$I$89,3,0)*VLOOKUP('Données projet'!$B$10,Paramètres!$A$1:$I$89,5,0)</f>
        <v>-2.8642261895583942E-14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138.27364731587764</v>
      </c>
      <c r="AO173" s="59">
        <f t="shared" si="144"/>
        <v>372.50391467700013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4.3465493644891575</v>
      </c>
      <c r="AV173" s="21">
        <f>EXP(-LN(2)/25)*AV172+(1-EXP(-LN(2)/25))/(LN(2)/25)*Calculateur!AQ173*Calculateur!AS173*VLOOKUP('Données projet'!$B$10,Paramètres!$A$1:$I$89,3,0)*0.475*44/12</f>
        <v>0</v>
      </c>
      <c r="AW173" s="21">
        <f>EXP(-LN(2)/2)*AW172+(1-EXP(-LN(2)/2))/(LN(2)/2)*AQ173*AT173*VLOOKUP('Données projet'!$B$10,Paramètres!$A$1:$I$89,3,0)*0.475*44/12</f>
        <v>2.0443730341162177E-21</v>
      </c>
      <c r="AX173" s="21">
        <f t="shared" si="166"/>
        <v>4.3465493644891575</v>
      </c>
      <c r="AY173" s="7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-2.2737367544323206E-13</v>
      </c>
      <c r="BE173" s="13">
        <f>BD173*VLOOKUP('Données projet'!$B$11,Paramètres!$A$1:$I$89,3,0)*VLOOKUP('Données projet'!$B$11,Paramètres!$A$1:$I$89,5,0)</f>
        <v>-2.3765096557326618E-13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638.07304290599211</v>
      </c>
      <c r="BJ173" s="59">
        <f t="shared" si="146"/>
        <v>408.22196233793511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149.3215189015979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149.3215189015979</v>
      </c>
      <c r="BT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-2.2737367544323206E-13</v>
      </c>
      <c r="BZ173" s="13">
        <f>BY173*VLOOKUP('Données projet'!$B$12,Paramètres!$A$1:$I$89,3,0)*VLOOKUP('Données projet'!$B$12,Paramètres!$A$1:$I$89,5,0)</f>
        <v>-2.5893314159475268E-13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685.99951993586967</v>
      </c>
      <c r="CE173" s="59">
        <f t="shared" si="148"/>
        <v>437.98014017823095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162.69359522114388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162.69359522114388</v>
      </c>
      <c r="CO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-2.2737367544323206E-13</v>
      </c>
      <c r="CU173" s="17">
        <f>CT173*VLOOKUP('Données projet'!$B$13,Paramètres!$A$1:$I$89,3,0)*VLOOKUP('Données projet'!$B$13,Paramètres!$A$1:$I$89,5,0)</f>
        <v>-2.3055690689943731E-13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622.07867348539082</v>
      </c>
      <c r="CZ173" s="59">
        <f t="shared" si="150"/>
        <v>398.29010684041634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144.86416012841585</v>
      </c>
      <c r="DG173" s="21">
        <f>EXP(-LN(2)/25)*DG172+(1-EXP(-LN(2)/25))/(LN(2)/25)*Calculateur!DB173*Calculateur!DD173*VLOOKUP('Données projet'!$B$13,Paramètres!$A$1:$I$89,3,0)*0.475*44/12</f>
        <v>0</v>
      </c>
      <c r="DH173" s="21">
        <f>EXP(-LN(2)/2)*DH172+(1-EXP(-LN(2)/2))/(LN(2)/2)*DB173*DE173*VLOOKUP('Données projet'!$B$13,Paramètres!$A$1:$I$89,3,0)*0.475*44/12</f>
        <v>0</v>
      </c>
      <c r="DI173" s="22">
        <f t="shared" si="175"/>
        <v>144.86416012841585</v>
      </c>
      <c r="DJ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-2.2737367544323206E-13</v>
      </c>
      <c r="DP173" s="17">
        <f>DO173*VLOOKUP('Données projet'!$B$14,Paramètres!$A$1:$I$89,3,0)*VLOOKUP('Données projet'!$B$14,Paramètres!$A$1:$I$89,5,0)</f>
        <v>-2.1636878955177963E-13</v>
      </c>
      <c r="DQ173" s="13" t="e">
        <f t="shared" si="176"/>
        <v>#NUM!</v>
      </c>
      <c r="DR173" s="20" t="e">
        <f t="shared" si="177"/>
        <v>#NUM!</v>
      </c>
      <c r="DS173" s="59" t="e">
        <f t="shared" si="125"/>
        <v>#NUM!</v>
      </c>
      <c r="DT173" s="59">
        <f ca="1">AVERAGE(OFFSET($DS$3,0,0,'Données projet'!$E$14+1,1))-AVERAGE(OFFSET($H$3,0,0,'Données projet'!$E$14+1,1))</f>
        <v>590.05965493677377</v>
      </c>
      <c r="DU173" s="59">
        <f t="shared" si="152"/>
        <v>378.40640480134505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135.94944258205172</v>
      </c>
      <c r="EB173" s="21">
        <f>EXP(-LN(2)/25)*EB172+(1-EXP(-LN(2)/25))/(LN(2)/25)*Calculateur!DW173*Calculateur!DY173*VLOOKUP('Données projet'!$B$14,Paramètres!$A$1:$I$89,3,0)*0.475*44/12</f>
        <v>0</v>
      </c>
      <c r="EC173" s="21">
        <f>EXP(-LN(2)/2)*EC172+(1-EXP(-LN(2)/2))/(LN(2)/2)*DW173*DZ173*VLOOKUP('Données projet'!$B$14,Paramètres!$A$1:$I$89,3,0)*0.475*44/12</f>
        <v>0</v>
      </c>
      <c r="ED173" s="22">
        <f t="shared" si="178"/>
        <v>135.94944258205172</v>
      </c>
      <c r="EE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68.448158006273701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2">
        <f>'Scénario référence'!$B$16*5+'Scénario référence'!$B$17*0+'Scénario référence'!$B$18*5</f>
        <v>4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14.666666666666666</v>
      </c>
      <c r="H174" s="66">
        <f t="shared" si="110"/>
        <v>159.86666666666667</v>
      </c>
      <c r="I174" s="6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-2.9085640562698246E-14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140.03175887621094</v>
      </c>
      <c r="T174" s="59">
        <f t="shared" si="142"/>
        <v>377.29475975964954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4.3272808293741072</v>
      </c>
      <c r="AA174" s="21">
        <f>EXP(-LN(2)/25)*AA173+(1-EXP(-LN(2)/25))/(LN(2)/25)*Calculateur!V174*Calculateur!X174*VLOOKUP('Données projet'!$B$9,Paramètres!$A$1:$I$89,3,0)*0.475*44/12</f>
        <v>0</v>
      </c>
      <c r="AB174" s="21">
        <f>EXP(-LN(2)/2)*AB173+(1-EXP(-LN(2)/2))/(LN(2)/2)*V174*Y174*VLOOKUP('Données projet'!$B$9,Paramètres!$A$1:$I$89,3,0)*0.475*44/12</f>
        <v>1.467967590430671E-21</v>
      </c>
      <c r="AC174" s="22">
        <f t="shared" si="163"/>
        <v>4.3272808293741072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-5.6843418860808015E-14</v>
      </c>
      <c r="AJ174" s="13">
        <f>AI174*VLOOKUP('Données projet'!$B$10,Paramètres!$A$1:$I$89,3,0)*VLOOKUP('Données projet'!$B$10,Paramètres!$A$1:$I$89,5,0)</f>
        <v>-2.8642261895583942E-14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138.27364731587764</v>
      </c>
      <c r="AO174" s="59">
        <f t="shared" si="144"/>
        <v>372.50391467700013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4.26131618258486</v>
      </c>
      <c r="AV174" s="21">
        <f>EXP(-LN(2)/25)*AV173+(1-EXP(-LN(2)/25))/(LN(2)/25)*Calculateur!AQ174*Calculateur!AS174*VLOOKUP('Données projet'!$B$10,Paramètres!$A$1:$I$89,3,0)*0.475*44/12</f>
        <v>0</v>
      </c>
      <c r="AW174" s="21">
        <f>EXP(-LN(2)/2)*AW173+(1-EXP(-LN(2)/2))/(LN(2)/2)*AQ174*AT174*VLOOKUP('Données projet'!$B$10,Paramètres!$A$1:$I$89,3,0)*0.475*44/12</f>
        <v>1.4455900356984946E-21</v>
      </c>
      <c r="AX174" s="21">
        <f t="shared" si="166"/>
        <v>4.26131618258486</v>
      </c>
      <c r="AY174" s="7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-2.2737367544323206E-13</v>
      </c>
      <c r="BE174" s="13">
        <f>BD174*VLOOKUP('Données projet'!$B$11,Paramètres!$A$1:$I$89,3,0)*VLOOKUP('Données projet'!$B$11,Paramètres!$A$1:$I$89,5,0)</f>
        <v>-2.3765096557326618E-13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638.07304290599211</v>
      </c>
      <c r="BJ174" s="59">
        <f t="shared" si="146"/>
        <v>408.22196233793511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146.39341499307096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146.39341499307096</v>
      </c>
      <c r="BT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-2.2737367544323206E-13</v>
      </c>
      <c r="BZ174" s="13">
        <f>BY174*VLOOKUP('Données projet'!$B$12,Paramètres!$A$1:$I$89,3,0)*VLOOKUP('Données projet'!$B$12,Paramètres!$A$1:$I$89,5,0)</f>
        <v>-2.5893314159475268E-13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685.99951993586967</v>
      </c>
      <c r="CE174" s="59">
        <f t="shared" si="148"/>
        <v>437.98014017823095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159.50327305215185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159.50327305215185</v>
      </c>
      <c r="CO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-2.2737367544323206E-13</v>
      </c>
      <c r="CU174" s="17">
        <f>CT174*VLOOKUP('Données projet'!$B$13,Paramètres!$A$1:$I$89,3,0)*VLOOKUP('Données projet'!$B$13,Paramètres!$A$1:$I$89,5,0)</f>
        <v>-2.3055690689943731E-13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622.07867348539082</v>
      </c>
      <c r="CZ174" s="59">
        <f t="shared" si="150"/>
        <v>398.29010684041634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142.02346230671063</v>
      </c>
      <c r="DG174" s="21">
        <f>EXP(-LN(2)/25)*DG173+(1-EXP(-LN(2)/25))/(LN(2)/25)*Calculateur!DB174*Calculateur!DD174*VLOOKUP('Données projet'!$B$13,Paramètres!$A$1:$I$89,3,0)*0.475*44/12</f>
        <v>0</v>
      </c>
      <c r="DH174" s="21">
        <f>EXP(-LN(2)/2)*DH173+(1-EXP(-LN(2)/2))/(LN(2)/2)*DB174*DE174*VLOOKUP('Données projet'!$B$13,Paramètres!$A$1:$I$89,3,0)*0.475*44/12</f>
        <v>0</v>
      </c>
      <c r="DI174" s="22">
        <f t="shared" si="175"/>
        <v>142.02346230671063</v>
      </c>
      <c r="DJ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-2.2737367544323206E-13</v>
      </c>
      <c r="DP174" s="17">
        <f>DO174*VLOOKUP('Données projet'!$B$14,Paramètres!$A$1:$I$89,3,0)*VLOOKUP('Données projet'!$B$14,Paramètres!$A$1:$I$89,5,0)</f>
        <v>-2.1636878955177963E-13</v>
      </c>
      <c r="DQ174" s="13" t="e">
        <f t="shared" si="176"/>
        <v>#NUM!</v>
      </c>
      <c r="DR174" s="20" t="e">
        <f t="shared" si="177"/>
        <v>#NUM!</v>
      </c>
      <c r="DS174" s="59" t="e">
        <f t="shared" si="125"/>
        <v>#NUM!</v>
      </c>
      <c r="DT174" s="59">
        <f ca="1">AVERAGE(OFFSET($DS$3,0,0,'Données projet'!$E$14+1,1))-AVERAGE(OFFSET($H$3,0,0,'Données projet'!$E$14+1,1))</f>
        <v>590.05965493677377</v>
      </c>
      <c r="DU174" s="59">
        <f t="shared" si="152"/>
        <v>378.40640480134505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133.2835569339899</v>
      </c>
      <c r="EB174" s="21">
        <f>EXP(-LN(2)/25)*EB173+(1-EXP(-LN(2)/25))/(LN(2)/25)*Calculateur!DW174*Calculateur!DY174*VLOOKUP('Données projet'!$B$14,Paramètres!$A$1:$I$89,3,0)*0.475*44/12</f>
        <v>0</v>
      </c>
      <c r="EC174" s="21">
        <f>EXP(-LN(2)/2)*EC173+(1-EXP(-LN(2)/2))/(LN(2)/2)*DW174*DZ174*VLOOKUP('Données projet'!$B$14,Paramètres!$A$1:$I$89,3,0)*0.475*44/12</f>
        <v>0</v>
      </c>
      <c r="ED174" s="22">
        <f t="shared" si="178"/>
        <v>133.2835569339899</v>
      </c>
      <c r="EE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68.475078995465907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2">
        <f>'Scénario référence'!$B$16*5+'Scénario référence'!$B$17*0+'Scénario référence'!$B$18*5</f>
        <v>4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14.666666666666666</v>
      </c>
      <c r="H175" s="66">
        <f t="shared" si="110"/>
        <v>159.86666666666667</v>
      </c>
      <c r="I175" s="6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-2.9085640562698246E-14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140.03175887621094</v>
      </c>
      <c r="T175" s="59">
        <f t="shared" si="142"/>
        <v>377.29475975964954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4.2424254916907698</v>
      </c>
      <c r="AA175" s="21">
        <f>EXP(-LN(2)/25)*AA174+(1-EXP(-LN(2)/25))/(LN(2)/25)*Calculateur!V175*Calculateur!X175*VLOOKUP('Données projet'!$B$9,Paramètres!$A$1:$I$89,3,0)*0.475*44/12</f>
        <v>0</v>
      </c>
      <c r="AB175" s="21">
        <f>EXP(-LN(2)/2)*AB174+(1-EXP(-LN(2)/2))/(LN(2)/2)*V175*Y175*VLOOKUP('Données projet'!$B$9,Paramètres!$A$1:$I$89,3,0)*0.475*44/12</f>
        <v>1.0380098377556038E-21</v>
      </c>
      <c r="AC175" s="22">
        <f t="shared" si="163"/>
        <v>4.2424254916907698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-5.6843418860808015E-14</v>
      </c>
      <c r="AJ175" s="13">
        <f>AI175*VLOOKUP('Données projet'!$B$10,Paramètres!$A$1:$I$89,3,0)*VLOOKUP('Données projet'!$B$10,Paramètres!$A$1:$I$89,5,0)</f>
        <v>-2.8642261895583942E-14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138.27364731587764</v>
      </c>
      <c r="AO175" s="59">
        <f t="shared" si="144"/>
        <v>372.50391467700013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4.1777543713905976</v>
      </c>
      <c r="AV175" s="21">
        <f>EXP(-LN(2)/25)*AV174+(1-EXP(-LN(2)/25))/(LN(2)/25)*Calculateur!AQ175*Calculateur!AS175*VLOOKUP('Données projet'!$B$10,Paramètres!$A$1:$I$89,3,0)*0.475*44/12</f>
        <v>0</v>
      </c>
      <c r="AW175" s="21">
        <f>EXP(-LN(2)/2)*AW174+(1-EXP(-LN(2)/2))/(LN(2)/2)*AQ175*AT175*VLOOKUP('Données projet'!$B$10,Paramètres!$A$1:$I$89,3,0)*0.475*44/12</f>
        <v>1.0221865170581089E-21</v>
      </c>
      <c r="AX175" s="21">
        <f t="shared" si="166"/>
        <v>4.1777543713905976</v>
      </c>
      <c r="AY175" s="7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-2.2737367544323206E-13</v>
      </c>
      <c r="BE175" s="13">
        <f>BD175*VLOOKUP('Données projet'!$B$11,Paramètres!$A$1:$I$89,3,0)*VLOOKUP('Données projet'!$B$11,Paramètres!$A$1:$I$89,5,0)</f>
        <v>-2.3765096557326618E-13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638.07304290599211</v>
      </c>
      <c r="BJ175" s="59">
        <f t="shared" si="146"/>
        <v>408.22196233793511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143.52272941622323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143.52272941622323</v>
      </c>
      <c r="BT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-2.2737367544323206E-13</v>
      </c>
      <c r="BZ175" s="13">
        <f>BY175*VLOOKUP('Données projet'!$B$12,Paramètres!$A$1:$I$89,3,0)*VLOOKUP('Données projet'!$B$12,Paramètres!$A$1:$I$89,5,0)</f>
        <v>-2.5893314159475268E-13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685.99951993586967</v>
      </c>
      <c r="CE175" s="59">
        <f t="shared" si="148"/>
        <v>437.98014017823095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156.3755111549894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156.3755111549894</v>
      </c>
      <c r="CO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-2.2737367544323206E-13</v>
      </c>
      <c r="CU175" s="17">
        <f>CT175*VLOOKUP('Données projet'!$B$13,Paramètres!$A$1:$I$89,3,0)*VLOOKUP('Données projet'!$B$13,Paramètres!$A$1:$I$89,5,0)</f>
        <v>-2.3055690689943731E-13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622.07867348539082</v>
      </c>
      <c r="CZ175" s="59">
        <f t="shared" si="150"/>
        <v>398.29010684041634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139.23846883663447</v>
      </c>
      <c r="DG175" s="21">
        <f>EXP(-LN(2)/25)*DG174+(1-EXP(-LN(2)/25))/(LN(2)/25)*Calculateur!DB175*Calculateur!DD175*VLOOKUP('Données projet'!$B$13,Paramètres!$A$1:$I$89,3,0)*0.475*44/12</f>
        <v>0</v>
      </c>
      <c r="DH175" s="21">
        <f>EXP(-LN(2)/2)*DH174+(1-EXP(-LN(2)/2))/(LN(2)/2)*DB175*DE175*VLOOKUP('Données projet'!$B$13,Paramètres!$A$1:$I$89,3,0)*0.475*44/12</f>
        <v>0</v>
      </c>
      <c r="DI175" s="22">
        <f t="shared" si="175"/>
        <v>139.23846883663447</v>
      </c>
      <c r="DJ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-2.2737367544323206E-13</v>
      </c>
      <c r="DP175" s="17">
        <f>DO175*VLOOKUP('Données projet'!$B$14,Paramètres!$A$1:$I$89,3,0)*VLOOKUP('Données projet'!$B$14,Paramètres!$A$1:$I$89,5,0)</f>
        <v>-2.1636878955177963E-13</v>
      </c>
      <c r="DQ175" s="13" t="e">
        <f t="shared" si="176"/>
        <v>#NUM!</v>
      </c>
      <c r="DR175" s="20" t="e">
        <f t="shared" si="177"/>
        <v>#NUM!</v>
      </c>
      <c r="DS175" s="59" t="e">
        <f t="shared" si="125"/>
        <v>#NUM!</v>
      </c>
      <c r="DT175" s="59">
        <f ca="1">AVERAGE(OFFSET($DS$3,0,0,'Données projet'!$E$14+1,1))-AVERAGE(OFFSET($H$3,0,0,'Données projet'!$E$14+1,1))</f>
        <v>590.05965493677377</v>
      </c>
      <c r="DU175" s="59">
        <f t="shared" si="152"/>
        <v>378.40640480134505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130.66994767745689</v>
      </c>
      <c r="EB175" s="21">
        <f>EXP(-LN(2)/25)*EB174+(1-EXP(-LN(2)/25))/(LN(2)/25)*Calculateur!DW175*Calculateur!DY175*VLOOKUP('Données projet'!$B$14,Paramètres!$A$1:$I$89,3,0)*0.475*44/12</f>
        <v>0</v>
      </c>
      <c r="EC175" s="21">
        <f>EXP(-LN(2)/2)*EC174+(1-EXP(-LN(2)/2))/(LN(2)/2)*DW175*DZ175*VLOOKUP('Données projet'!$B$14,Paramètres!$A$1:$I$89,3,0)*0.475*44/12</f>
        <v>0</v>
      </c>
      <c r="ED175" s="22">
        <f t="shared" si="178"/>
        <v>130.66994767745689</v>
      </c>
      <c r="EE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68.501532965681946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2">
        <f>'Scénario référence'!$B$16*5+'Scénario référence'!$B$17*0+'Scénario référence'!$B$18*5</f>
        <v>4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14.666666666666666</v>
      </c>
      <c r="H176" s="66">
        <f t="shared" si="110"/>
        <v>159.86666666666667</v>
      </c>
      <c r="I176" s="6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-2.9085640562698246E-14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140.03175887621094</v>
      </c>
      <c r="T176" s="59">
        <f t="shared" si="142"/>
        <v>377.29475975964954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4.1592341154227572</v>
      </c>
      <c r="AA176" s="21">
        <f>EXP(-LN(2)/25)*AA175+(1-EXP(-LN(2)/25))/(LN(2)/25)*Calculateur!V176*Calculateur!X176*VLOOKUP('Données projet'!$B$9,Paramètres!$A$1:$I$89,3,0)*0.475*44/12</f>
        <v>0</v>
      </c>
      <c r="AB176" s="21">
        <f>EXP(-LN(2)/2)*AB175+(1-EXP(-LN(2)/2))/(LN(2)/2)*V176*Y176*VLOOKUP('Données projet'!$B$9,Paramètres!$A$1:$I$89,3,0)*0.475*44/12</f>
        <v>7.3398379521533548E-22</v>
      </c>
      <c r="AC176" s="22">
        <f t="shared" si="163"/>
        <v>4.1592341154227572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-5.6843418860808015E-14</v>
      </c>
      <c r="AJ176" s="13">
        <f>AI176*VLOOKUP('Données projet'!$B$10,Paramètres!$A$1:$I$89,3,0)*VLOOKUP('Données projet'!$B$10,Paramètres!$A$1:$I$89,5,0)</f>
        <v>-2.8642261895583942E-14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138.27364731587764</v>
      </c>
      <c r="AO176" s="59">
        <f t="shared" si="144"/>
        <v>372.50391467700013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4.0958311563461827</v>
      </c>
      <c r="AV176" s="21">
        <f>EXP(-LN(2)/25)*AV175+(1-EXP(-LN(2)/25))/(LN(2)/25)*Calculateur!AQ176*Calculateur!AS176*VLOOKUP('Données projet'!$B$10,Paramètres!$A$1:$I$89,3,0)*0.475*44/12</f>
        <v>0</v>
      </c>
      <c r="AW176" s="21">
        <f>EXP(-LN(2)/2)*AW175+(1-EXP(-LN(2)/2))/(LN(2)/2)*AQ176*AT176*VLOOKUP('Données projet'!$B$10,Paramètres!$A$1:$I$89,3,0)*0.475*44/12</f>
        <v>7.2279501784924731E-22</v>
      </c>
      <c r="AX176" s="21">
        <f t="shared" si="166"/>
        <v>4.0958311563461827</v>
      </c>
      <c r="AY176" s="7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-2.2737367544323206E-13</v>
      </c>
      <c r="BE176" s="13">
        <f>BD176*VLOOKUP('Données projet'!$B$11,Paramètres!$A$1:$I$89,3,0)*VLOOKUP('Données projet'!$B$11,Paramètres!$A$1:$I$89,5,0)</f>
        <v>-2.3765096557326618E-13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638.07304290599211</v>
      </c>
      <c r="BJ176" s="59">
        <f t="shared" si="146"/>
        <v>408.22196233793511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140.70833623259216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140.70833623259216</v>
      </c>
      <c r="BT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-2.2737367544323206E-13</v>
      </c>
      <c r="BZ176" s="13">
        <f>BY176*VLOOKUP('Données projet'!$B$12,Paramètres!$A$1:$I$89,3,0)*VLOOKUP('Données projet'!$B$12,Paramètres!$A$1:$I$89,5,0)</f>
        <v>-2.5893314159475268E-13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685.99951993586967</v>
      </c>
      <c r="CE176" s="59">
        <f t="shared" si="148"/>
        <v>437.98014017823095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153.30908276088391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153.30908276088391</v>
      </c>
      <c r="CO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-2.2737367544323206E-13</v>
      </c>
      <c r="CU176" s="17">
        <f>CT176*VLOOKUP('Données projet'!$B$13,Paramètres!$A$1:$I$89,3,0)*VLOOKUP('Données projet'!$B$13,Paramètres!$A$1:$I$89,5,0)</f>
        <v>-2.3055690689943731E-13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622.07867348539082</v>
      </c>
      <c r="CZ176" s="59">
        <f t="shared" si="150"/>
        <v>398.29010684041634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136.50808738982821</v>
      </c>
      <c r="DG176" s="21">
        <f>EXP(-LN(2)/25)*DG175+(1-EXP(-LN(2)/25))/(LN(2)/25)*Calculateur!DB176*Calculateur!DD176*VLOOKUP('Données projet'!$B$13,Paramètres!$A$1:$I$89,3,0)*0.475*44/12</f>
        <v>0</v>
      </c>
      <c r="DH176" s="21">
        <f>EXP(-LN(2)/2)*DH175+(1-EXP(-LN(2)/2))/(LN(2)/2)*DB176*DE176*VLOOKUP('Données projet'!$B$13,Paramètres!$A$1:$I$89,3,0)*0.475*44/12</f>
        <v>0</v>
      </c>
      <c r="DI176" s="22">
        <f t="shared" si="175"/>
        <v>136.50808738982821</v>
      </c>
      <c r="DJ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-2.2737367544323206E-13</v>
      </c>
      <c r="DP176" s="17">
        <f>DO176*VLOOKUP('Données projet'!$B$14,Paramètres!$A$1:$I$89,3,0)*VLOOKUP('Données projet'!$B$14,Paramètres!$A$1:$I$89,5,0)</f>
        <v>-2.1636878955177963E-13</v>
      </c>
      <c r="DQ176" s="13" t="e">
        <f t="shared" si="176"/>
        <v>#NUM!</v>
      </c>
      <c r="DR176" s="20" t="e">
        <f t="shared" si="177"/>
        <v>#NUM!</v>
      </c>
      <c r="DS176" s="59" t="e">
        <f t="shared" si="125"/>
        <v>#NUM!</v>
      </c>
      <c r="DT176" s="59">
        <f ca="1">AVERAGE(OFFSET($DS$3,0,0,'Données projet'!$E$14+1,1))-AVERAGE(OFFSET($H$3,0,0,'Données projet'!$E$14+1,1))</f>
        <v>590.05965493677377</v>
      </c>
      <c r="DU176" s="59">
        <f t="shared" si="152"/>
        <v>378.40640480134505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128.10758970430024</v>
      </c>
      <c r="EB176" s="21">
        <f>EXP(-LN(2)/25)*EB175+(1-EXP(-LN(2)/25))/(LN(2)/25)*Calculateur!DW176*Calculateur!DY176*VLOOKUP('Données projet'!$B$14,Paramètres!$A$1:$I$89,3,0)*0.475*44/12</f>
        <v>0</v>
      </c>
      <c r="EC176" s="21">
        <f>EXP(-LN(2)/2)*EC175+(1-EXP(-LN(2)/2))/(LN(2)/2)*DW176*DZ176*VLOOKUP('Données projet'!$B$14,Paramètres!$A$1:$I$89,3,0)*0.475*44/12</f>
        <v>0</v>
      </c>
      <c r="ED176" s="22">
        <f t="shared" si="178"/>
        <v>128.10758970430024</v>
      </c>
      <c r="EE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68.527528018656952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2">
        <f>'Scénario référence'!$B$16*5+'Scénario référence'!$B$17*0+'Scénario référence'!$B$18*5</f>
        <v>4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14.666666666666666</v>
      </c>
      <c r="H177" s="66">
        <f t="shared" si="110"/>
        <v>159.86666666666667</v>
      </c>
      <c r="I177" s="6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-2.9085640562698246E-14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140.03175887621094</v>
      </c>
      <c r="T177" s="59">
        <f t="shared" si="142"/>
        <v>377.29475975964954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4.0776740713016313</v>
      </c>
      <c r="AA177" s="21">
        <f>EXP(-LN(2)/25)*AA176+(1-EXP(-LN(2)/25))/(LN(2)/25)*Calculateur!V177*Calculateur!X177*VLOOKUP('Données projet'!$B$9,Paramètres!$A$1:$I$89,3,0)*0.475*44/12</f>
        <v>0</v>
      </c>
      <c r="AB177" s="21">
        <f>EXP(-LN(2)/2)*AB176+(1-EXP(-LN(2)/2))/(LN(2)/2)*V177*Y177*VLOOKUP('Données projet'!$B$9,Paramètres!$A$1:$I$89,3,0)*0.475*44/12</f>
        <v>5.1900491887780192E-22</v>
      </c>
      <c r="AC177" s="22">
        <f t="shared" si="163"/>
        <v>4.0776740713016313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-5.6843418860808015E-14</v>
      </c>
      <c r="AJ177" s="13">
        <f>AI177*VLOOKUP('Données projet'!$B$10,Paramètres!$A$1:$I$89,3,0)*VLOOKUP('Données projet'!$B$10,Paramètres!$A$1:$I$89,5,0)</f>
        <v>-2.8642261895583942E-14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138.27364731587764</v>
      </c>
      <c r="AO177" s="59">
        <f t="shared" si="144"/>
        <v>372.50391467700013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4.0155144055805616</v>
      </c>
      <c r="AV177" s="21">
        <f>EXP(-LN(2)/25)*AV176+(1-EXP(-LN(2)/25))/(LN(2)/25)*Calculateur!AQ177*Calculateur!AS177*VLOOKUP('Données projet'!$B$10,Paramètres!$A$1:$I$89,3,0)*0.475*44/12</f>
        <v>0</v>
      </c>
      <c r="AW177" s="21">
        <f>EXP(-LN(2)/2)*AW176+(1-EXP(-LN(2)/2))/(LN(2)/2)*AQ177*AT177*VLOOKUP('Données projet'!$B$10,Paramètres!$A$1:$I$89,3,0)*0.475*44/12</f>
        <v>5.1109325852905443E-22</v>
      </c>
      <c r="AX177" s="21">
        <f t="shared" si="166"/>
        <v>4.0155144055805616</v>
      </c>
      <c r="AY177" s="7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-2.2737367544323206E-13</v>
      </c>
      <c r="BE177" s="13">
        <f>BD177*VLOOKUP('Données projet'!$B$11,Paramètres!$A$1:$I$89,3,0)*VLOOKUP('Données projet'!$B$11,Paramètres!$A$1:$I$89,5,0)</f>
        <v>-2.3765096557326618E-13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638.07304290599211</v>
      </c>
      <c r="BJ177" s="59">
        <f t="shared" si="146"/>
        <v>408.22196233793511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137.94913158268176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137.94913158268176</v>
      </c>
      <c r="BT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-2.2737367544323206E-13</v>
      </c>
      <c r="BZ177" s="13">
        <f>BY177*VLOOKUP('Données projet'!$B$12,Paramètres!$A$1:$I$89,3,0)*VLOOKUP('Données projet'!$B$12,Paramètres!$A$1:$I$89,5,0)</f>
        <v>-2.5893314159475268E-13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685.99951993586967</v>
      </c>
      <c r="CE177" s="59">
        <f t="shared" si="148"/>
        <v>437.98014017823095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150.30278515725018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150.30278515725018</v>
      </c>
      <c r="CO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-2.2737367544323206E-13</v>
      </c>
      <c r="CU177" s="17">
        <f>CT177*VLOOKUP('Données projet'!$B$13,Paramètres!$A$1:$I$89,3,0)*VLOOKUP('Données projet'!$B$13,Paramètres!$A$1:$I$89,5,0)</f>
        <v>-2.3055690689943731E-13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622.07867348539082</v>
      </c>
      <c r="CZ177" s="59">
        <f t="shared" si="150"/>
        <v>398.29010684041634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133.83124705782558</v>
      </c>
      <c r="DG177" s="21">
        <f>EXP(-LN(2)/25)*DG176+(1-EXP(-LN(2)/25))/(LN(2)/25)*Calculateur!DB177*Calculateur!DD177*VLOOKUP('Données projet'!$B$13,Paramètres!$A$1:$I$89,3,0)*0.475*44/12</f>
        <v>0</v>
      </c>
      <c r="DH177" s="21">
        <f>EXP(-LN(2)/2)*DH176+(1-EXP(-LN(2)/2))/(LN(2)/2)*DB177*DE177*VLOOKUP('Données projet'!$B$13,Paramètres!$A$1:$I$89,3,0)*0.475*44/12</f>
        <v>0</v>
      </c>
      <c r="DI177" s="22">
        <f t="shared" si="175"/>
        <v>133.83124705782558</v>
      </c>
      <c r="DJ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-2.2737367544323206E-13</v>
      </c>
      <c r="DP177" s="17">
        <f>DO177*VLOOKUP('Données projet'!$B$14,Paramètres!$A$1:$I$89,3,0)*VLOOKUP('Données projet'!$B$14,Paramètres!$A$1:$I$89,5,0)</f>
        <v>-2.1636878955177963E-13</v>
      </c>
      <c r="DQ177" s="13" t="e">
        <f t="shared" si="176"/>
        <v>#NUM!</v>
      </c>
      <c r="DR177" s="20" t="e">
        <f t="shared" si="177"/>
        <v>#NUM!</v>
      </c>
      <c r="DS177" s="59" t="e">
        <f t="shared" si="125"/>
        <v>#NUM!</v>
      </c>
      <c r="DT177" s="59">
        <f ca="1">AVERAGE(OFFSET($DS$3,0,0,'Données projet'!$E$14+1,1))-AVERAGE(OFFSET($H$3,0,0,'Données projet'!$E$14+1,1))</f>
        <v>590.05965493677377</v>
      </c>
      <c r="DU177" s="59">
        <f t="shared" si="152"/>
        <v>378.40640480134505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125.59547800811315</v>
      </c>
      <c r="EB177" s="21">
        <f>EXP(-LN(2)/25)*EB176+(1-EXP(-LN(2)/25))/(LN(2)/25)*Calculateur!DW177*Calculateur!DY177*VLOOKUP('Données projet'!$B$14,Paramètres!$A$1:$I$89,3,0)*0.475*44/12</f>
        <v>0</v>
      </c>
      <c r="EC177" s="21">
        <f>EXP(-LN(2)/2)*EC176+(1-EXP(-LN(2)/2))/(LN(2)/2)*DW177*DZ177*VLOOKUP('Données projet'!$B$14,Paramètres!$A$1:$I$89,3,0)*0.475*44/12</f>
        <v>0</v>
      </c>
      <c r="ED177" s="22">
        <f t="shared" si="178"/>
        <v>125.59547800811315</v>
      </c>
      <c r="EE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68.553072115579084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2">
        <f>'Scénario référence'!$B$16*5+'Scénario référence'!$B$17*0+'Scénario référence'!$B$18*5</f>
        <v>4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14.666666666666666</v>
      </c>
      <c r="H178" s="66">
        <f t="shared" si="110"/>
        <v>159.86666666666667</v>
      </c>
      <c r="I178" s="6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-2.9085640562698246E-14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140.03175887621094</v>
      </c>
      <c r="T178" s="59">
        <f t="shared" si="142"/>
        <v>377.29475975964954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3.9977133698990057</v>
      </c>
      <c r="AA178" s="21">
        <f>EXP(-LN(2)/25)*AA177+(1-EXP(-LN(2)/25))/(LN(2)/25)*Calculateur!V178*Calculateur!X178*VLOOKUP('Données projet'!$B$9,Paramètres!$A$1:$I$89,3,0)*0.475*44/12</f>
        <v>0</v>
      </c>
      <c r="AB178" s="21">
        <f>EXP(-LN(2)/2)*AB177+(1-EXP(-LN(2)/2))/(LN(2)/2)*V178*Y178*VLOOKUP('Données projet'!$B$9,Paramètres!$A$1:$I$89,3,0)*0.475*44/12</f>
        <v>3.6699189760766774E-22</v>
      </c>
      <c r="AC178" s="22">
        <f t="shared" si="163"/>
        <v>3.9977133698990057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-5.6843418860808015E-14</v>
      </c>
      <c r="AJ178" s="13">
        <f>AI178*VLOOKUP('Données projet'!$B$10,Paramètres!$A$1:$I$89,3,0)*VLOOKUP('Données projet'!$B$10,Paramètres!$A$1:$I$89,5,0)</f>
        <v>-2.8642261895583942E-14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138.27364731587764</v>
      </c>
      <c r="AO178" s="59">
        <f t="shared" si="144"/>
        <v>372.50391467700013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3.9367726173090736</v>
      </c>
      <c r="AV178" s="21">
        <f>EXP(-LN(2)/25)*AV177+(1-EXP(-LN(2)/25))/(LN(2)/25)*Calculateur!AQ178*Calculateur!AS178*VLOOKUP('Données projet'!$B$10,Paramètres!$A$1:$I$89,3,0)*0.475*44/12</f>
        <v>0</v>
      </c>
      <c r="AW178" s="21">
        <f>EXP(-LN(2)/2)*AW177+(1-EXP(-LN(2)/2))/(LN(2)/2)*AQ178*AT178*VLOOKUP('Données projet'!$B$10,Paramètres!$A$1:$I$89,3,0)*0.475*44/12</f>
        <v>3.6139750892462366E-22</v>
      </c>
      <c r="AX178" s="21">
        <f t="shared" si="166"/>
        <v>3.9367726173090736</v>
      </c>
      <c r="AY178" s="7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-2.2737367544323206E-13</v>
      </c>
      <c r="BE178" s="13">
        <f>BD178*VLOOKUP('Données projet'!$B$11,Paramètres!$A$1:$I$89,3,0)*VLOOKUP('Données projet'!$B$11,Paramètres!$A$1:$I$89,5,0)</f>
        <v>-2.3765096557326618E-13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638.07304290599211</v>
      </c>
      <c r="BJ178" s="59">
        <f t="shared" si="146"/>
        <v>408.22196233793511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135.24403325300744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135.24403325300744</v>
      </c>
      <c r="BT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-2.2737367544323206E-13</v>
      </c>
      <c r="BZ178" s="13">
        <f>BY178*VLOOKUP('Données projet'!$B$12,Paramètres!$A$1:$I$89,3,0)*VLOOKUP('Données projet'!$B$12,Paramètres!$A$1:$I$89,5,0)</f>
        <v>-2.5893314159475268E-13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685.99951993586967</v>
      </c>
      <c r="CE178" s="59">
        <f t="shared" si="148"/>
        <v>437.98014017823095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147.35543921596323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147.35543921596323</v>
      </c>
      <c r="CO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-2.2737367544323206E-13</v>
      </c>
      <c r="CU178" s="17">
        <f>CT178*VLOOKUP('Données projet'!$B$13,Paramètres!$A$1:$I$89,3,0)*VLOOKUP('Données projet'!$B$13,Paramètres!$A$1:$I$89,5,0)</f>
        <v>-2.3055690689943731E-13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622.07867348539082</v>
      </c>
      <c r="CZ178" s="59">
        <f t="shared" si="150"/>
        <v>398.29010684041634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131.20689793202212</v>
      </c>
      <c r="DG178" s="21">
        <f>EXP(-LN(2)/25)*DG177+(1-EXP(-LN(2)/25))/(LN(2)/25)*Calculateur!DB178*Calculateur!DD178*VLOOKUP('Données projet'!$B$13,Paramètres!$A$1:$I$89,3,0)*0.475*44/12</f>
        <v>0</v>
      </c>
      <c r="DH178" s="21">
        <f>EXP(-LN(2)/2)*DH177+(1-EXP(-LN(2)/2))/(LN(2)/2)*DB178*DE178*VLOOKUP('Données projet'!$B$13,Paramètres!$A$1:$I$89,3,0)*0.475*44/12</f>
        <v>0</v>
      </c>
      <c r="DI178" s="22">
        <f t="shared" si="175"/>
        <v>131.20689793202212</v>
      </c>
      <c r="DJ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-2.2737367544323206E-13</v>
      </c>
      <c r="DP178" s="17">
        <f>DO178*VLOOKUP('Données projet'!$B$14,Paramètres!$A$1:$I$89,3,0)*VLOOKUP('Données projet'!$B$14,Paramètres!$A$1:$I$89,5,0)</f>
        <v>-2.1636878955177963E-13</v>
      </c>
      <c r="DQ178" s="13" t="e">
        <f t="shared" si="176"/>
        <v>#NUM!</v>
      </c>
      <c r="DR178" s="20" t="e">
        <f t="shared" si="177"/>
        <v>#NUM!</v>
      </c>
      <c r="DS178" s="59" t="e">
        <f t="shared" si="125"/>
        <v>#NUM!</v>
      </c>
      <c r="DT178" s="59">
        <f ca="1">AVERAGE(OFFSET($DS$3,0,0,'Données projet'!$E$14+1,1))-AVERAGE(OFFSET($H$3,0,0,'Données projet'!$E$14+1,1))</f>
        <v>590.05965493677377</v>
      </c>
      <c r="DU178" s="59">
        <f t="shared" si="152"/>
        <v>378.40640480134505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123.13262729005145</v>
      </c>
      <c r="EB178" s="21">
        <f>EXP(-LN(2)/25)*EB177+(1-EXP(-LN(2)/25))/(LN(2)/25)*Calculateur!DW178*Calculateur!DY178*VLOOKUP('Données projet'!$B$14,Paramètres!$A$1:$I$89,3,0)*0.475*44/12</f>
        <v>0</v>
      </c>
      <c r="EC178" s="21">
        <f>EXP(-LN(2)/2)*EC177+(1-EXP(-LN(2)/2))/(LN(2)/2)*DW178*DZ178*VLOOKUP('Données projet'!$B$14,Paramètres!$A$1:$I$89,3,0)*0.475*44/12</f>
        <v>0</v>
      </c>
      <c r="ED178" s="22">
        <f t="shared" si="178"/>
        <v>123.13262729005145</v>
      </c>
      <c r="EE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68.578173079527645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2">
        <f>'Scénario référence'!$B$16*5+'Scénario référence'!$B$17*0+'Scénario référence'!$B$18*5</f>
        <v>4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14.666666666666666</v>
      </c>
      <c r="H179" s="66">
        <f t="shared" si="110"/>
        <v>159.86666666666667</v>
      </c>
      <c r="I179" s="6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-2.9085640562698246E-14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140.03175887621094</v>
      </c>
      <c r="T179" s="59">
        <f t="shared" si="142"/>
        <v>377.29475975964954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3.9193206490796735</v>
      </c>
      <c r="AA179" s="21">
        <f>EXP(-LN(2)/25)*AA178+(1-EXP(-LN(2)/25))/(LN(2)/25)*Calculateur!V179*Calculateur!X179*VLOOKUP('Données projet'!$B$9,Paramètres!$A$1:$I$89,3,0)*0.475*44/12</f>
        <v>0</v>
      </c>
      <c r="AB179" s="21">
        <f>EXP(-LN(2)/2)*AB178+(1-EXP(-LN(2)/2))/(LN(2)/2)*V179*Y179*VLOOKUP('Données projet'!$B$9,Paramètres!$A$1:$I$89,3,0)*0.475*44/12</f>
        <v>2.5950245943890096E-22</v>
      </c>
      <c r="AC179" s="22">
        <f t="shared" si="163"/>
        <v>3.9193206490796735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-5.6843418860808015E-14</v>
      </c>
      <c r="AJ179" s="13">
        <f>AI179*VLOOKUP('Données projet'!$B$10,Paramètres!$A$1:$I$89,3,0)*VLOOKUP('Données projet'!$B$10,Paramètres!$A$1:$I$89,5,0)</f>
        <v>-2.8642261895583942E-14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138.27364731587764</v>
      </c>
      <c r="AO179" s="59">
        <f t="shared" si="144"/>
        <v>372.50391467700013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3.8595749074778412</v>
      </c>
      <c r="AV179" s="21">
        <f>EXP(-LN(2)/25)*AV178+(1-EXP(-LN(2)/25))/(LN(2)/25)*Calculateur!AQ179*Calculateur!AS179*VLOOKUP('Données projet'!$B$10,Paramètres!$A$1:$I$89,3,0)*0.475*44/12</f>
        <v>0</v>
      </c>
      <c r="AW179" s="21">
        <f>EXP(-LN(2)/2)*AW178+(1-EXP(-LN(2)/2))/(LN(2)/2)*AQ179*AT179*VLOOKUP('Données projet'!$B$10,Paramètres!$A$1:$I$89,3,0)*0.475*44/12</f>
        <v>2.5554662926452721E-22</v>
      </c>
      <c r="AX179" s="21">
        <f t="shared" si="166"/>
        <v>3.8595749074778412</v>
      </c>
      <c r="AY179" s="7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-2.2737367544323206E-13</v>
      </c>
      <c r="BE179" s="13">
        <f>BD179*VLOOKUP('Données projet'!$B$11,Paramètres!$A$1:$I$89,3,0)*VLOOKUP('Données projet'!$B$11,Paramètres!$A$1:$I$89,5,0)</f>
        <v>-2.3765096557326618E-13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638.07304290599211</v>
      </c>
      <c r="BJ179" s="59">
        <f t="shared" si="146"/>
        <v>408.22196233793511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132.59198025163096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132.59198025163096</v>
      </c>
      <c r="BT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-2.2737367544323206E-13</v>
      </c>
      <c r="BZ179" s="13">
        <f>BY179*VLOOKUP('Données projet'!$B$12,Paramètres!$A$1:$I$89,3,0)*VLOOKUP('Données projet'!$B$12,Paramètres!$A$1:$I$89,5,0)</f>
        <v>-2.5893314159475268E-13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685.99951993586967</v>
      </c>
      <c r="CE179" s="59">
        <f t="shared" si="148"/>
        <v>437.98014017823095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144.46588893088139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144.46588893088139</v>
      </c>
      <c r="CO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-2.2737367544323206E-13</v>
      </c>
      <c r="CU179" s="17">
        <f>CT179*VLOOKUP('Données projet'!$B$13,Paramètres!$A$1:$I$89,3,0)*VLOOKUP('Données projet'!$B$13,Paramètres!$A$1:$I$89,5,0)</f>
        <v>-2.3055690689943731E-13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622.07867348539082</v>
      </c>
      <c r="CZ179" s="59">
        <f t="shared" si="150"/>
        <v>398.29010684041634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128.63401069188077</v>
      </c>
      <c r="DG179" s="21">
        <f>EXP(-LN(2)/25)*DG178+(1-EXP(-LN(2)/25))/(LN(2)/25)*Calculateur!DB179*Calculateur!DD179*VLOOKUP('Données projet'!$B$13,Paramètres!$A$1:$I$89,3,0)*0.475*44/12</f>
        <v>0</v>
      </c>
      <c r="DH179" s="21">
        <f>EXP(-LN(2)/2)*DH178+(1-EXP(-LN(2)/2))/(LN(2)/2)*DB179*DE179*VLOOKUP('Données projet'!$B$13,Paramètres!$A$1:$I$89,3,0)*0.475*44/12</f>
        <v>0</v>
      </c>
      <c r="DI179" s="22">
        <f t="shared" si="175"/>
        <v>128.63401069188077</v>
      </c>
      <c r="DJ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-2.2737367544323206E-13</v>
      </c>
      <c r="DP179" s="17">
        <f>DO179*VLOOKUP('Données projet'!$B$14,Paramètres!$A$1:$I$89,3,0)*VLOOKUP('Données projet'!$B$14,Paramètres!$A$1:$I$89,5,0)</f>
        <v>-2.1636878955177963E-13</v>
      </c>
      <c r="DQ179" s="13" t="e">
        <f t="shared" si="176"/>
        <v>#NUM!</v>
      </c>
      <c r="DR179" s="20" t="e">
        <f t="shared" si="177"/>
        <v>#NUM!</v>
      </c>
      <c r="DS179" s="59" t="e">
        <f t="shared" si="125"/>
        <v>#NUM!</v>
      </c>
      <c r="DT179" s="59">
        <f ca="1">AVERAGE(OFFSET($DS$3,0,0,'Données projet'!$E$14+1,1))-AVERAGE(OFFSET($H$3,0,0,'Données projet'!$E$14+1,1))</f>
        <v>590.05965493677377</v>
      </c>
      <c r="DU179" s="59">
        <f t="shared" si="152"/>
        <v>378.40640480134505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120.71807157238032</v>
      </c>
      <c r="EB179" s="21">
        <f>EXP(-LN(2)/25)*EB178+(1-EXP(-LN(2)/25))/(LN(2)/25)*Calculateur!DW179*Calculateur!DY179*VLOOKUP('Données projet'!$B$14,Paramètres!$A$1:$I$89,3,0)*0.475*44/12</f>
        <v>0</v>
      </c>
      <c r="EC179" s="21">
        <f>EXP(-LN(2)/2)*EC178+(1-EXP(-LN(2)/2))/(LN(2)/2)*DW179*DZ179*VLOOKUP('Données projet'!$B$14,Paramètres!$A$1:$I$89,3,0)*0.475*44/12</f>
        <v>0</v>
      </c>
      <c r="ED179" s="22">
        <f t="shared" si="178"/>
        <v>120.71807157238032</v>
      </c>
      <c r="EE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68.602838597869052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2">
        <f>'Scénario référence'!$B$16*5+'Scénario référence'!$B$17*0+'Scénario référence'!$B$18*5</f>
        <v>4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14.666666666666666</v>
      </c>
      <c r="H180" s="66">
        <f t="shared" si="110"/>
        <v>159.86666666666667</v>
      </c>
      <c r="I180" s="6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-2.9085640562698246E-14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140.03175887621094</v>
      </c>
      <c r="T180" s="59">
        <f t="shared" si="142"/>
        <v>377.29475975964954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3.8424651617007699</v>
      </c>
      <c r="AA180" s="21">
        <f>EXP(-LN(2)/25)*AA179+(1-EXP(-LN(2)/25))/(LN(2)/25)*Calculateur!V180*Calculateur!X180*VLOOKUP('Données projet'!$B$9,Paramètres!$A$1:$I$89,3,0)*0.475*44/12</f>
        <v>0</v>
      </c>
      <c r="AB180" s="21">
        <f>EXP(-LN(2)/2)*AB179+(1-EXP(-LN(2)/2))/(LN(2)/2)*V180*Y180*VLOOKUP('Données projet'!$B$9,Paramètres!$A$1:$I$89,3,0)*0.475*44/12</f>
        <v>1.8349594880383387E-22</v>
      </c>
      <c r="AC180" s="22">
        <f t="shared" si="163"/>
        <v>3.8424651617007699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-5.6843418860808015E-14</v>
      </c>
      <c r="AJ180" s="13">
        <f>AI180*VLOOKUP('Données projet'!$B$10,Paramètres!$A$1:$I$89,3,0)*VLOOKUP('Données projet'!$B$10,Paramètres!$A$1:$I$89,5,0)</f>
        <v>-2.8642261895583942E-14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138.27364731587764</v>
      </c>
      <c r="AO180" s="59">
        <f t="shared" si="144"/>
        <v>372.50391467700013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3.7838909976504453</v>
      </c>
      <c r="AV180" s="21">
        <f>EXP(-LN(2)/25)*AV179+(1-EXP(-LN(2)/25))/(LN(2)/25)*Calculateur!AQ180*Calculateur!AS180*VLOOKUP('Données projet'!$B$10,Paramètres!$A$1:$I$89,3,0)*0.475*44/12</f>
        <v>0</v>
      </c>
      <c r="AW180" s="21">
        <f>EXP(-LN(2)/2)*AW179+(1-EXP(-LN(2)/2))/(LN(2)/2)*AQ180*AT180*VLOOKUP('Données projet'!$B$10,Paramètres!$A$1:$I$89,3,0)*0.475*44/12</f>
        <v>1.8069875446231183E-22</v>
      </c>
      <c r="AX180" s="21">
        <f t="shared" si="166"/>
        <v>3.7838909976504453</v>
      </c>
      <c r="AY180" s="7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-2.2737367544323206E-13</v>
      </c>
      <c r="BE180" s="13">
        <f>BD180*VLOOKUP('Données projet'!$B$11,Paramètres!$A$1:$I$89,3,0)*VLOOKUP('Données projet'!$B$11,Paramètres!$A$1:$I$89,5,0)</f>
        <v>-2.3765096557326618E-13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638.07304290599211</v>
      </c>
      <c r="BJ180" s="59">
        <f t="shared" si="146"/>
        <v>408.22196233793511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129.99193239201887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129.99193239201887</v>
      </c>
      <c r="BT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-2.2737367544323206E-13</v>
      </c>
      <c r="BZ180" s="13">
        <f>BY180*VLOOKUP('Données projet'!$B$12,Paramètres!$A$1:$I$89,3,0)*VLOOKUP('Données projet'!$B$12,Paramètres!$A$1:$I$89,5,0)</f>
        <v>-2.5893314159475268E-13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685.99951993586967</v>
      </c>
      <c r="CE180" s="59">
        <f t="shared" si="148"/>
        <v>437.98014017823095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141.63300096443837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141.63300096443837</v>
      </c>
      <c r="CO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-2.2737367544323206E-13</v>
      </c>
      <c r="CU180" s="17">
        <f>CT180*VLOOKUP('Données projet'!$B$13,Paramètres!$A$1:$I$89,3,0)*VLOOKUP('Données projet'!$B$13,Paramètres!$A$1:$I$89,5,0)</f>
        <v>-2.3055690689943731E-13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622.07867348539082</v>
      </c>
      <c r="CZ180" s="59">
        <f t="shared" si="150"/>
        <v>398.29010684041634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126.11157620121233</v>
      </c>
      <c r="DG180" s="21">
        <f>EXP(-LN(2)/25)*DG179+(1-EXP(-LN(2)/25))/(LN(2)/25)*Calculateur!DB180*Calculateur!DD180*VLOOKUP('Données projet'!$B$13,Paramètres!$A$1:$I$89,3,0)*0.475*44/12</f>
        <v>0</v>
      </c>
      <c r="DH180" s="21">
        <f>EXP(-LN(2)/2)*DH179+(1-EXP(-LN(2)/2))/(LN(2)/2)*DB180*DE180*VLOOKUP('Données projet'!$B$13,Paramètres!$A$1:$I$89,3,0)*0.475*44/12</f>
        <v>0</v>
      </c>
      <c r="DI180" s="22">
        <f t="shared" si="175"/>
        <v>126.11157620121233</v>
      </c>
      <c r="DJ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-2.2737367544323206E-13</v>
      </c>
      <c r="DP180" s="17">
        <f>DO180*VLOOKUP('Données projet'!$B$14,Paramètres!$A$1:$I$89,3,0)*VLOOKUP('Données projet'!$B$14,Paramètres!$A$1:$I$89,5,0)</f>
        <v>-2.1636878955177963E-13</v>
      </c>
      <c r="DQ180" s="13" t="e">
        <f t="shared" si="176"/>
        <v>#NUM!</v>
      </c>
      <c r="DR180" s="20" t="e">
        <f t="shared" si="177"/>
        <v>#NUM!</v>
      </c>
      <c r="DS180" s="59" t="e">
        <f t="shared" si="125"/>
        <v>#NUM!</v>
      </c>
      <c r="DT180" s="59">
        <f ca="1">AVERAGE(OFFSET($DS$3,0,0,'Données projet'!$E$14+1,1))-AVERAGE(OFFSET($H$3,0,0,'Données projet'!$E$14+1,1))</f>
        <v>590.05965493677377</v>
      </c>
      <c r="DU180" s="59">
        <f t="shared" si="152"/>
        <v>378.40640480134505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118.35086381959917</v>
      </c>
      <c r="EB180" s="21">
        <f>EXP(-LN(2)/25)*EB179+(1-EXP(-LN(2)/25))/(LN(2)/25)*Calculateur!DW180*Calculateur!DY180*VLOOKUP('Données projet'!$B$14,Paramètres!$A$1:$I$89,3,0)*0.475*44/12</f>
        <v>0</v>
      </c>
      <c r="EC180" s="21">
        <f>EXP(-LN(2)/2)*EC179+(1-EXP(-LN(2)/2))/(LN(2)/2)*DW180*DZ180*VLOOKUP('Données projet'!$B$14,Paramètres!$A$1:$I$89,3,0)*0.475*44/12</f>
        <v>0</v>
      </c>
      <c r="ED180" s="22">
        <f t="shared" si="178"/>
        <v>118.35086381959917</v>
      </c>
      <c r="EE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68.627076224611073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2">
        <f>'Scénario référence'!$B$16*5+'Scénario référence'!$B$17*0+'Scénario référence'!$B$18*5</f>
        <v>4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14.666666666666666</v>
      </c>
      <c r="H181" s="66">
        <f t="shared" si="110"/>
        <v>159.86666666666667</v>
      </c>
      <c r="I181" s="6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-2.9085640562698246E-14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140.03175887621094</v>
      </c>
      <c r="T181" s="59">
        <f t="shared" si="142"/>
        <v>377.29475975964954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3.7671167635521479</v>
      </c>
      <c r="AA181" s="21">
        <f>EXP(-LN(2)/25)*AA180+(1-EXP(-LN(2)/25))/(LN(2)/25)*Calculateur!V181*Calculateur!X181*VLOOKUP('Données projet'!$B$9,Paramètres!$A$1:$I$89,3,0)*0.475*44/12</f>
        <v>0</v>
      </c>
      <c r="AB181" s="21">
        <f>EXP(-LN(2)/2)*AB180+(1-EXP(-LN(2)/2))/(LN(2)/2)*V181*Y181*VLOOKUP('Données projet'!$B$9,Paramètres!$A$1:$I$89,3,0)*0.475*44/12</f>
        <v>1.2975122971945048E-22</v>
      </c>
      <c r="AC181" s="22">
        <f t="shared" si="163"/>
        <v>3.7671167635521479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-5.6843418860808015E-14</v>
      </c>
      <c r="AJ181" s="13">
        <f>AI181*VLOOKUP('Données projet'!$B$10,Paramètres!$A$1:$I$89,3,0)*VLOOKUP('Données projet'!$B$10,Paramètres!$A$1:$I$89,5,0)</f>
        <v>-2.8642261895583942E-14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138.27364731587764</v>
      </c>
      <c r="AO181" s="59">
        <f t="shared" si="144"/>
        <v>372.50391467700013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3.7096912031321381</v>
      </c>
      <c r="AV181" s="21">
        <f>EXP(-LN(2)/25)*AV180+(1-EXP(-LN(2)/25))/(LN(2)/25)*Calculateur!AQ181*Calculateur!AS181*VLOOKUP('Données projet'!$B$10,Paramètres!$A$1:$I$89,3,0)*0.475*44/12</f>
        <v>0</v>
      </c>
      <c r="AW181" s="21">
        <f>EXP(-LN(2)/2)*AW180+(1-EXP(-LN(2)/2))/(LN(2)/2)*AQ181*AT181*VLOOKUP('Données projet'!$B$10,Paramètres!$A$1:$I$89,3,0)*0.475*44/12</f>
        <v>1.2777331463226361E-22</v>
      </c>
      <c r="AX181" s="21">
        <f t="shared" si="166"/>
        <v>3.7096912031321381</v>
      </c>
      <c r="AY181" s="7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-2.2737367544323206E-13</v>
      </c>
      <c r="BE181" s="13">
        <f>BD181*VLOOKUP('Données projet'!$B$11,Paramètres!$A$1:$I$89,3,0)*VLOOKUP('Données projet'!$B$11,Paramètres!$A$1:$I$89,5,0)</f>
        <v>-2.3765096557326618E-13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638.07304290599211</v>
      </c>
      <c r="BJ181" s="59">
        <f t="shared" si="146"/>
        <v>408.22196233793511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127.44286988506117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127.44286988506117</v>
      </c>
      <c r="BT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-2.2737367544323206E-13</v>
      </c>
      <c r="BZ181" s="13">
        <f>BY181*VLOOKUP('Données projet'!$B$12,Paramètres!$A$1:$I$89,3,0)*VLOOKUP('Données projet'!$B$12,Paramètres!$A$1:$I$89,5,0)</f>
        <v>-2.5893314159475268E-13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685.99951993586967</v>
      </c>
      <c r="CE181" s="59">
        <f t="shared" si="148"/>
        <v>437.98014017823095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138.85566420312625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138.85566420312625</v>
      </c>
      <c r="CO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-2.2737367544323206E-13</v>
      </c>
      <c r="CU181" s="17">
        <f>CT181*VLOOKUP('Données projet'!$B$13,Paramètres!$A$1:$I$89,3,0)*VLOOKUP('Données projet'!$B$13,Paramètres!$A$1:$I$89,5,0)</f>
        <v>-2.3055690689943731E-13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622.07867348539082</v>
      </c>
      <c r="CZ181" s="59">
        <f t="shared" si="150"/>
        <v>398.29010684041634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123.63860511237277</v>
      </c>
      <c r="DG181" s="21">
        <f>EXP(-LN(2)/25)*DG180+(1-EXP(-LN(2)/25))/(LN(2)/25)*Calculateur!DB181*Calculateur!DD181*VLOOKUP('Données projet'!$B$13,Paramètres!$A$1:$I$89,3,0)*0.475*44/12</f>
        <v>0</v>
      </c>
      <c r="DH181" s="21">
        <f>EXP(-LN(2)/2)*DH180+(1-EXP(-LN(2)/2))/(LN(2)/2)*DB181*DE181*VLOOKUP('Données projet'!$B$13,Paramètres!$A$1:$I$89,3,0)*0.475*44/12</f>
        <v>0</v>
      </c>
      <c r="DI181" s="22">
        <f t="shared" si="175"/>
        <v>123.63860511237277</v>
      </c>
      <c r="DJ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-2.2737367544323206E-13</v>
      </c>
      <c r="DP181" s="17">
        <f>DO181*VLOOKUP('Données projet'!$B$14,Paramètres!$A$1:$I$89,3,0)*VLOOKUP('Données projet'!$B$14,Paramètres!$A$1:$I$89,5,0)</f>
        <v>-2.1636878955177963E-13</v>
      </c>
      <c r="DQ181" s="13" t="e">
        <f t="shared" si="176"/>
        <v>#NUM!</v>
      </c>
      <c r="DR181" s="20" t="e">
        <f t="shared" si="177"/>
        <v>#NUM!</v>
      </c>
      <c r="DS181" s="59" t="e">
        <f t="shared" si="125"/>
        <v>#NUM!</v>
      </c>
      <c r="DT181" s="59">
        <f ca="1">AVERAGE(OFFSET($DS$3,0,0,'Données projet'!$E$14+1,1))-AVERAGE(OFFSET($H$3,0,0,'Données projet'!$E$14+1,1))</f>
        <v>590.05965493677377</v>
      </c>
      <c r="DU181" s="59">
        <f t="shared" si="152"/>
        <v>378.40640480134505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116.03007556699589</v>
      </c>
      <c r="EB181" s="21">
        <f>EXP(-LN(2)/25)*EB180+(1-EXP(-LN(2)/25))/(LN(2)/25)*Calculateur!DW181*Calculateur!DY181*VLOOKUP('Données projet'!$B$14,Paramètres!$A$1:$I$89,3,0)*0.475*44/12</f>
        <v>0</v>
      </c>
      <c r="EC181" s="21">
        <f>EXP(-LN(2)/2)*EC180+(1-EXP(-LN(2)/2))/(LN(2)/2)*DW181*DZ181*VLOOKUP('Données projet'!$B$14,Paramètres!$A$1:$I$89,3,0)*0.475*44/12</f>
        <v>0</v>
      </c>
      <c r="ED181" s="22">
        <f t="shared" si="178"/>
        <v>116.03007556699589</v>
      </c>
      <c r="EE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68.650893382716347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2">
        <f>'Scénario référence'!$B$16*5+'Scénario référence'!$B$17*0+'Scénario référence'!$B$18*5</f>
        <v>4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14.666666666666666</v>
      </c>
      <c r="H182" s="66">
        <f t="shared" si="110"/>
        <v>159.86666666666667</v>
      </c>
      <c r="I182" s="6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-2.9085640562698246E-14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140.03175887621094</v>
      </c>
      <c r="T182" s="59">
        <f t="shared" si="142"/>
        <v>377.29475975964954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3.6932459015332357</v>
      </c>
      <c r="AA182" s="21">
        <f>EXP(-LN(2)/25)*AA181+(1-EXP(-LN(2)/25))/(LN(2)/25)*Calculateur!V182*Calculateur!X182*VLOOKUP('Données projet'!$B$9,Paramètres!$A$1:$I$89,3,0)*0.475*44/12</f>
        <v>0</v>
      </c>
      <c r="AB182" s="21">
        <f>EXP(-LN(2)/2)*AB181+(1-EXP(-LN(2)/2))/(LN(2)/2)*V182*Y182*VLOOKUP('Données projet'!$B$9,Paramètres!$A$1:$I$89,3,0)*0.475*44/12</f>
        <v>9.1747974401916935E-23</v>
      </c>
      <c r="AC182" s="22">
        <f t="shared" si="163"/>
        <v>3.6932459015332357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-5.6843418860808015E-14</v>
      </c>
      <c r="AJ182" s="13">
        <f>AI182*VLOOKUP('Données projet'!$B$10,Paramètres!$A$1:$I$89,3,0)*VLOOKUP('Données projet'!$B$10,Paramètres!$A$1:$I$89,5,0)</f>
        <v>-2.8642261895583942E-14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138.27364731587764</v>
      </c>
      <c r="AO182" s="59">
        <f t="shared" si="144"/>
        <v>372.50391467700013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3.6369464213269289</v>
      </c>
      <c r="AV182" s="21">
        <f>EXP(-LN(2)/25)*AV181+(1-EXP(-LN(2)/25))/(LN(2)/25)*Calculateur!AQ182*Calculateur!AS182*VLOOKUP('Données projet'!$B$10,Paramètres!$A$1:$I$89,3,0)*0.475*44/12</f>
        <v>0</v>
      </c>
      <c r="AW182" s="21">
        <f>EXP(-LN(2)/2)*AW181+(1-EXP(-LN(2)/2))/(LN(2)/2)*AQ182*AT182*VLOOKUP('Données projet'!$B$10,Paramètres!$A$1:$I$89,3,0)*0.475*44/12</f>
        <v>9.0349377231155914E-23</v>
      </c>
      <c r="AX182" s="21">
        <f t="shared" si="166"/>
        <v>3.6369464213269289</v>
      </c>
      <c r="AY182" s="7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-2.2737367544323206E-13</v>
      </c>
      <c r="BE182" s="13">
        <f>BD182*VLOOKUP('Données projet'!$B$11,Paramètres!$A$1:$I$89,3,0)*VLOOKUP('Données projet'!$B$11,Paramètres!$A$1:$I$89,5,0)</f>
        <v>-2.3765096557326618E-13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638.07304290599211</v>
      </c>
      <c r="BJ182" s="59">
        <f t="shared" si="146"/>
        <v>408.22196233793511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124.9437929390903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124.9437929390903</v>
      </c>
      <c r="BT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-2.2737367544323206E-13</v>
      </c>
      <c r="BZ182" s="13">
        <f>BY182*VLOOKUP('Données projet'!$B$12,Paramètres!$A$1:$I$89,3,0)*VLOOKUP('Données projet'!$B$12,Paramètres!$A$1:$I$89,5,0)</f>
        <v>-2.5893314159475268E-13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685.99951993586967</v>
      </c>
      <c r="CE182" s="59">
        <f t="shared" si="148"/>
        <v>437.98014017823095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136.13278932169533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136.13278932169533</v>
      </c>
      <c r="CO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-2.2737367544323206E-13</v>
      </c>
      <c r="CU182" s="17">
        <f>CT182*VLOOKUP('Données projet'!$B$13,Paramètres!$A$1:$I$89,3,0)*VLOOKUP('Données projet'!$B$13,Paramètres!$A$1:$I$89,5,0)</f>
        <v>-2.3055690689943731E-13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622.07867348539082</v>
      </c>
      <c r="CZ182" s="59">
        <f t="shared" si="150"/>
        <v>398.29010684041634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121.21412747822194</v>
      </c>
      <c r="DG182" s="21">
        <f>EXP(-LN(2)/25)*DG181+(1-EXP(-LN(2)/25))/(LN(2)/25)*Calculateur!DB182*Calculateur!DD182*VLOOKUP('Données projet'!$B$13,Paramètres!$A$1:$I$89,3,0)*0.475*44/12</f>
        <v>0</v>
      </c>
      <c r="DH182" s="21">
        <f>EXP(-LN(2)/2)*DH181+(1-EXP(-LN(2)/2))/(LN(2)/2)*DB182*DE182*VLOOKUP('Données projet'!$B$13,Paramètres!$A$1:$I$89,3,0)*0.475*44/12</f>
        <v>0</v>
      </c>
      <c r="DI182" s="22">
        <f t="shared" si="175"/>
        <v>121.21412747822194</v>
      </c>
      <c r="DJ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-2.2737367544323206E-13</v>
      </c>
      <c r="DP182" s="17">
        <f>DO182*VLOOKUP('Données projet'!$B$14,Paramètres!$A$1:$I$89,3,0)*VLOOKUP('Données projet'!$B$14,Paramètres!$A$1:$I$89,5,0)</f>
        <v>-2.1636878955177963E-13</v>
      </c>
      <c r="DQ182" s="13" t="e">
        <f t="shared" si="176"/>
        <v>#NUM!</v>
      </c>
      <c r="DR182" s="20" t="e">
        <f t="shared" si="177"/>
        <v>#NUM!</v>
      </c>
      <c r="DS182" s="59" t="e">
        <f t="shared" si="125"/>
        <v>#NUM!</v>
      </c>
      <c r="DT182" s="59">
        <f ca="1">AVERAGE(OFFSET($DS$3,0,0,'Données projet'!$E$14+1,1))-AVERAGE(OFFSET($H$3,0,0,'Données projet'!$E$14+1,1))</f>
        <v>590.05965493677377</v>
      </c>
      <c r="DU182" s="59">
        <f t="shared" si="152"/>
        <v>378.40640480134505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113.7547965564851</v>
      </c>
      <c r="EB182" s="21">
        <f>EXP(-LN(2)/25)*EB181+(1-EXP(-LN(2)/25))/(LN(2)/25)*Calculateur!DW182*Calculateur!DY182*VLOOKUP('Données projet'!$B$14,Paramètres!$A$1:$I$89,3,0)*0.475*44/12</f>
        <v>0</v>
      </c>
      <c r="EC182" s="21">
        <f>EXP(-LN(2)/2)*EC181+(1-EXP(-LN(2)/2))/(LN(2)/2)*DW182*DZ182*VLOOKUP('Données projet'!$B$14,Paramètres!$A$1:$I$89,3,0)*0.475*44/12</f>
        <v>0</v>
      </c>
      <c r="ED182" s="22">
        <f t="shared" si="178"/>
        <v>113.7547965564851</v>
      </c>
      <c r="EE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68.674297366375669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2">
        <f>'Scénario référence'!$B$16*5+'Scénario référence'!$B$17*0+'Scénario référence'!$B$18*5</f>
        <v>4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14.666666666666666</v>
      </c>
      <c r="H183" s="66">
        <f t="shared" si="110"/>
        <v>159.86666666666667</v>
      </c>
      <c r="I183" s="6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-2.9085640562698246E-14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140.03175887621094</v>
      </c>
      <c r="T183" s="59">
        <f t="shared" si="142"/>
        <v>377.29475975964954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3.6208236020617375</v>
      </c>
      <c r="AA183" s="21">
        <f>EXP(-LN(2)/25)*AA182+(1-EXP(-LN(2)/25))/(LN(2)/25)*Calculateur!V183*Calculateur!X183*VLOOKUP('Données projet'!$B$9,Paramètres!$A$1:$I$89,3,0)*0.475*44/12</f>
        <v>0</v>
      </c>
      <c r="AB183" s="21">
        <f>EXP(-LN(2)/2)*AB182+(1-EXP(-LN(2)/2))/(LN(2)/2)*V183*Y183*VLOOKUP('Données projet'!$B$9,Paramètres!$A$1:$I$89,3,0)*0.475*44/12</f>
        <v>6.487561485972524E-23</v>
      </c>
      <c r="AC183" s="22">
        <f t="shared" si="163"/>
        <v>3.6208236020617375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-5.6843418860808015E-14</v>
      </c>
      <c r="AJ183" s="13">
        <f>AI183*VLOOKUP('Données projet'!$B$10,Paramètres!$A$1:$I$89,3,0)*VLOOKUP('Données projet'!$B$10,Paramètres!$A$1:$I$89,5,0)</f>
        <v>-2.8642261895583942E-14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138.27364731587764</v>
      </c>
      <c r="AO183" s="59">
        <f t="shared" si="144"/>
        <v>372.50391467700013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3.5656281203229843</v>
      </c>
      <c r="AV183" s="21">
        <f>EXP(-LN(2)/25)*AV182+(1-EXP(-LN(2)/25))/(LN(2)/25)*Calculateur!AQ183*Calculateur!AS183*VLOOKUP('Données projet'!$B$10,Paramètres!$A$1:$I$89,3,0)*0.475*44/12</f>
        <v>0</v>
      </c>
      <c r="AW183" s="21">
        <f>EXP(-LN(2)/2)*AW182+(1-EXP(-LN(2)/2))/(LN(2)/2)*AQ183*AT183*VLOOKUP('Données projet'!$B$10,Paramètres!$A$1:$I$89,3,0)*0.475*44/12</f>
        <v>6.3886657316131803E-23</v>
      </c>
      <c r="AX183" s="21">
        <f t="shared" si="166"/>
        <v>3.5656281203229843</v>
      </c>
      <c r="AY183" s="7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-2.2737367544323206E-13</v>
      </c>
      <c r="BE183" s="13">
        <f>BD183*VLOOKUP('Données projet'!$B$11,Paramètres!$A$1:$I$89,3,0)*VLOOKUP('Données projet'!$B$11,Paramètres!$A$1:$I$89,5,0)</f>
        <v>-2.3765096557326618E-13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638.07304290599211</v>
      </c>
      <c r="BJ183" s="59">
        <f t="shared" si="146"/>
        <v>408.22196233793511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122.4937213677435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122.4937213677435</v>
      </c>
      <c r="BT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-2.2737367544323206E-13</v>
      </c>
      <c r="BZ183" s="13">
        <f>BY183*VLOOKUP('Données projet'!$B$12,Paramètres!$A$1:$I$89,3,0)*VLOOKUP('Données projet'!$B$12,Paramètres!$A$1:$I$89,5,0)</f>
        <v>-2.5893314159475268E-13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685.99951993586967</v>
      </c>
      <c r="CE183" s="59">
        <f t="shared" si="148"/>
        <v>437.98014017823095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133.46330835589956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133.46330835589956</v>
      </c>
      <c r="CO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-2.2737367544323206E-13</v>
      </c>
      <c r="CU183" s="17">
        <f>CT183*VLOOKUP('Données projet'!$B$13,Paramètres!$A$1:$I$89,3,0)*VLOOKUP('Données projet'!$B$13,Paramètres!$A$1:$I$89,5,0)</f>
        <v>-2.3055690689943731E-13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622.07867348539082</v>
      </c>
      <c r="CZ183" s="59">
        <f t="shared" si="150"/>
        <v>398.29010684041634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118.83719237169146</v>
      </c>
      <c r="DG183" s="21">
        <f>EXP(-LN(2)/25)*DG182+(1-EXP(-LN(2)/25))/(LN(2)/25)*Calculateur!DB183*Calculateur!DD183*VLOOKUP('Données projet'!$B$13,Paramètres!$A$1:$I$89,3,0)*0.475*44/12</f>
        <v>0</v>
      </c>
      <c r="DH183" s="21">
        <f>EXP(-LN(2)/2)*DH182+(1-EXP(-LN(2)/2))/(LN(2)/2)*DB183*DE183*VLOOKUP('Données projet'!$B$13,Paramètres!$A$1:$I$89,3,0)*0.475*44/12</f>
        <v>0</v>
      </c>
      <c r="DI183" s="22">
        <f t="shared" si="175"/>
        <v>118.83719237169146</v>
      </c>
      <c r="DJ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-2.2737367544323206E-13</v>
      </c>
      <c r="DP183" s="17">
        <f>DO183*VLOOKUP('Données projet'!$B$14,Paramètres!$A$1:$I$89,3,0)*VLOOKUP('Données projet'!$B$14,Paramètres!$A$1:$I$89,5,0)</f>
        <v>-2.1636878955177963E-13</v>
      </c>
      <c r="DQ183" s="13" t="e">
        <f t="shared" si="176"/>
        <v>#NUM!</v>
      </c>
      <c r="DR183" s="20" t="e">
        <f t="shared" si="177"/>
        <v>#NUM!</v>
      </c>
      <c r="DS183" s="59" t="e">
        <f t="shared" si="125"/>
        <v>#NUM!</v>
      </c>
      <c r="DT183" s="59">
        <f ca="1">AVERAGE(OFFSET($DS$3,0,0,'Données projet'!$E$14+1,1))-AVERAGE(OFFSET($H$3,0,0,'Données projet'!$E$14+1,1))</f>
        <v>590.05965493677377</v>
      </c>
      <c r="DU183" s="59">
        <f t="shared" si="152"/>
        <v>378.40640480134505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111.52413437958727</v>
      </c>
      <c r="EB183" s="21">
        <f>EXP(-LN(2)/25)*EB182+(1-EXP(-LN(2)/25))/(LN(2)/25)*Calculateur!DW183*Calculateur!DY183*VLOOKUP('Données projet'!$B$14,Paramètres!$A$1:$I$89,3,0)*0.475*44/12</f>
        <v>0</v>
      </c>
      <c r="EC183" s="21">
        <f>EXP(-LN(2)/2)*EC182+(1-EXP(-LN(2)/2))/(LN(2)/2)*DW183*DZ183*VLOOKUP('Données projet'!$B$14,Paramètres!$A$1:$I$89,3,0)*0.475*44/12</f>
        <v>0</v>
      </c>
      <c r="ED183" s="22">
        <f t="shared" si="178"/>
        <v>111.52413437958727</v>
      </c>
      <c r="EE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68.69729534324199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2">
        <f>'Scénario référence'!$B$16*5+'Scénario référence'!$B$17*0+'Scénario référence'!$B$18*5</f>
        <v>4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14.666666666666666</v>
      </c>
      <c r="H184" s="66">
        <f t="shared" si="110"/>
        <v>159.86666666666667</v>
      </c>
      <c r="I184" s="6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-2.9085640562698246E-14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140.03175887621094</v>
      </c>
      <c r="T184" s="59">
        <f t="shared" si="142"/>
        <v>377.29475975964954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3.5498214597096345</v>
      </c>
      <c r="AA184" s="21">
        <f>EXP(-LN(2)/25)*AA183+(1-EXP(-LN(2)/25))/(LN(2)/25)*Calculateur!V184*Calculateur!X184*VLOOKUP('Données projet'!$B$9,Paramètres!$A$1:$I$89,3,0)*0.475*44/12</f>
        <v>0</v>
      </c>
      <c r="AB184" s="21">
        <f>EXP(-LN(2)/2)*AB183+(1-EXP(-LN(2)/2))/(LN(2)/2)*V184*Y184*VLOOKUP('Données projet'!$B$9,Paramètres!$A$1:$I$89,3,0)*0.475*44/12</f>
        <v>4.5873987200958467E-23</v>
      </c>
      <c r="AC184" s="22">
        <f t="shared" si="163"/>
        <v>3.5498214597096345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-5.6843418860808015E-14</v>
      </c>
      <c r="AJ184" s="13">
        <f>AI184*VLOOKUP('Données projet'!$B$10,Paramètres!$A$1:$I$89,3,0)*VLOOKUP('Données projet'!$B$10,Paramètres!$A$1:$I$89,5,0)</f>
        <v>-2.8642261895583942E-14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138.27364731587764</v>
      </c>
      <c r="AO184" s="59">
        <f t="shared" si="144"/>
        <v>372.50391467700013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3.4957083277018586</v>
      </c>
      <c r="AV184" s="21">
        <f>EXP(-LN(2)/25)*AV183+(1-EXP(-LN(2)/25))/(LN(2)/25)*Calculateur!AQ184*Calculateur!AS184*VLOOKUP('Données projet'!$B$10,Paramètres!$A$1:$I$89,3,0)*0.475*44/12</f>
        <v>0</v>
      </c>
      <c r="AW184" s="21">
        <f>EXP(-LN(2)/2)*AW183+(1-EXP(-LN(2)/2))/(LN(2)/2)*AQ184*AT184*VLOOKUP('Données projet'!$B$10,Paramètres!$A$1:$I$89,3,0)*0.475*44/12</f>
        <v>4.5174688615577957E-23</v>
      </c>
      <c r="AX184" s="21">
        <f t="shared" si="166"/>
        <v>3.4957083277018586</v>
      </c>
      <c r="AY184" s="7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-2.2737367544323206E-13</v>
      </c>
      <c r="BE184" s="13">
        <f>BD184*VLOOKUP('Données projet'!$B$11,Paramètres!$A$1:$I$89,3,0)*VLOOKUP('Données projet'!$B$11,Paramètres!$A$1:$I$89,5,0)</f>
        <v>-2.3765096557326618E-13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638.07304290599211</v>
      </c>
      <c r="BJ184" s="59">
        <f t="shared" si="146"/>
        <v>408.22196233793511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120.09169420551471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120.09169420551471</v>
      </c>
      <c r="BT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-2.2737367544323206E-13</v>
      </c>
      <c r="BZ184" s="13">
        <f>BY184*VLOOKUP('Données projet'!$B$12,Paramètres!$A$1:$I$89,3,0)*VLOOKUP('Données projet'!$B$12,Paramètres!$A$1:$I$89,5,0)</f>
        <v>-2.5893314159475268E-13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685.99951993586967</v>
      </c>
      <c r="CE184" s="59">
        <f t="shared" si="148"/>
        <v>437.98014017823095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130.84617428362043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130.84617428362043</v>
      </c>
      <c r="CO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-2.2737367544323206E-13</v>
      </c>
      <c r="CU184" s="17">
        <f>CT184*VLOOKUP('Données projet'!$B$13,Paramètres!$A$1:$I$89,3,0)*VLOOKUP('Données projet'!$B$13,Paramètres!$A$1:$I$89,5,0)</f>
        <v>-2.3055690689943731E-13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622.07867348539082</v>
      </c>
      <c r="CZ184" s="59">
        <f t="shared" si="150"/>
        <v>398.29010684041634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116.50686751281278</v>
      </c>
      <c r="DG184" s="21">
        <f>EXP(-LN(2)/25)*DG183+(1-EXP(-LN(2)/25))/(LN(2)/25)*Calculateur!DB184*Calculateur!DD184*VLOOKUP('Données projet'!$B$13,Paramètres!$A$1:$I$89,3,0)*0.475*44/12</f>
        <v>0</v>
      </c>
      <c r="DH184" s="21">
        <f>EXP(-LN(2)/2)*DH183+(1-EXP(-LN(2)/2))/(LN(2)/2)*DB184*DE184*VLOOKUP('Données projet'!$B$13,Paramètres!$A$1:$I$89,3,0)*0.475*44/12</f>
        <v>0</v>
      </c>
      <c r="DI184" s="22">
        <f t="shared" si="175"/>
        <v>116.50686751281278</v>
      </c>
      <c r="DJ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-2.2737367544323206E-13</v>
      </c>
      <c r="DP184" s="17">
        <f>DO184*VLOOKUP('Données projet'!$B$14,Paramètres!$A$1:$I$89,3,0)*VLOOKUP('Données projet'!$B$14,Paramètres!$A$1:$I$89,5,0)</f>
        <v>-2.1636878955177963E-13</v>
      </c>
      <c r="DQ184" s="13" t="e">
        <f t="shared" si="176"/>
        <v>#NUM!</v>
      </c>
      <c r="DR184" s="20" t="e">
        <f t="shared" si="177"/>
        <v>#NUM!</v>
      </c>
      <c r="DS184" s="59" t="e">
        <f t="shared" si="125"/>
        <v>#NUM!</v>
      </c>
      <c r="DT184" s="59">
        <f ca="1">AVERAGE(OFFSET($DS$3,0,0,'Données projet'!$E$14+1,1))-AVERAGE(OFFSET($H$3,0,0,'Données projet'!$E$14+1,1))</f>
        <v>590.05965493677377</v>
      </c>
      <c r="DU184" s="59">
        <f t="shared" si="152"/>
        <v>378.40640480134505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109.33721412740881</v>
      </c>
      <c r="EB184" s="21">
        <f>EXP(-LN(2)/25)*EB183+(1-EXP(-LN(2)/25))/(LN(2)/25)*Calculateur!DW184*Calculateur!DY184*VLOOKUP('Données projet'!$B$14,Paramètres!$A$1:$I$89,3,0)*0.475*44/12</f>
        <v>0</v>
      </c>
      <c r="EC184" s="21">
        <f>EXP(-LN(2)/2)*EC183+(1-EXP(-LN(2)/2))/(LN(2)/2)*DW184*DZ184*VLOOKUP('Données projet'!$B$14,Paramètres!$A$1:$I$89,3,0)*0.475*44/12</f>
        <v>0</v>
      </c>
      <c r="ED184" s="22">
        <f t="shared" si="178"/>
        <v>109.33721412740881</v>
      </c>
      <c r="EE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68.719894356625417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2">
        <f>'Scénario référence'!$B$16*5+'Scénario référence'!$B$17*0+'Scénario référence'!$B$18*5</f>
        <v>4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14.666666666666666</v>
      </c>
      <c r="H185" s="66">
        <f t="shared" si="110"/>
        <v>159.86666666666667</v>
      </c>
      <c r="I185" s="6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-2.9085640562698246E-14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140.03175887621094</v>
      </c>
      <c r="T185" s="59">
        <f t="shared" si="142"/>
        <v>377.29475975964954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3.4802116260620255</v>
      </c>
      <c r="AA185" s="21">
        <f>EXP(-LN(2)/25)*AA184+(1-EXP(-LN(2)/25))/(LN(2)/25)*Calculateur!V185*Calculateur!X185*VLOOKUP('Données projet'!$B$9,Paramètres!$A$1:$I$89,3,0)*0.475*44/12</f>
        <v>0</v>
      </c>
      <c r="AB185" s="21">
        <f>EXP(-LN(2)/2)*AB184+(1-EXP(-LN(2)/2))/(LN(2)/2)*V185*Y185*VLOOKUP('Données projet'!$B$9,Paramètres!$A$1:$I$89,3,0)*0.475*44/12</f>
        <v>3.243780742986262E-23</v>
      </c>
      <c r="AC185" s="22">
        <f t="shared" si="163"/>
        <v>3.4802116260620255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-5.6843418860808015E-14</v>
      </c>
      <c r="AJ185" s="13">
        <f>AI185*VLOOKUP('Données projet'!$B$10,Paramètres!$A$1:$I$89,3,0)*VLOOKUP('Données projet'!$B$10,Paramètres!$A$1:$I$89,5,0)</f>
        <v>-2.8642261895583942E-14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138.27364731587764</v>
      </c>
      <c r="AO185" s="59">
        <f t="shared" si="144"/>
        <v>372.50391467700013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3.4271596195671705</v>
      </c>
      <c r="AV185" s="21">
        <f>EXP(-LN(2)/25)*AV184+(1-EXP(-LN(2)/25))/(LN(2)/25)*Calculateur!AQ185*Calculateur!AS185*VLOOKUP('Données projet'!$B$10,Paramètres!$A$1:$I$89,3,0)*0.475*44/12</f>
        <v>0</v>
      </c>
      <c r="AW185" s="21">
        <f>EXP(-LN(2)/2)*AW184+(1-EXP(-LN(2)/2))/(LN(2)/2)*AQ185*AT185*VLOOKUP('Données projet'!$B$10,Paramètres!$A$1:$I$89,3,0)*0.475*44/12</f>
        <v>3.1943328658065902E-23</v>
      </c>
      <c r="AX185" s="21">
        <f t="shared" si="166"/>
        <v>3.4271596195671705</v>
      </c>
      <c r="AY185" s="7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-2.2737367544323206E-13</v>
      </c>
      <c r="BE185" s="13">
        <f>BD185*VLOOKUP('Données projet'!$B$11,Paramètres!$A$1:$I$89,3,0)*VLOOKUP('Données projet'!$B$11,Paramètres!$A$1:$I$89,5,0)</f>
        <v>-2.3765096557326618E-13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638.07304290599211</v>
      </c>
      <c r="BJ185" s="59">
        <f t="shared" si="146"/>
        <v>408.22196233793511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117.73676933084532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117.73676933084532</v>
      </c>
      <c r="BT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-2.2737367544323206E-13</v>
      </c>
      <c r="BZ185" s="13">
        <f>BY185*VLOOKUP('Données projet'!$B$12,Paramètres!$A$1:$I$89,3,0)*VLOOKUP('Données projet'!$B$12,Paramètres!$A$1:$I$89,5,0)</f>
        <v>-2.5893314159475268E-13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685.99951993586967</v>
      </c>
      <c r="CE185" s="59">
        <f t="shared" si="148"/>
        <v>437.98014017823095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128.28036061420454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128.28036061420454</v>
      </c>
      <c r="CO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-2.2737367544323206E-13</v>
      </c>
      <c r="CU185" s="17">
        <f>CT185*VLOOKUP('Données projet'!$B$13,Paramètres!$A$1:$I$89,3,0)*VLOOKUP('Données projet'!$B$13,Paramètres!$A$1:$I$89,5,0)</f>
        <v>-2.3055690689943731E-13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622.07867348539082</v>
      </c>
      <c r="CZ185" s="59">
        <f t="shared" si="150"/>
        <v>398.29010684041634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114.22223890305889</v>
      </c>
      <c r="DG185" s="21">
        <f>EXP(-LN(2)/25)*DG184+(1-EXP(-LN(2)/25))/(LN(2)/25)*Calculateur!DB185*Calculateur!DD185*VLOOKUP('Données projet'!$B$13,Paramètres!$A$1:$I$89,3,0)*0.475*44/12</f>
        <v>0</v>
      </c>
      <c r="DH185" s="21">
        <f>EXP(-LN(2)/2)*DH184+(1-EXP(-LN(2)/2))/(LN(2)/2)*DB185*DE185*VLOOKUP('Données projet'!$B$13,Paramètres!$A$1:$I$89,3,0)*0.475*44/12</f>
        <v>0</v>
      </c>
      <c r="DI185" s="22">
        <f t="shared" si="175"/>
        <v>114.22223890305889</v>
      </c>
      <c r="DJ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-2.2737367544323206E-13</v>
      </c>
      <c r="DP185" s="17">
        <f>DO185*VLOOKUP('Données projet'!$B$14,Paramètres!$A$1:$I$89,3,0)*VLOOKUP('Données projet'!$B$14,Paramètres!$A$1:$I$89,5,0)</f>
        <v>-2.1636878955177963E-13</v>
      </c>
      <c r="DQ185" s="13" t="e">
        <f t="shared" si="176"/>
        <v>#NUM!</v>
      </c>
      <c r="DR185" s="20" t="e">
        <f t="shared" si="177"/>
        <v>#NUM!</v>
      </c>
      <c r="DS185" s="59" t="e">
        <f t="shared" si="125"/>
        <v>#NUM!</v>
      </c>
      <c r="DT185" s="59">
        <f ca="1">AVERAGE(OFFSET($DS$3,0,0,'Données projet'!$E$14+1,1))-AVERAGE(OFFSET($H$3,0,0,'Données projet'!$E$14+1,1))</f>
        <v>590.05965493677377</v>
      </c>
      <c r="DU185" s="59">
        <f t="shared" si="152"/>
        <v>378.40640480134505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107.19317804748594</v>
      </c>
      <c r="EB185" s="21">
        <f>EXP(-LN(2)/25)*EB184+(1-EXP(-LN(2)/25))/(LN(2)/25)*Calculateur!DW185*Calculateur!DY185*VLOOKUP('Données projet'!$B$14,Paramètres!$A$1:$I$89,3,0)*0.475*44/12</f>
        <v>0</v>
      </c>
      <c r="EC185" s="21">
        <f>EXP(-LN(2)/2)*EC184+(1-EXP(-LN(2)/2))/(LN(2)/2)*DW185*DZ185*VLOOKUP('Données projet'!$B$14,Paramètres!$A$1:$I$89,3,0)*0.475*44/12</f>
        <v>0</v>
      </c>
      <c r="ED185" s="22">
        <f t="shared" si="178"/>
        <v>107.19317804748594</v>
      </c>
      <c r="EE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68.742101327650488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2">
        <f>'Scénario référence'!$B$16*5+'Scénario référence'!$B$17*0+'Scénario référence'!$B$18*5</f>
        <v>4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14.666666666666666</v>
      </c>
      <c r="H186" s="66">
        <f t="shared" si="110"/>
        <v>159.86666666666667</v>
      </c>
      <c r="I186" s="6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-2.9085640562698246E-14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140.03175887621094</v>
      </c>
      <c r="T186" s="59">
        <f t="shared" si="142"/>
        <v>377.29475975964954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3.41196679879444</v>
      </c>
      <c r="AA186" s="21">
        <f>EXP(-LN(2)/25)*AA185+(1-EXP(-LN(2)/25))/(LN(2)/25)*Calculateur!V186*Calculateur!X186*VLOOKUP('Données projet'!$B$9,Paramètres!$A$1:$I$89,3,0)*0.475*44/12</f>
        <v>0</v>
      </c>
      <c r="AB186" s="21">
        <f>EXP(-LN(2)/2)*AB185+(1-EXP(-LN(2)/2))/(LN(2)/2)*V186*Y186*VLOOKUP('Données projet'!$B$9,Paramètres!$A$1:$I$89,3,0)*0.475*44/12</f>
        <v>2.2936993600479234E-23</v>
      </c>
      <c r="AC186" s="22">
        <f t="shared" si="163"/>
        <v>3.41196679879444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-5.6843418860808015E-14</v>
      </c>
      <c r="AJ186" s="13">
        <f>AI186*VLOOKUP('Données projet'!$B$10,Paramètres!$A$1:$I$89,3,0)*VLOOKUP('Données projet'!$B$10,Paramètres!$A$1:$I$89,5,0)</f>
        <v>-2.8642261895583942E-14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138.27364731587764</v>
      </c>
      <c r="AO186" s="59">
        <f t="shared" si="144"/>
        <v>372.50391467700013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3.3599551097884204</v>
      </c>
      <c r="AV186" s="21">
        <f>EXP(-LN(2)/25)*AV185+(1-EXP(-LN(2)/25))/(LN(2)/25)*Calculateur!AQ186*Calculateur!AS186*VLOOKUP('Données projet'!$B$10,Paramètres!$A$1:$I$89,3,0)*0.475*44/12</f>
        <v>0</v>
      </c>
      <c r="AW186" s="21">
        <f>EXP(-LN(2)/2)*AW185+(1-EXP(-LN(2)/2))/(LN(2)/2)*AQ186*AT186*VLOOKUP('Données projet'!$B$10,Paramètres!$A$1:$I$89,3,0)*0.475*44/12</f>
        <v>2.2587344307788979E-23</v>
      </c>
      <c r="AX186" s="21">
        <f t="shared" si="166"/>
        <v>3.3599551097884204</v>
      </c>
      <c r="AY186" s="7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-2.2737367544323206E-13</v>
      </c>
      <c r="BE186" s="13">
        <f>BD186*VLOOKUP('Données projet'!$B$11,Paramètres!$A$1:$I$89,3,0)*VLOOKUP('Données projet'!$B$11,Paramètres!$A$1:$I$89,5,0)</f>
        <v>-2.3765096557326618E-13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638.07304290599211</v>
      </c>
      <c r="BJ186" s="59">
        <f t="shared" si="146"/>
        <v>408.22196233793511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115.42802309660586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115.42802309660586</v>
      </c>
      <c r="BT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-2.2737367544323206E-13</v>
      </c>
      <c r="BZ186" s="13">
        <f>BY186*VLOOKUP('Données projet'!$B$12,Paramètres!$A$1:$I$89,3,0)*VLOOKUP('Données projet'!$B$12,Paramètres!$A$1:$I$89,5,0)</f>
        <v>-2.5893314159475268E-13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685.99951993586967</v>
      </c>
      <c r="CE186" s="59">
        <f t="shared" si="148"/>
        <v>437.98014017823095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125.76486098585409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125.76486098585409</v>
      </c>
      <c r="CO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-2.2737367544323206E-13</v>
      </c>
      <c r="CU186" s="17">
        <f>CT186*VLOOKUP('Données projet'!$B$13,Paramètres!$A$1:$I$89,3,0)*VLOOKUP('Données projet'!$B$13,Paramètres!$A$1:$I$89,5,0)</f>
        <v>-2.3055690689943731E-13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622.07867348539082</v>
      </c>
      <c r="CZ186" s="59">
        <f t="shared" si="150"/>
        <v>398.29010684041634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111.98241046685642</v>
      </c>
      <c r="DG186" s="21">
        <f>EXP(-LN(2)/25)*DG185+(1-EXP(-LN(2)/25))/(LN(2)/25)*Calculateur!DB186*Calculateur!DD186*VLOOKUP('Données projet'!$B$13,Paramètres!$A$1:$I$89,3,0)*0.475*44/12</f>
        <v>0</v>
      </c>
      <c r="DH186" s="21">
        <f>EXP(-LN(2)/2)*DH185+(1-EXP(-LN(2)/2))/(LN(2)/2)*DB186*DE186*VLOOKUP('Données projet'!$B$13,Paramètres!$A$1:$I$89,3,0)*0.475*44/12</f>
        <v>0</v>
      </c>
      <c r="DI186" s="22">
        <f t="shared" si="175"/>
        <v>111.98241046685642</v>
      </c>
      <c r="DJ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-2.2737367544323206E-13</v>
      </c>
      <c r="DP186" s="17">
        <f>DO186*VLOOKUP('Données projet'!$B$14,Paramètres!$A$1:$I$89,3,0)*VLOOKUP('Données projet'!$B$14,Paramètres!$A$1:$I$89,5,0)</f>
        <v>-2.1636878955177963E-13</v>
      </c>
      <c r="DQ186" s="13" t="e">
        <f t="shared" si="176"/>
        <v>#NUM!</v>
      </c>
      <c r="DR186" s="20" t="e">
        <f t="shared" si="177"/>
        <v>#NUM!</v>
      </c>
      <c r="DS186" s="59" t="e">
        <f t="shared" si="125"/>
        <v>#NUM!</v>
      </c>
      <c r="DT186" s="59">
        <f ca="1">AVERAGE(OFFSET($DS$3,0,0,'Données projet'!$E$14+1,1))-AVERAGE(OFFSET($H$3,0,0,'Données projet'!$E$14+1,1))</f>
        <v>590.05965493677377</v>
      </c>
      <c r="DU186" s="59">
        <f t="shared" si="152"/>
        <v>378.40640480134505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105.09118520735748</v>
      </c>
      <c r="EB186" s="21">
        <f>EXP(-LN(2)/25)*EB185+(1-EXP(-LN(2)/25))/(LN(2)/25)*Calculateur!DW186*Calculateur!DY186*VLOOKUP('Données projet'!$B$14,Paramètres!$A$1:$I$89,3,0)*0.475*44/12</f>
        <v>0</v>
      </c>
      <c r="EC186" s="21">
        <f>EXP(-LN(2)/2)*EC185+(1-EXP(-LN(2)/2))/(LN(2)/2)*DW186*DZ186*VLOOKUP('Données projet'!$B$14,Paramètres!$A$1:$I$89,3,0)*0.475*44/12</f>
        <v>0</v>
      </c>
      <c r="ED186" s="22">
        <f t="shared" si="178"/>
        <v>105.09118520735748</v>
      </c>
      <c r="EE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68.763923057375635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2">
        <f>'Scénario référence'!$B$16*5+'Scénario référence'!$B$17*0+'Scénario référence'!$B$18*5</f>
        <v>4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14.666666666666666</v>
      </c>
      <c r="H187" s="66">
        <f t="shared" si="110"/>
        <v>159.86666666666667</v>
      </c>
      <c r="I187" s="6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-2.9085640562698246E-14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140.03175887621094</v>
      </c>
      <c r="T187" s="59">
        <f t="shared" si="142"/>
        <v>377.29475975964954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3.3450602109643373</v>
      </c>
      <c r="AA187" s="21">
        <f>EXP(-LN(2)/25)*AA186+(1-EXP(-LN(2)/25))/(LN(2)/25)*Calculateur!V187*Calculateur!X187*VLOOKUP('Données projet'!$B$9,Paramètres!$A$1:$I$89,3,0)*0.475*44/12</f>
        <v>0</v>
      </c>
      <c r="AB187" s="21">
        <f>EXP(-LN(2)/2)*AB186+(1-EXP(-LN(2)/2))/(LN(2)/2)*V187*Y187*VLOOKUP('Données projet'!$B$9,Paramètres!$A$1:$I$89,3,0)*0.475*44/12</f>
        <v>1.621890371493131E-23</v>
      </c>
      <c r="AC187" s="22">
        <f t="shared" si="163"/>
        <v>3.3450602109643373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-5.6843418860808015E-14</v>
      </c>
      <c r="AJ187" s="13">
        <f>AI187*VLOOKUP('Données projet'!$B$10,Paramètres!$A$1:$I$89,3,0)*VLOOKUP('Données projet'!$B$10,Paramètres!$A$1:$I$89,5,0)</f>
        <v>-2.8642261895583942E-14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138.27364731587764</v>
      </c>
      <c r="AO187" s="59">
        <f t="shared" si="144"/>
        <v>372.50391467700013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3.294068439455728</v>
      </c>
      <c r="AV187" s="21">
        <f>EXP(-LN(2)/25)*AV186+(1-EXP(-LN(2)/25))/(LN(2)/25)*Calculateur!AQ187*Calculateur!AS187*VLOOKUP('Données projet'!$B$10,Paramètres!$A$1:$I$89,3,0)*0.475*44/12</f>
        <v>0</v>
      </c>
      <c r="AW187" s="21">
        <f>EXP(-LN(2)/2)*AW186+(1-EXP(-LN(2)/2))/(LN(2)/2)*AQ187*AT187*VLOOKUP('Données projet'!$B$10,Paramètres!$A$1:$I$89,3,0)*0.475*44/12</f>
        <v>1.5971664329032951E-23</v>
      </c>
      <c r="AX187" s="21">
        <f t="shared" si="166"/>
        <v>3.294068439455728</v>
      </c>
      <c r="AY187" s="7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-2.2737367544323206E-13</v>
      </c>
      <c r="BE187" s="13">
        <f>BD187*VLOOKUP('Données projet'!$B$11,Paramètres!$A$1:$I$89,3,0)*VLOOKUP('Données projet'!$B$11,Paramètres!$A$1:$I$89,5,0)</f>
        <v>-2.3765096557326618E-13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638.07304290599211</v>
      </c>
      <c r="BJ187" s="59">
        <f t="shared" si="146"/>
        <v>408.22196233793511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113.16454996782367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113.16454996782367</v>
      </c>
      <c r="BT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-2.2737367544323206E-13</v>
      </c>
      <c r="BZ187" s="13">
        <f>BY187*VLOOKUP('Données projet'!$B$12,Paramètres!$A$1:$I$89,3,0)*VLOOKUP('Données projet'!$B$12,Paramètres!$A$1:$I$89,5,0)</f>
        <v>-2.5893314159475268E-13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685.99951993586967</v>
      </c>
      <c r="CE187" s="59">
        <f t="shared" si="148"/>
        <v>437.98014017823095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123.29868877091231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123.29868877091231</v>
      </c>
      <c r="CO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-2.2737367544323206E-13</v>
      </c>
      <c r="CU187" s="17">
        <f>CT187*VLOOKUP('Données projet'!$B$13,Paramètres!$A$1:$I$89,3,0)*VLOOKUP('Données projet'!$B$13,Paramètres!$A$1:$I$89,5,0)</f>
        <v>-2.3055690689943731E-13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622.07867348539082</v>
      </c>
      <c r="CZ187" s="59">
        <f t="shared" si="150"/>
        <v>398.29010684041634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109.78650370012744</v>
      </c>
      <c r="DG187" s="21">
        <f>EXP(-LN(2)/25)*DG186+(1-EXP(-LN(2)/25))/(LN(2)/25)*Calculateur!DB187*Calculateur!DD187*VLOOKUP('Données projet'!$B$13,Paramètres!$A$1:$I$89,3,0)*0.475*44/12</f>
        <v>0</v>
      </c>
      <c r="DH187" s="21">
        <f>EXP(-LN(2)/2)*DH186+(1-EXP(-LN(2)/2))/(LN(2)/2)*DB187*DE187*VLOOKUP('Données projet'!$B$13,Paramètres!$A$1:$I$89,3,0)*0.475*44/12</f>
        <v>0</v>
      </c>
      <c r="DI187" s="22">
        <f t="shared" si="175"/>
        <v>109.78650370012744</v>
      </c>
      <c r="DJ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-2.2737367544323206E-13</v>
      </c>
      <c r="DP187" s="17">
        <f>DO187*VLOOKUP('Données projet'!$B$14,Paramètres!$A$1:$I$89,3,0)*VLOOKUP('Données projet'!$B$14,Paramètres!$A$1:$I$89,5,0)</f>
        <v>-2.1636878955177963E-13</v>
      </c>
      <c r="DQ187" s="13" t="e">
        <f t="shared" si="176"/>
        <v>#NUM!</v>
      </c>
      <c r="DR187" s="20" t="e">
        <f t="shared" si="177"/>
        <v>#NUM!</v>
      </c>
      <c r="DS187" s="59" t="e">
        <f t="shared" si="125"/>
        <v>#NUM!</v>
      </c>
      <c r="DT187" s="59">
        <f ca="1">AVERAGE(OFFSET($DS$3,0,0,'Données projet'!$E$14+1,1))-AVERAGE(OFFSET($H$3,0,0,'Données projet'!$E$14+1,1))</f>
        <v>590.05965493677377</v>
      </c>
      <c r="DU187" s="59">
        <f t="shared" si="152"/>
        <v>378.40640480134505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103.0304111647349</v>
      </c>
      <c r="EB187" s="21">
        <f>EXP(-LN(2)/25)*EB186+(1-EXP(-LN(2)/25))/(LN(2)/25)*Calculateur!DW187*Calculateur!DY187*VLOOKUP('Données projet'!$B$14,Paramètres!$A$1:$I$89,3,0)*0.475*44/12</f>
        <v>0</v>
      </c>
      <c r="EC187" s="21">
        <f>EXP(-LN(2)/2)*EC186+(1-EXP(-LN(2)/2))/(LN(2)/2)*DW187*DZ187*VLOOKUP('Données projet'!$B$14,Paramètres!$A$1:$I$89,3,0)*0.475*44/12</f>
        <v>0</v>
      </c>
      <c r="ED187" s="22">
        <f t="shared" si="178"/>
        <v>103.0304111647349</v>
      </c>
      <c r="EE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68.785366228876114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2">
        <f>'Scénario référence'!$B$16*5+'Scénario référence'!$B$17*0+'Scénario référence'!$B$18*5</f>
        <v>4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14.666666666666666</v>
      </c>
      <c r="H188" s="66">
        <f t="shared" si="110"/>
        <v>159.86666666666667</v>
      </c>
      <c r="I188" s="6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-2.9085640562698246E-14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140.03175887621094</v>
      </c>
      <c r="T188" s="59">
        <f t="shared" si="142"/>
        <v>377.29475975964954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3.2794656205125938</v>
      </c>
      <c r="AA188" s="21">
        <f>EXP(-LN(2)/25)*AA187+(1-EXP(-LN(2)/25))/(LN(2)/25)*Calculateur!V188*Calculateur!X188*VLOOKUP('Données projet'!$B$9,Paramètres!$A$1:$I$89,3,0)*0.475*44/12</f>
        <v>0</v>
      </c>
      <c r="AB188" s="21">
        <f>EXP(-LN(2)/2)*AB187+(1-EXP(-LN(2)/2))/(LN(2)/2)*V188*Y188*VLOOKUP('Données projet'!$B$9,Paramètres!$A$1:$I$89,3,0)*0.475*44/12</f>
        <v>1.1468496800239617E-23</v>
      </c>
      <c r="AC188" s="22">
        <f t="shared" si="163"/>
        <v>3.2794656205125938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-5.6843418860808015E-14</v>
      </c>
      <c r="AJ188" s="13">
        <f>AI188*VLOOKUP('Données projet'!$B$10,Paramètres!$A$1:$I$89,3,0)*VLOOKUP('Données projet'!$B$10,Paramètres!$A$1:$I$89,5,0)</f>
        <v>-2.8642261895583942E-14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138.27364731587764</v>
      </c>
      <c r="AO188" s="59">
        <f t="shared" si="144"/>
        <v>372.50391467700013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3.2294737665413589</v>
      </c>
      <c r="AV188" s="21">
        <f>EXP(-LN(2)/25)*AV187+(1-EXP(-LN(2)/25))/(LN(2)/25)*Calculateur!AQ188*Calculateur!AS188*VLOOKUP('Données projet'!$B$10,Paramètres!$A$1:$I$89,3,0)*0.475*44/12</f>
        <v>0</v>
      </c>
      <c r="AW188" s="21">
        <f>EXP(-LN(2)/2)*AW187+(1-EXP(-LN(2)/2))/(LN(2)/2)*AQ188*AT188*VLOOKUP('Données projet'!$B$10,Paramètres!$A$1:$I$89,3,0)*0.475*44/12</f>
        <v>1.1293672153894489E-23</v>
      </c>
      <c r="AX188" s="21">
        <f t="shared" si="166"/>
        <v>3.2294737665413589</v>
      </c>
      <c r="AY188" s="7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-2.2737367544323206E-13</v>
      </c>
      <c r="BE188" s="13">
        <f>BD188*VLOOKUP('Données projet'!$B$11,Paramètres!$A$1:$I$89,3,0)*VLOOKUP('Données projet'!$B$11,Paramètres!$A$1:$I$89,5,0)</f>
        <v>-2.3765096557326618E-13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638.07304290599211</v>
      </c>
      <c r="BJ188" s="59">
        <f t="shared" si="146"/>
        <v>408.22196233793511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110.94546216651462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110.94546216651462</v>
      </c>
      <c r="BT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-2.2737367544323206E-13</v>
      </c>
      <c r="BZ188" s="13">
        <f>BY188*VLOOKUP('Données projet'!$B$12,Paramètres!$A$1:$I$89,3,0)*VLOOKUP('Données projet'!$B$12,Paramètres!$A$1:$I$89,5,0)</f>
        <v>-2.5893314159475268E-13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685.99951993586967</v>
      </c>
      <c r="CE188" s="59">
        <f t="shared" si="148"/>
        <v>437.98014017823095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120.88087668888902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120.88087668888902</v>
      </c>
      <c r="CO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-2.2737367544323206E-13</v>
      </c>
      <c r="CU188" s="17">
        <f>CT188*VLOOKUP('Données projet'!$B$13,Paramètres!$A$1:$I$89,3,0)*VLOOKUP('Données projet'!$B$13,Paramètres!$A$1:$I$89,5,0)</f>
        <v>-2.3055690689943731E-13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622.07867348539082</v>
      </c>
      <c r="CZ188" s="59">
        <f t="shared" si="150"/>
        <v>398.29010684041634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107.63365732572314</v>
      </c>
      <c r="DG188" s="21">
        <f>EXP(-LN(2)/25)*DG187+(1-EXP(-LN(2)/25))/(LN(2)/25)*Calculateur!DB188*Calculateur!DD188*VLOOKUP('Données projet'!$B$13,Paramètres!$A$1:$I$89,3,0)*0.475*44/12</f>
        <v>0</v>
      </c>
      <c r="DH188" s="21">
        <f>EXP(-LN(2)/2)*DH187+(1-EXP(-LN(2)/2))/(LN(2)/2)*DB188*DE188*VLOOKUP('Données projet'!$B$13,Paramètres!$A$1:$I$89,3,0)*0.475*44/12</f>
        <v>0</v>
      </c>
      <c r="DI188" s="22">
        <f t="shared" si="175"/>
        <v>107.63365732572314</v>
      </c>
      <c r="DJ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-2.2737367544323206E-13</v>
      </c>
      <c r="DP188" s="17">
        <f>DO188*VLOOKUP('Données projet'!$B$14,Paramètres!$A$1:$I$89,3,0)*VLOOKUP('Données projet'!$B$14,Paramètres!$A$1:$I$89,5,0)</f>
        <v>-2.1636878955177963E-13</v>
      </c>
      <c r="DQ188" s="13" t="e">
        <f t="shared" si="176"/>
        <v>#NUM!</v>
      </c>
      <c r="DR188" s="20" t="e">
        <f t="shared" si="177"/>
        <v>#NUM!</v>
      </c>
      <c r="DS188" s="59" t="e">
        <f t="shared" si="125"/>
        <v>#NUM!</v>
      </c>
      <c r="DT188" s="59">
        <f ca="1">AVERAGE(OFFSET($DS$3,0,0,'Données projet'!$E$14+1,1))-AVERAGE(OFFSET($H$3,0,0,'Données projet'!$E$14+1,1))</f>
        <v>590.05965493677377</v>
      </c>
      <c r="DU188" s="59">
        <f t="shared" si="152"/>
        <v>378.40640480134505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101.01004764414009</v>
      </c>
      <c r="EB188" s="21">
        <f>EXP(-LN(2)/25)*EB187+(1-EXP(-LN(2)/25))/(LN(2)/25)*Calculateur!DW188*Calculateur!DY188*VLOOKUP('Données projet'!$B$14,Paramètres!$A$1:$I$89,3,0)*0.475*44/12</f>
        <v>0</v>
      </c>
      <c r="EC188" s="21">
        <f>EXP(-LN(2)/2)*EC187+(1-EXP(-LN(2)/2))/(LN(2)/2)*DW188*DZ188*VLOOKUP('Données projet'!$B$14,Paramètres!$A$1:$I$89,3,0)*0.475*44/12</f>
        <v>0</v>
      </c>
      <c r="ED188" s="22">
        <f t="shared" si="178"/>
        <v>101.01004764414009</v>
      </c>
      <c r="EE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68.806437409290822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2">
        <f>'Scénario référence'!$B$16*5+'Scénario référence'!$B$17*0+'Scénario référence'!$B$18*5</f>
        <v>4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14.666666666666666</v>
      </c>
      <c r="H189" s="66">
        <f t="shared" si="110"/>
        <v>159.86666666666667</v>
      </c>
      <c r="I189" s="6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-2.9085640562698246E-14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140.03175887621094</v>
      </c>
      <c r="T189" s="59">
        <f t="shared" si="142"/>
        <v>377.29475975964954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3.2151572999708593</v>
      </c>
      <c r="AA189" s="21">
        <f>EXP(-LN(2)/25)*AA188+(1-EXP(-LN(2)/25))/(LN(2)/25)*Calculateur!V189*Calculateur!X189*VLOOKUP('Données projet'!$B$9,Paramètres!$A$1:$I$89,3,0)*0.475*44/12</f>
        <v>0</v>
      </c>
      <c r="AB189" s="21">
        <f>EXP(-LN(2)/2)*AB188+(1-EXP(-LN(2)/2))/(LN(2)/2)*V189*Y189*VLOOKUP('Données projet'!$B$9,Paramètres!$A$1:$I$89,3,0)*0.475*44/12</f>
        <v>8.1094518574656551E-24</v>
      </c>
      <c r="AC189" s="22">
        <f t="shared" si="163"/>
        <v>3.2151572999708593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-5.6843418860808015E-14</v>
      </c>
      <c r="AJ189" s="13">
        <f>AI189*VLOOKUP('Données projet'!$B$10,Paramètres!$A$1:$I$89,3,0)*VLOOKUP('Données projet'!$B$10,Paramètres!$A$1:$I$89,5,0)</f>
        <v>-2.8642261895583942E-14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138.27364731587764</v>
      </c>
      <c r="AO189" s="59">
        <f t="shared" si="144"/>
        <v>372.50391467700013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3.1661457557639805</v>
      </c>
      <c r="AV189" s="21">
        <f>EXP(-LN(2)/25)*AV188+(1-EXP(-LN(2)/25))/(LN(2)/25)*Calculateur!AQ189*Calculateur!AS189*VLOOKUP('Données projet'!$B$10,Paramètres!$A$1:$I$89,3,0)*0.475*44/12</f>
        <v>0</v>
      </c>
      <c r="AW189" s="21">
        <f>EXP(-LN(2)/2)*AW188+(1-EXP(-LN(2)/2))/(LN(2)/2)*AQ189*AT189*VLOOKUP('Données projet'!$B$10,Paramètres!$A$1:$I$89,3,0)*0.475*44/12</f>
        <v>7.9858321645164754E-24</v>
      </c>
      <c r="AX189" s="21">
        <f t="shared" si="166"/>
        <v>3.1661457557639805</v>
      </c>
      <c r="AY189" s="7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-2.2737367544323206E-13</v>
      </c>
      <c r="BE189" s="13">
        <f>BD189*VLOOKUP('Données projet'!$B$11,Paramètres!$A$1:$I$89,3,0)*VLOOKUP('Données projet'!$B$11,Paramètres!$A$1:$I$89,5,0)</f>
        <v>-2.3765096557326618E-13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638.07304290599211</v>
      </c>
      <c r="BJ189" s="59">
        <f t="shared" si="146"/>
        <v>408.22196233793511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108.76988932347932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108.76988932347932</v>
      </c>
      <c r="BT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-2.2737367544323206E-13</v>
      </c>
      <c r="BZ189" s="13">
        <f>BY189*VLOOKUP('Données projet'!$B$12,Paramètres!$A$1:$I$89,3,0)*VLOOKUP('Données projet'!$B$12,Paramètres!$A$1:$I$89,5,0)</f>
        <v>-2.5893314159475268E-13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685.99951993586967</v>
      </c>
      <c r="CE189" s="59">
        <f t="shared" si="148"/>
        <v>437.98014017823095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118.51047642707445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118.51047642707445</v>
      </c>
      <c r="CO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-2.2737367544323206E-13</v>
      </c>
      <c r="CU189" s="17">
        <f>CT189*VLOOKUP('Données projet'!$B$13,Paramètres!$A$1:$I$89,3,0)*VLOOKUP('Données projet'!$B$13,Paramètres!$A$1:$I$89,5,0)</f>
        <v>-2.3055690689943731E-13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622.07867348539082</v>
      </c>
      <c r="CZ189" s="59">
        <f t="shared" si="150"/>
        <v>398.29010684041634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105.52302695561427</v>
      </c>
      <c r="DG189" s="21">
        <f>EXP(-LN(2)/25)*DG188+(1-EXP(-LN(2)/25))/(LN(2)/25)*Calculateur!DB189*Calculateur!DD189*VLOOKUP('Données projet'!$B$13,Paramètres!$A$1:$I$89,3,0)*0.475*44/12</f>
        <v>0</v>
      </c>
      <c r="DH189" s="21">
        <f>EXP(-LN(2)/2)*DH188+(1-EXP(-LN(2)/2))/(LN(2)/2)*DB189*DE189*VLOOKUP('Données projet'!$B$13,Paramètres!$A$1:$I$89,3,0)*0.475*44/12</f>
        <v>0</v>
      </c>
      <c r="DI189" s="22">
        <f t="shared" si="175"/>
        <v>105.52302695561427</v>
      </c>
      <c r="DJ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-2.2737367544323206E-13</v>
      </c>
      <c r="DP189" s="17">
        <f>DO189*VLOOKUP('Données projet'!$B$14,Paramètres!$A$1:$I$89,3,0)*VLOOKUP('Données projet'!$B$14,Paramètres!$A$1:$I$89,5,0)</f>
        <v>-2.1636878955177963E-13</v>
      </c>
      <c r="DQ189" s="13" t="e">
        <f t="shared" si="176"/>
        <v>#NUM!</v>
      </c>
      <c r="DR189" s="20" t="e">
        <f t="shared" si="177"/>
        <v>#NUM!</v>
      </c>
      <c r="DS189" s="59" t="e">
        <f t="shared" si="125"/>
        <v>#NUM!</v>
      </c>
      <c r="DT189" s="59">
        <f ca="1">AVERAGE(OFFSET($DS$3,0,0,'Données projet'!$E$14+1,1))-AVERAGE(OFFSET($H$3,0,0,'Données projet'!$E$14+1,1))</f>
        <v>590.05965493677377</v>
      </c>
      <c r="DU189" s="59">
        <f t="shared" si="152"/>
        <v>378.40640480134505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99.029302219884073</v>
      </c>
      <c r="EB189" s="21">
        <f>EXP(-LN(2)/25)*EB188+(1-EXP(-LN(2)/25))/(LN(2)/25)*Calculateur!DW189*Calculateur!DY189*VLOOKUP('Données projet'!$B$14,Paramètres!$A$1:$I$89,3,0)*0.475*44/12</f>
        <v>0</v>
      </c>
      <c r="EC189" s="21">
        <f>EXP(-LN(2)/2)*EC188+(1-EXP(-LN(2)/2))/(LN(2)/2)*DW189*DZ189*VLOOKUP('Données projet'!$B$14,Paramètres!$A$1:$I$89,3,0)*0.475*44/12</f>
        <v>0</v>
      </c>
      <c r="ED189" s="22">
        <f t="shared" si="178"/>
        <v>99.029302219884073</v>
      </c>
      <c r="EE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68.827143051833417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2">
        <f>'Scénario référence'!$B$16*5+'Scénario référence'!$B$17*0+'Scénario référence'!$B$18*5</f>
        <v>4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14.666666666666666</v>
      </c>
      <c r="H190" s="66">
        <f t="shared" si="110"/>
        <v>159.86666666666667</v>
      </c>
      <c r="I190" s="6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-2.9085640562698246E-14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140.03175887621094</v>
      </c>
      <c r="T190" s="59">
        <f t="shared" si="142"/>
        <v>377.29475975964954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3.152110026370746</v>
      </c>
      <c r="AA190" s="21">
        <f>EXP(-LN(2)/25)*AA189+(1-EXP(-LN(2)/25))/(LN(2)/25)*Calculateur!V190*Calculateur!X190*VLOOKUP('Données projet'!$B$9,Paramètres!$A$1:$I$89,3,0)*0.475*44/12</f>
        <v>0</v>
      </c>
      <c r="AB190" s="21">
        <f>EXP(-LN(2)/2)*AB189+(1-EXP(-LN(2)/2))/(LN(2)/2)*V190*Y190*VLOOKUP('Données projet'!$B$9,Paramètres!$A$1:$I$89,3,0)*0.475*44/12</f>
        <v>5.7342484001198084E-24</v>
      </c>
      <c r="AC190" s="22">
        <f t="shared" si="163"/>
        <v>3.152110026370746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-5.6843418860808015E-14</v>
      </c>
      <c r="AJ190" s="13">
        <f>AI190*VLOOKUP('Données projet'!$B$10,Paramètres!$A$1:$I$89,3,0)*VLOOKUP('Données projet'!$B$10,Paramètres!$A$1:$I$89,5,0)</f>
        <v>-2.8642261895583942E-14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138.27364731587764</v>
      </c>
      <c r="AO190" s="59">
        <f t="shared" si="144"/>
        <v>372.50391467700013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3.1040595686516737</v>
      </c>
      <c r="AV190" s="21">
        <f>EXP(-LN(2)/25)*AV189+(1-EXP(-LN(2)/25))/(LN(2)/25)*Calculateur!AQ190*Calculateur!AS190*VLOOKUP('Données projet'!$B$10,Paramètres!$A$1:$I$89,3,0)*0.475*44/12</f>
        <v>0</v>
      </c>
      <c r="AW190" s="21">
        <f>EXP(-LN(2)/2)*AW189+(1-EXP(-LN(2)/2))/(LN(2)/2)*AQ190*AT190*VLOOKUP('Données projet'!$B$10,Paramètres!$A$1:$I$89,3,0)*0.475*44/12</f>
        <v>5.6468360769472446E-24</v>
      </c>
      <c r="AX190" s="21">
        <f t="shared" si="166"/>
        <v>3.1040595686516737</v>
      </c>
      <c r="AY190" s="7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-2.2737367544323206E-13</v>
      </c>
      <c r="BE190" s="13">
        <f>BD190*VLOOKUP('Données projet'!$B$11,Paramètres!$A$1:$I$89,3,0)*VLOOKUP('Données projet'!$B$11,Paramètres!$A$1:$I$89,5,0)</f>
        <v>-2.3765096557326618E-13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638.07304290599211</v>
      </c>
      <c r="BJ190" s="59">
        <f t="shared" si="146"/>
        <v>408.22196233793511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106.63697813692754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106.63697813692754</v>
      </c>
      <c r="BT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-2.2737367544323206E-13</v>
      </c>
      <c r="BZ190" s="13">
        <f>BY190*VLOOKUP('Données projet'!$B$12,Paramètres!$A$1:$I$89,3,0)*VLOOKUP('Données projet'!$B$12,Paramètres!$A$1:$I$89,5,0)</f>
        <v>-2.5893314159475268E-13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685.99951993586967</v>
      </c>
      <c r="CE190" s="59">
        <f t="shared" si="148"/>
        <v>437.98014017823095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116.18655826859266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116.18655826859266</v>
      </c>
      <c r="CO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-2.2737367544323206E-13</v>
      </c>
      <c r="CU190" s="17">
        <f>CT190*VLOOKUP('Données projet'!$B$13,Paramètres!$A$1:$I$89,3,0)*VLOOKUP('Données projet'!$B$13,Paramètres!$A$1:$I$89,5,0)</f>
        <v>-2.3055690689943731E-13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622.07867348539082</v>
      </c>
      <c r="CZ190" s="59">
        <f t="shared" si="150"/>
        <v>398.29010684041634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103.45378475970583</v>
      </c>
      <c r="DG190" s="21">
        <f>EXP(-LN(2)/25)*DG189+(1-EXP(-LN(2)/25))/(LN(2)/25)*Calculateur!DB190*Calculateur!DD190*VLOOKUP('Données projet'!$B$13,Paramètres!$A$1:$I$89,3,0)*0.475*44/12</f>
        <v>0</v>
      </c>
      <c r="DH190" s="21">
        <f>EXP(-LN(2)/2)*DH189+(1-EXP(-LN(2)/2))/(LN(2)/2)*DB190*DE190*VLOOKUP('Données projet'!$B$13,Paramètres!$A$1:$I$89,3,0)*0.475*44/12</f>
        <v>0</v>
      </c>
      <c r="DI190" s="22">
        <f t="shared" si="175"/>
        <v>103.45378475970583</v>
      </c>
      <c r="DJ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-2.2737367544323206E-13</v>
      </c>
      <c r="DP190" s="17">
        <f>DO190*VLOOKUP('Données projet'!$B$14,Paramètres!$A$1:$I$89,3,0)*VLOOKUP('Données projet'!$B$14,Paramètres!$A$1:$I$89,5,0)</f>
        <v>-2.1636878955177963E-13</v>
      </c>
      <c r="DQ190" s="13" t="e">
        <f t="shared" si="176"/>
        <v>#NUM!</v>
      </c>
      <c r="DR190" s="20" t="e">
        <f t="shared" si="177"/>
        <v>#NUM!</v>
      </c>
      <c r="DS190" s="59" t="e">
        <f t="shared" si="125"/>
        <v>#NUM!</v>
      </c>
      <c r="DT190" s="59">
        <f ca="1">AVERAGE(OFFSET($DS$3,0,0,'Données projet'!$E$14+1,1))-AVERAGE(OFFSET($H$3,0,0,'Données projet'!$E$14+1,1))</f>
        <v>590.05965493677377</v>
      </c>
      <c r="DU190" s="59">
        <f t="shared" si="152"/>
        <v>378.40640480134505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97.087398005262301</v>
      </c>
      <c r="EB190" s="21">
        <f>EXP(-LN(2)/25)*EB189+(1-EXP(-LN(2)/25))/(LN(2)/25)*Calculateur!DW190*Calculateur!DY190*VLOOKUP('Données projet'!$B$14,Paramètres!$A$1:$I$89,3,0)*0.475*44/12</f>
        <v>0</v>
      </c>
      <c r="EC190" s="21">
        <f>EXP(-LN(2)/2)*EC189+(1-EXP(-LN(2)/2))/(LN(2)/2)*DW190*DZ190*VLOOKUP('Données projet'!$B$14,Paramètres!$A$1:$I$89,3,0)*0.475*44/12</f>
        <v>0</v>
      </c>
      <c r="ED190" s="22">
        <f t="shared" si="178"/>
        <v>97.087398005262301</v>
      </c>
      <c r="EE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68.847489497768805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2">
        <f>'Scénario référence'!$B$16*5+'Scénario référence'!$B$17*0+'Scénario référence'!$B$18*5</f>
        <v>4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14.666666666666666</v>
      </c>
      <c r="H191" s="66">
        <f t="shared" si="110"/>
        <v>159.86666666666667</v>
      </c>
      <c r="I191" s="6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-2.9085640562698246E-14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140.03175887621094</v>
      </c>
      <c r="T191" s="59">
        <f t="shared" si="142"/>
        <v>377.29475975964954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3.0902990713508909</v>
      </c>
      <c r="AA191" s="21">
        <f>EXP(-LN(2)/25)*AA190+(1-EXP(-LN(2)/25))/(LN(2)/25)*Calculateur!V191*Calculateur!X191*VLOOKUP('Données projet'!$B$9,Paramètres!$A$1:$I$89,3,0)*0.475*44/12</f>
        <v>0</v>
      </c>
      <c r="AB191" s="21">
        <f>EXP(-LN(2)/2)*AB190+(1-EXP(-LN(2)/2))/(LN(2)/2)*V191*Y191*VLOOKUP('Données projet'!$B$9,Paramètres!$A$1:$I$89,3,0)*0.475*44/12</f>
        <v>4.0547259287328275E-24</v>
      </c>
      <c r="AC191" s="22">
        <f t="shared" si="163"/>
        <v>3.0902990713508909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-5.6843418860808015E-14</v>
      </c>
      <c r="AJ191" s="13">
        <f>AI191*VLOOKUP('Données projet'!$B$10,Paramètres!$A$1:$I$89,3,0)*VLOOKUP('Données projet'!$B$10,Paramètres!$A$1:$I$89,5,0)</f>
        <v>-2.8642261895583942E-14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138.27364731587764</v>
      </c>
      <c r="AO191" s="59">
        <f t="shared" si="144"/>
        <v>372.50391467700013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3.0431908537998043</v>
      </c>
      <c r="AV191" s="21">
        <f>EXP(-LN(2)/25)*AV190+(1-EXP(-LN(2)/25))/(LN(2)/25)*Calculateur!AQ191*Calculateur!AS191*VLOOKUP('Données projet'!$B$10,Paramètres!$A$1:$I$89,3,0)*0.475*44/12</f>
        <v>0</v>
      </c>
      <c r="AW191" s="21">
        <f>EXP(-LN(2)/2)*AW190+(1-EXP(-LN(2)/2))/(LN(2)/2)*AQ191*AT191*VLOOKUP('Données projet'!$B$10,Paramètres!$A$1:$I$89,3,0)*0.475*44/12</f>
        <v>3.9929160822582377E-24</v>
      </c>
      <c r="AX191" s="21">
        <f t="shared" si="166"/>
        <v>3.0431908537998043</v>
      </c>
      <c r="AY191" s="7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-2.2737367544323206E-13</v>
      </c>
      <c r="BE191" s="13">
        <f>BD191*VLOOKUP('Données projet'!$B$11,Paramètres!$A$1:$I$89,3,0)*VLOOKUP('Données projet'!$B$11,Paramètres!$A$1:$I$89,5,0)</f>
        <v>-2.3765096557326618E-13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638.07304290599211</v>
      </c>
      <c r="BJ191" s="59">
        <f t="shared" si="146"/>
        <v>408.22196233793511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104.54589203779668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104.54589203779668</v>
      </c>
      <c r="BT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-2.2737367544323206E-13</v>
      </c>
      <c r="BZ191" s="13">
        <f>BY191*VLOOKUP('Données projet'!$B$12,Paramètres!$A$1:$I$89,3,0)*VLOOKUP('Données projet'!$B$12,Paramètres!$A$1:$I$89,5,0)</f>
        <v>-2.5893314159475268E-13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685.99951993586967</v>
      </c>
      <c r="CE191" s="59">
        <f t="shared" si="148"/>
        <v>437.98014017823095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113.90821072774858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113.90821072774858</v>
      </c>
      <c r="CO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-2.2737367544323206E-13</v>
      </c>
      <c r="CU191" s="17">
        <f>CT191*VLOOKUP('Données projet'!$B$13,Paramètres!$A$1:$I$89,3,0)*VLOOKUP('Données projet'!$B$13,Paramètres!$A$1:$I$89,5,0)</f>
        <v>-2.3055690689943731E-13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622.07867348539082</v>
      </c>
      <c r="CZ191" s="59">
        <f t="shared" si="150"/>
        <v>398.29010684041634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101.42511914114603</v>
      </c>
      <c r="DG191" s="21">
        <f>EXP(-LN(2)/25)*DG190+(1-EXP(-LN(2)/25))/(LN(2)/25)*Calculateur!DB191*Calculateur!DD191*VLOOKUP('Données projet'!$B$13,Paramètres!$A$1:$I$89,3,0)*0.475*44/12</f>
        <v>0</v>
      </c>
      <c r="DH191" s="21">
        <f>EXP(-LN(2)/2)*DH190+(1-EXP(-LN(2)/2))/(LN(2)/2)*DB191*DE191*VLOOKUP('Données projet'!$B$13,Paramètres!$A$1:$I$89,3,0)*0.475*44/12</f>
        <v>0</v>
      </c>
      <c r="DI191" s="22">
        <f t="shared" si="175"/>
        <v>101.42511914114603</v>
      </c>
      <c r="DJ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-2.2737367544323206E-13</v>
      </c>
      <c r="DP191" s="17">
        <f>DO191*VLOOKUP('Données projet'!$B$14,Paramètres!$A$1:$I$89,3,0)*VLOOKUP('Données projet'!$B$14,Paramètres!$A$1:$I$89,5,0)</f>
        <v>-2.1636878955177963E-13</v>
      </c>
      <c r="DQ191" s="13" t="e">
        <f t="shared" si="176"/>
        <v>#NUM!</v>
      </c>
      <c r="DR191" s="20" t="e">
        <f t="shared" si="177"/>
        <v>#NUM!</v>
      </c>
      <c r="DS191" s="59" t="e">
        <f t="shared" si="125"/>
        <v>#NUM!</v>
      </c>
      <c r="DT191" s="59">
        <f ca="1">AVERAGE(OFFSET($DS$3,0,0,'Données projet'!$E$14+1,1))-AVERAGE(OFFSET($H$3,0,0,'Données projet'!$E$14+1,1))</f>
        <v>590.05965493677377</v>
      </c>
      <c r="DU191" s="59">
        <f t="shared" si="152"/>
        <v>378.40640480134505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95.183573347844657</v>
      </c>
      <c r="EB191" s="21">
        <f>EXP(-LN(2)/25)*EB190+(1-EXP(-LN(2)/25))/(LN(2)/25)*Calculateur!DW191*Calculateur!DY191*VLOOKUP('Données projet'!$B$14,Paramètres!$A$1:$I$89,3,0)*0.475*44/12</f>
        <v>0</v>
      </c>
      <c r="EC191" s="21">
        <f>EXP(-LN(2)/2)*EC190+(1-EXP(-LN(2)/2))/(LN(2)/2)*DW191*DZ191*VLOOKUP('Données projet'!$B$14,Paramètres!$A$1:$I$89,3,0)*0.475*44/12</f>
        <v>0</v>
      </c>
      <c r="ED191" s="22">
        <f t="shared" si="178"/>
        <v>95.183573347844657</v>
      </c>
      <c r="EE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68.867482978355042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2">
        <f>'Scénario référence'!$B$16*5+'Scénario référence'!$B$17*0+'Scénario référence'!$B$18*5</f>
        <v>4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14.666666666666666</v>
      </c>
      <c r="H192" s="66">
        <f t="shared" si="110"/>
        <v>159.86666666666667</v>
      </c>
      <c r="I192" s="6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-2.9085640562698246E-14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140.03175887621094</v>
      </c>
      <c r="T192" s="59">
        <f t="shared" si="142"/>
        <v>377.29475975964954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3.0297001914580153</v>
      </c>
      <c r="AA192" s="21">
        <f>EXP(-LN(2)/25)*AA191+(1-EXP(-LN(2)/25))/(LN(2)/25)*Calculateur!V192*Calculateur!X192*VLOOKUP('Données projet'!$B$9,Paramètres!$A$1:$I$89,3,0)*0.475*44/12</f>
        <v>0</v>
      </c>
      <c r="AB192" s="21">
        <f>EXP(-LN(2)/2)*AB191+(1-EXP(-LN(2)/2))/(LN(2)/2)*V192*Y192*VLOOKUP('Données projet'!$B$9,Paramètres!$A$1:$I$89,3,0)*0.475*44/12</f>
        <v>2.8671242000599042E-24</v>
      </c>
      <c r="AC192" s="22">
        <f t="shared" si="163"/>
        <v>3.0297001914580153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-5.6843418860808015E-14</v>
      </c>
      <c r="AJ192" s="13">
        <f>AI192*VLOOKUP('Données projet'!$B$10,Paramètres!$A$1:$I$89,3,0)*VLOOKUP('Données projet'!$B$10,Paramètres!$A$1:$I$89,5,0)</f>
        <v>-2.8642261895583942E-14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138.27364731587764</v>
      </c>
      <c r="AO192" s="59">
        <f t="shared" si="144"/>
        <v>372.50391467700013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2.9835157373199301</v>
      </c>
      <c r="AV192" s="21">
        <f>EXP(-LN(2)/25)*AV191+(1-EXP(-LN(2)/25))/(LN(2)/25)*Calculateur!AQ192*Calculateur!AS192*VLOOKUP('Données projet'!$B$10,Paramètres!$A$1:$I$89,3,0)*0.475*44/12</f>
        <v>0</v>
      </c>
      <c r="AW192" s="21">
        <f>EXP(-LN(2)/2)*AW191+(1-EXP(-LN(2)/2))/(LN(2)/2)*AQ192*AT192*VLOOKUP('Données projet'!$B$10,Paramètres!$A$1:$I$89,3,0)*0.475*44/12</f>
        <v>2.8234180384736223E-24</v>
      </c>
      <c r="AX192" s="21">
        <f t="shared" si="166"/>
        <v>2.9835157373199301</v>
      </c>
      <c r="AY192" s="7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-2.2737367544323206E-13</v>
      </c>
      <c r="BE192" s="13">
        <f>BD192*VLOOKUP('Données projet'!$B$11,Paramètres!$A$1:$I$89,3,0)*VLOOKUP('Données projet'!$B$11,Paramètres!$A$1:$I$89,5,0)</f>
        <v>-2.3765096557326618E-13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638.07304290599211</v>
      </c>
      <c r="BJ192" s="59">
        <f t="shared" si="146"/>
        <v>408.22196233793511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102.49581086163319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102.49581086163319</v>
      </c>
      <c r="BT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-2.2737367544323206E-13</v>
      </c>
      <c r="BZ192" s="13">
        <f>BY192*VLOOKUP('Données projet'!$B$12,Paramètres!$A$1:$I$89,3,0)*VLOOKUP('Données projet'!$B$12,Paramètres!$A$1:$I$89,5,0)</f>
        <v>-2.5893314159475268E-13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685.99951993586967</v>
      </c>
      <c r="CE192" s="59">
        <f t="shared" si="148"/>
        <v>437.98014017823095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111.67454019252568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111.67454019252568</v>
      </c>
      <c r="CO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-2.2737367544323206E-13</v>
      </c>
      <c r="CU192" s="17">
        <f>CT192*VLOOKUP('Données projet'!$B$13,Paramètres!$A$1:$I$89,3,0)*VLOOKUP('Données projet'!$B$13,Paramètres!$A$1:$I$89,5,0)</f>
        <v>-2.3055690689943731E-13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622.07867348539082</v>
      </c>
      <c r="CZ192" s="59">
        <f t="shared" si="150"/>
        <v>398.29010684041634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99.436234418002343</v>
      </c>
      <c r="DG192" s="21">
        <f>EXP(-LN(2)/25)*DG191+(1-EXP(-LN(2)/25))/(LN(2)/25)*Calculateur!DB192*Calculateur!DD192*VLOOKUP('Données projet'!$B$13,Paramètres!$A$1:$I$89,3,0)*0.475*44/12</f>
        <v>0</v>
      </c>
      <c r="DH192" s="21">
        <f>EXP(-LN(2)/2)*DH191+(1-EXP(-LN(2)/2))/(LN(2)/2)*DB192*DE192*VLOOKUP('Données projet'!$B$13,Paramètres!$A$1:$I$89,3,0)*0.475*44/12</f>
        <v>0</v>
      </c>
      <c r="DI192" s="22">
        <f t="shared" si="175"/>
        <v>99.436234418002343</v>
      </c>
      <c r="DJ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-2.2737367544323206E-13</v>
      </c>
      <c r="DP192" s="17">
        <f>DO192*VLOOKUP('Données projet'!$B$14,Paramètres!$A$1:$I$89,3,0)*VLOOKUP('Données projet'!$B$14,Paramètres!$A$1:$I$89,5,0)</f>
        <v>-2.1636878955177963E-13</v>
      </c>
      <c r="DQ192" s="13" t="e">
        <f t="shared" si="176"/>
        <v>#NUM!</v>
      </c>
      <c r="DR192" s="20" t="e">
        <f t="shared" si="177"/>
        <v>#NUM!</v>
      </c>
      <c r="DS192" s="59" t="e">
        <f t="shared" si="125"/>
        <v>#NUM!</v>
      </c>
      <c r="DT192" s="59">
        <f ca="1">AVERAGE(OFFSET($DS$3,0,0,'Données projet'!$E$14+1,1))-AVERAGE(OFFSET($H$3,0,0,'Données projet'!$E$14+1,1))</f>
        <v>590.05965493677377</v>
      </c>
      <c r="DU192" s="59">
        <f t="shared" si="152"/>
        <v>378.40640480134505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93.31708153074058</v>
      </c>
      <c r="EB192" s="21">
        <f>EXP(-LN(2)/25)*EB191+(1-EXP(-LN(2)/25))/(LN(2)/25)*Calculateur!DW192*Calculateur!DY192*VLOOKUP('Données projet'!$B$14,Paramètres!$A$1:$I$89,3,0)*0.475*44/12</f>
        <v>0</v>
      </c>
      <c r="EC192" s="21">
        <f>EXP(-LN(2)/2)*EC191+(1-EXP(-LN(2)/2))/(LN(2)/2)*DW192*DZ192*VLOOKUP('Données projet'!$B$14,Paramètres!$A$1:$I$89,3,0)*0.475*44/12</f>
        <v>0</v>
      </c>
      <c r="ED192" s="22">
        <f t="shared" si="178"/>
        <v>93.31708153074058</v>
      </c>
      <c r="EE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68.887129616751821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2">
        <f>'Scénario référence'!$B$16*5+'Scénario référence'!$B$17*0+'Scénario référence'!$B$18*5</f>
        <v>4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14.666666666666666</v>
      </c>
      <c r="H193" s="66">
        <f t="shared" si="110"/>
        <v>159.86666666666667</v>
      </c>
      <c r="I193" s="6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-2.9085640562698246E-14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140.03175887621094</v>
      </c>
      <c r="T193" s="59">
        <f t="shared" si="142"/>
        <v>377.29475975964954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2.970289618638172</v>
      </c>
      <c r="AA193" s="21">
        <f>EXP(-LN(2)/25)*AA192+(1-EXP(-LN(2)/25))/(LN(2)/25)*Calculateur!V193*Calculateur!X193*VLOOKUP('Données projet'!$B$9,Paramètres!$A$1:$I$89,3,0)*0.475*44/12</f>
        <v>0</v>
      </c>
      <c r="AB193" s="21">
        <f>EXP(-LN(2)/2)*AB192+(1-EXP(-LN(2)/2))/(LN(2)/2)*V193*Y193*VLOOKUP('Données projet'!$B$9,Paramètres!$A$1:$I$89,3,0)*0.475*44/12</f>
        <v>2.0273629643664138E-24</v>
      </c>
      <c r="AC193" s="22">
        <f t="shared" si="163"/>
        <v>2.970289618638172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-5.6843418860808015E-14</v>
      </c>
      <c r="AJ193" s="13">
        <f>AI193*VLOOKUP('Données projet'!$B$10,Paramètres!$A$1:$I$89,3,0)*VLOOKUP('Données projet'!$B$10,Paramètres!$A$1:$I$89,5,0)</f>
        <v>-2.8642261895583942E-14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138.27364731587764</v>
      </c>
      <c r="AO193" s="59">
        <f t="shared" si="144"/>
        <v>372.50391467700013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2.9250108134759993</v>
      </c>
      <c r="AV193" s="21">
        <f>EXP(-LN(2)/25)*AV192+(1-EXP(-LN(2)/25))/(LN(2)/25)*Calculateur!AQ193*Calculateur!AS193*VLOOKUP('Données projet'!$B$10,Paramètres!$A$1:$I$89,3,0)*0.475*44/12</f>
        <v>0</v>
      </c>
      <c r="AW193" s="21">
        <f>EXP(-LN(2)/2)*AW192+(1-EXP(-LN(2)/2))/(LN(2)/2)*AQ193*AT193*VLOOKUP('Données projet'!$B$10,Paramètres!$A$1:$I$89,3,0)*0.475*44/12</f>
        <v>1.9964580411291189E-24</v>
      </c>
      <c r="AX193" s="21">
        <f t="shared" si="166"/>
        <v>2.9250108134759993</v>
      </c>
      <c r="AY193" s="7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-2.2737367544323206E-13</v>
      </c>
      <c r="BE193" s="13">
        <f>BD193*VLOOKUP('Données projet'!$B$11,Paramètres!$A$1:$I$89,3,0)*VLOOKUP('Données projet'!$B$11,Paramètres!$A$1:$I$89,5,0)</f>
        <v>-2.3765096557326618E-13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638.07304290599211</v>
      </c>
      <c r="BJ193" s="59">
        <f t="shared" si="146"/>
        <v>408.22196233793511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100.48593052690822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100.48593052690822</v>
      </c>
      <c r="BT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-2.2737367544323206E-13</v>
      </c>
      <c r="BZ193" s="13">
        <f>BY193*VLOOKUP('Données projet'!$B$12,Paramètres!$A$1:$I$89,3,0)*VLOOKUP('Données projet'!$B$12,Paramètres!$A$1:$I$89,5,0)</f>
        <v>-2.5893314159475268E-13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685.99951993586967</v>
      </c>
      <c r="CE193" s="59">
        <f t="shared" si="148"/>
        <v>437.98014017823095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109.484670574094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109.484670574094</v>
      </c>
      <c r="CO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-2.2737367544323206E-13</v>
      </c>
      <c r="CU193" s="17">
        <f>CT193*VLOOKUP('Données projet'!$B$13,Paramètres!$A$1:$I$89,3,0)*VLOOKUP('Données projet'!$B$13,Paramètres!$A$1:$I$89,5,0)</f>
        <v>-2.3055690689943731E-13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622.07867348539082</v>
      </c>
      <c r="CZ193" s="59">
        <f t="shared" si="150"/>
        <v>398.29010684041634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97.486350511179609</v>
      </c>
      <c r="DG193" s="21">
        <f>EXP(-LN(2)/25)*DG192+(1-EXP(-LN(2)/25))/(LN(2)/25)*Calculateur!DB193*Calculateur!DD193*VLOOKUP('Données projet'!$B$13,Paramètres!$A$1:$I$89,3,0)*0.475*44/12</f>
        <v>0</v>
      </c>
      <c r="DH193" s="21">
        <f>EXP(-LN(2)/2)*DH192+(1-EXP(-LN(2)/2))/(LN(2)/2)*DB193*DE193*VLOOKUP('Données projet'!$B$13,Paramètres!$A$1:$I$89,3,0)*0.475*44/12</f>
        <v>0</v>
      </c>
      <c r="DI193" s="22">
        <f t="shared" si="175"/>
        <v>97.486350511179609</v>
      </c>
      <c r="DJ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-2.2737367544323206E-13</v>
      </c>
      <c r="DP193" s="17">
        <f>DO193*VLOOKUP('Données projet'!$B$14,Paramètres!$A$1:$I$89,3,0)*VLOOKUP('Données projet'!$B$14,Paramètres!$A$1:$I$89,5,0)</f>
        <v>-2.1636878955177963E-13</v>
      </c>
      <c r="DQ193" s="13" t="e">
        <f t="shared" si="176"/>
        <v>#NUM!</v>
      </c>
      <c r="DR193" s="20" t="e">
        <f t="shared" si="177"/>
        <v>#NUM!</v>
      </c>
      <c r="DS193" s="59" t="e">
        <f t="shared" si="125"/>
        <v>#NUM!</v>
      </c>
      <c r="DT193" s="59">
        <f ca="1">AVERAGE(OFFSET($DS$3,0,0,'Données projet'!$E$14+1,1))-AVERAGE(OFFSET($H$3,0,0,'Données projet'!$E$14+1,1))</f>
        <v>590.05965493677377</v>
      </c>
      <c r="DU193" s="59">
        <f t="shared" si="152"/>
        <v>378.40640480134505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91.487190479722329</v>
      </c>
      <c r="EB193" s="21">
        <f>EXP(-LN(2)/25)*EB192+(1-EXP(-LN(2)/25))/(LN(2)/25)*Calculateur!DW193*Calculateur!DY193*VLOOKUP('Données projet'!$B$14,Paramètres!$A$1:$I$89,3,0)*0.475*44/12</f>
        <v>0</v>
      </c>
      <c r="EC193" s="21">
        <f>EXP(-LN(2)/2)*EC192+(1-EXP(-LN(2)/2))/(LN(2)/2)*DW193*DZ193*VLOOKUP('Données projet'!$B$14,Paramètres!$A$1:$I$89,3,0)*0.475*44/12</f>
        <v>0</v>
      </c>
      <c r="ED193" s="22">
        <f t="shared" si="178"/>
        <v>91.487190479722329</v>
      </c>
      <c r="EE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68.906435429895737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2">
        <f>'Scénario référence'!$B$16*5+'Scénario référence'!$B$17*0+'Scénario référence'!$B$18*5</f>
        <v>4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14.666666666666666</v>
      </c>
      <c r="H194" s="66">
        <f t="shared" si="110"/>
        <v>159.86666666666667</v>
      </c>
      <c r="I194" s="6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-2.9085640562698246E-14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140.03175887621094</v>
      </c>
      <c r="T194" s="59">
        <f t="shared" si="142"/>
        <v>377.29475975964954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2.9120440509144543</v>
      </c>
      <c r="AA194" s="21">
        <f>EXP(-LN(2)/25)*AA193+(1-EXP(-LN(2)/25))/(LN(2)/25)*Calculateur!V194*Calculateur!X194*VLOOKUP('Données projet'!$B$9,Paramètres!$A$1:$I$89,3,0)*0.475*44/12</f>
        <v>0</v>
      </c>
      <c r="AB194" s="21">
        <f>EXP(-LN(2)/2)*AB193+(1-EXP(-LN(2)/2))/(LN(2)/2)*V194*Y194*VLOOKUP('Données projet'!$B$9,Paramètres!$A$1:$I$89,3,0)*0.475*44/12</f>
        <v>1.4335621000299521E-24</v>
      </c>
      <c r="AC194" s="22">
        <f t="shared" si="163"/>
        <v>2.9120440509144543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-5.6843418860808015E-14</v>
      </c>
      <c r="AJ194" s="13">
        <f>AI194*VLOOKUP('Données projet'!$B$10,Paramètres!$A$1:$I$89,3,0)*VLOOKUP('Données projet'!$B$10,Paramètres!$A$1:$I$89,5,0)</f>
        <v>-2.8642261895583942E-14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138.27364731587764</v>
      </c>
      <c r="AO194" s="59">
        <f t="shared" si="144"/>
        <v>372.50391467700013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2.8676531355041681</v>
      </c>
      <c r="AV194" s="21">
        <f>EXP(-LN(2)/25)*AV193+(1-EXP(-LN(2)/25))/(LN(2)/25)*Calculateur!AQ194*Calculateur!AS194*VLOOKUP('Données projet'!$B$10,Paramètres!$A$1:$I$89,3,0)*0.475*44/12</f>
        <v>0</v>
      </c>
      <c r="AW194" s="21">
        <f>EXP(-LN(2)/2)*AW193+(1-EXP(-LN(2)/2))/(LN(2)/2)*AQ194*AT194*VLOOKUP('Données projet'!$B$10,Paramètres!$A$1:$I$89,3,0)*0.475*44/12</f>
        <v>1.4117090192368112E-24</v>
      </c>
      <c r="AX194" s="21">
        <f t="shared" si="166"/>
        <v>2.8676531355041681</v>
      </c>
      <c r="AY194" s="7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-2.2737367544323206E-13</v>
      </c>
      <c r="BE194" s="13">
        <f>BD194*VLOOKUP('Données projet'!$B$11,Paramètres!$A$1:$I$89,3,0)*VLOOKUP('Données projet'!$B$11,Paramètres!$A$1:$I$89,5,0)</f>
        <v>-2.3765096557326618E-13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638.07304290599211</v>
      </c>
      <c r="BJ194" s="59">
        <f t="shared" si="146"/>
        <v>408.22196233793511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98.515462719641249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98.515462719641249</v>
      </c>
      <c r="BT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-2.2737367544323206E-13</v>
      </c>
      <c r="BZ194" s="13">
        <f>BY194*VLOOKUP('Données projet'!$B$12,Paramètres!$A$1:$I$89,3,0)*VLOOKUP('Données projet'!$B$12,Paramètres!$A$1:$I$89,5,0)</f>
        <v>-2.5893314159475268E-13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685.99951993586967</v>
      </c>
      <c r="CE194" s="59">
        <f t="shared" si="148"/>
        <v>437.98014017823095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107.33774296319118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107.33774296319118</v>
      </c>
      <c r="CO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-2.2737367544323206E-13</v>
      </c>
      <c r="CU194" s="17">
        <f>CT194*VLOOKUP('Données projet'!$B$13,Paramètres!$A$1:$I$89,3,0)*VLOOKUP('Données projet'!$B$13,Paramètres!$A$1:$I$89,5,0)</f>
        <v>-2.3055690689943731E-13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622.07867348539082</v>
      </c>
      <c r="CZ194" s="59">
        <f t="shared" si="150"/>
        <v>398.29010684041634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95.574702638457921</v>
      </c>
      <c r="DG194" s="21">
        <f>EXP(-LN(2)/25)*DG193+(1-EXP(-LN(2)/25))/(LN(2)/25)*Calculateur!DB194*Calculateur!DD194*VLOOKUP('Données projet'!$B$13,Paramètres!$A$1:$I$89,3,0)*0.475*44/12</f>
        <v>0</v>
      </c>
      <c r="DH194" s="21">
        <f>EXP(-LN(2)/2)*DH193+(1-EXP(-LN(2)/2))/(LN(2)/2)*DB194*DE194*VLOOKUP('Données projet'!$B$13,Paramètres!$A$1:$I$89,3,0)*0.475*44/12</f>
        <v>0</v>
      </c>
      <c r="DI194" s="22">
        <f t="shared" si="175"/>
        <v>95.574702638457921</v>
      </c>
      <c r="DJ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-2.2737367544323206E-13</v>
      </c>
      <c r="DP194" s="17">
        <f>DO194*VLOOKUP('Données projet'!$B$14,Paramètres!$A$1:$I$89,3,0)*VLOOKUP('Données projet'!$B$14,Paramètres!$A$1:$I$89,5,0)</f>
        <v>-2.1636878955177963E-13</v>
      </c>
      <c r="DQ194" s="13" t="e">
        <f t="shared" si="176"/>
        <v>#NUM!</v>
      </c>
      <c r="DR194" s="20" t="e">
        <f t="shared" si="177"/>
        <v>#NUM!</v>
      </c>
      <c r="DS194" s="59" t="e">
        <f t="shared" si="125"/>
        <v>#NUM!</v>
      </c>
      <c r="DT194" s="59">
        <f ca="1">AVERAGE(OFFSET($DS$3,0,0,'Données projet'!$E$14+1,1))-AVERAGE(OFFSET($H$3,0,0,'Données projet'!$E$14+1,1))</f>
        <v>590.05965493677377</v>
      </c>
      <c r="DU194" s="59">
        <f t="shared" si="152"/>
        <v>378.40640480134505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89.693182476091209</v>
      </c>
      <c r="EB194" s="21">
        <f>EXP(-LN(2)/25)*EB193+(1-EXP(-LN(2)/25))/(LN(2)/25)*Calculateur!DW194*Calculateur!DY194*VLOOKUP('Données projet'!$B$14,Paramètres!$A$1:$I$89,3,0)*0.475*44/12</f>
        <v>0</v>
      </c>
      <c r="EC194" s="21">
        <f>EXP(-LN(2)/2)*EC193+(1-EXP(-LN(2)/2))/(LN(2)/2)*DW194*DZ194*VLOOKUP('Données projet'!$B$14,Paramètres!$A$1:$I$89,3,0)*0.475*44/12</f>
        <v>0</v>
      </c>
      <c r="ED194" s="22">
        <f t="shared" si="178"/>
        <v>89.693182476091209</v>
      </c>
      <c r="EE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68.925406330342938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2">
        <f>'Scénario référence'!$B$16*5+'Scénario référence'!$B$17*0+'Scénario référence'!$B$18*5</f>
        <v>4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14.666666666666666</v>
      </c>
      <c r="H195" s="66">
        <f t="shared" si="110"/>
        <v>159.86666666666667</v>
      </c>
      <c r="I195" s="6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-2.9085640562698246E-14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140.03175887621094</v>
      </c>
      <c r="T195" s="59">
        <f t="shared" si="142"/>
        <v>377.29475975964954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2.8549406432475104</v>
      </c>
      <c r="AA195" s="21">
        <f>EXP(-LN(2)/25)*AA194+(1-EXP(-LN(2)/25))/(LN(2)/25)*Calculateur!V195*Calculateur!X195*VLOOKUP('Données projet'!$B$9,Paramètres!$A$1:$I$89,3,0)*0.475*44/12</f>
        <v>0</v>
      </c>
      <c r="AB195" s="21">
        <f>EXP(-LN(2)/2)*AB194+(1-EXP(-LN(2)/2))/(LN(2)/2)*V195*Y195*VLOOKUP('Données projet'!$B$9,Paramètres!$A$1:$I$89,3,0)*0.475*44/12</f>
        <v>1.0136814821832069E-24</v>
      </c>
      <c r="AC195" s="22">
        <f t="shared" si="163"/>
        <v>2.8549406432475104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-5.6843418860808015E-14</v>
      </c>
      <c r="AJ195" s="13">
        <f>AI195*VLOOKUP('Données projet'!$B$10,Paramètres!$A$1:$I$89,3,0)*VLOOKUP('Données projet'!$B$10,Paramètres!$A$1:$I$89,5,0)</f>
        <v>-2.8642261895583942E-14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138.27364731587764</v>
      </c>
      <c r="AO195" s="59">
        <f t="shared" si="144"/>
        <v>372.50391467700013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2.811420206612635</v>
      </c>
      <c r="AV195" s="21">
        <f>EXP(-LN(2)/25)*AV194+(1-EXP(-LN(2)/25))/(LN(2)/25)*Calculateur!AQ195*Calculateur!AS195*VLOOKUP('Données projet'!$B$10,Paramètres!$A$1:$I$89,3,0)*0.475*44/12</f>
        <v>0</v>
      </c>
      <c r="AW195" s="21">
        <f>EXP(-LN(2)/2)*AW194+(1-EXP(-LN(2)/2))/(LN(2)/2)*AQ195*AT195*VLOOKUP('Données projet'!$B$10,Paramètres!$A$1:$I$89,3,0)*0.475*44/12</f>
        <v>9.9822902056455943E-25</v>
      </c>
      <c r="AX195" s="21">
        <f t="shared" si="166"/>
        <v>2.811420206612635</v>
      </c>
      <c r="AY195" s="7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-2.2737367544323206E-13</v>
      </c>
      <c r="BE195" s="13">
        <f>BD195*VLOOKUP('Données projet'!$B$11,Paramètres!$A$1:$I$89,3,0)*VLOOKUP('Données projet'!$B$11,Paramètres!$A$1:$I$89,5,0)</f>
        <v>-2.3765096557326618E-13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638.07304290599211</v>
      </c>
      <c r="BJ195" s="59">
        <f t="shared" si="146"/>
        <v>408.22196233793511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96.583634584208099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96.583634584208099</v>
      </c>
      <c r="BT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-2.2737367544323206E-13</v>
      </c>
      <c r="BZ195" s="13">
        <f>BY195*VLOOKUP('Données projet'!$B$12,Paramètres!$A$1:$I$89,3,0)*VLOOKUP('Données projet'!$B$12,Paramètres!$A$1:$I$89,5,0)</f>
        <v>-2.5893314159475268E-13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685.99951993586967</v>
      </c>
      <c r="CE195" s="59">
        <f t="shared" si="148"/>
        <v>437.98014017823095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105.23291529324162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105.23291529324162</v>
      </c>
      <c r="CO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-2.2737367544323206E-13</v>
      </c>
      <c r="CU195" s="17">
        <f>CT195*VLOOKUP('Données projet'!$B$13,Paramètres!$A$1:$I$89,3,0)*VLOOKUP('Données projet'!$B$13,Paramètres!$A$1:$I$89,5,0)</f>
        <v>-2.3055690689943731E-13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622.07867348539082</v>
      </c>
      <c r="CZ195" s="59">
        <f t="shared" si="150"/>
        <v>398.29010684041634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93.700541014530231</v>
      </c>
      <c r="DG195" s="21">
        <f>EXP(-LN(2)/25)*DG194+(1-EXP(-LN(2)/25))/(LN(2)/25)*Calculateur!DB195*Calculateur!DD195*VLOOKUP('Données projet'!$B$13,Paramètres!$A$1:$I$89,3,0)*0.475*44/12</f>
        <v>0</v>
      </c>
      <c r="DH195" s="21">
        <f>EXP(-LN(2)/2)*DH194+(1-EXP(-LN(2)/2))/(LN(2)/2)*DB195*DE195*VLOOKUP('Données projet'!$B$13,Paramètres!$A$1:$I$89,3,0)*0.475*44/12</f>
        <v>0</v>
      </c>
      <c r="DI195" s="22">
        <f t="shared" si="175"/>
        <v>93.700541014530231</v>
      </c>
      <c r="DJ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-2.2737367544323206E-13</v>
      </c>
      <c r="DP195" s="17">
        <f>DO195*VLOOKUP('Données projet'!$B$14,Paramètres!$A$1:$I$89,3,0)*VLOOKUP('Données projet'!$B$14,Paramètres!$A$1:$I$89,5,0)</f>
        <v>-2.1636878955177963E-13</v>
      </c>
      <c r="DQ195" s="13" t="e">
        <f t="shared" si="176"/>
        <v>#NUM!</v>
      </c>
      <c r="DR195" s="20" t="e">
        <f t="shared" si="177"/>
        <v>#NUM!</v>
      </c>
      <c r="DS195" s="59" t="e">
        <f t="shared" si="125"/>
        <v>#NUM!</v>
      </c>
      <c r="DT195" s="59">
        <f ca="1">AVERAGE(OFFSET($DS$3,0,0,'Données projet'!$E$14+1,1))-AVERAGE(OFFSET($H$3,0,0,'Données projet'!$E$14+1,1))</f>
        <v>590.05965493677377</v>
      </c>
      <c r="DU195" s="59">
        <f t="shared" si="152"/>
        <v>378.40640480134505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87.934353875174466</v>
      </c>
      <c r="EB195" s="21">
        <f>EXP(-LN(2)/25)*EB194+(1-EXP(-LN(2)/25))/(LN(2)/25)*Calculateur!DW195*Calculateur!DY195*VLOOKUP('Données projet'!$B$14,Paramètres!$A$1:$I$89,3,0)*0.475*44/12</f>
        <v>0</v>
      </c>
      <c r="EC195" s="21">
        <f>EXP(-LN(2)/2)*EC194+(1-EXP(-LN(2)/2))/(LN(2)/2)*DW195*DZ195*VLOOKUP('Données projet'!$B$14,Paramètres!$A$1:$I$89,3,0)*0.475*44/12</f>
        <v>0</v>
      </c>
      <c r="ED195" s="22">
        <f t="shared" si="178"/>
        <v>87.934353875174466</v>
      </c>
      <c r="EE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68.944048128079956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2">
        <f>'Scénario référence'!$B$16*5+'Scénario référence'!$B$17*0+'Scénario référence'!$B$18*5</f>
        <v>4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14.666666666666666</v>
      </c>
      <c r="H196" s="66">
        <f t="shared" ref="H196:H203" si="192">(B196+E196+F196)*44/12+(C196+D196)*0.475*44/12</f>
        <v>159.86666666666667</v>
      </c>
      <c r="I196" s="6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-2.9085640562698246E-14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140.03175887621094</v>
      </c>
      <c r="T196" s="59">
        <f t="shared" si="142"/>
        <v>377.29475975964954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2.7989569985752758</v>
      </c>
      <c r="AA196" s="21">
        <f>EXP(-LN(2)/25)*AA195+(1-EXP(-LN(2)/25))/(LN(2)/25)*Calculateur!V196*Calculateur!X196*VLOOKUP('Données projet'!$B$9,Paramètres!$A$1:$I$89,3,0)*0.475*44/12</f>
        <v>0</v>
      </c>
      <c r="AB196" s="21">
        <f>EXP(-LN(2)/2)*AB195+(1-EXP(-LN(2)/2))/(LN(2)/2)*V196*Y196*VLOOKUP('Données projet'!$B$9,Paramètres!$A$1:$I$89,3,0)*0.475*44/12</f>
        <v>7.1678105001497605E-25</v>
      </c>
      <c r="AC196" s="22">
        <f t="shared" si="163"/>
        <v>2.7989569985752758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-5.6843418860808015E-14</v>
      </c>
      <c r="AJ196" s="13">
        <f>AI196*VLOOKUP('Données projet'!$B$10,Paramètres!$A$1:$I$89,3,0)*VLOOKUP('Données projet'!$B$10,Paramètres!$A$1:$I$89,5,0)</f>
        <v>-2.8642261895583942E-14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138.27364731587764</v>
      </c>
      <c r="AO196" s="59">
        <f t="shared" si="144"/>
        <v>372.50391467700013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2.7562899711579654</v>
      </c>
      <c r="AV196" s="21">
        <f>EXP(-LN(2)/25)*AV195+(1-EXP(-LN(2)/25))/(LN(2)/25)*Calculateur!AQ196*Calculateur!AS196*VLOOKUP('Données projet'!$B$10,Paramètres!$A$1:$I$89,3,0)*0.475*44/12</f>
        <v>0</v>
      </c>
      <c r="AW196" s="21">
        <f>EXP(-LN(2)/2)*AW195+(1-EXP(-LN(2)/2))/(LN(2)/2)*AQ196*AT196*VLOOKUP('Données projet'!$B$10,Paramètres!$A$1:$I$89,3,0)*0.475*44/12</f>
        <v>7.0585450961840558E-25</v>
      </c>
      <c r="AX196" s="21">
        <f t="shared" si="166"/>
        <v>2.7562899711579654</v>
      </c>
      <c r="AY196" s="7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-2.2737367544323206E-13</v>
      </c>
      <c r="BE196" s="13">
        <f>BD196*VLOOKUP('Données projet'!$B$11,Paramètres!$A$1:$I$89,3,0)*VLOOKUP('Données projet'!$B$11,Paramètres!$A$1:$I$89,5,0)</f>
        <v>-2.3765096557326618E-13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638.07304290599211</v>
      </c>
      <c r="BJ196" s="59">
        <f t="shared" si="146"/>
        <v>408.22196233793511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94.689688420211979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94.689688420211979</v>
      </c>
      <c r="BT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-2.2737367544323206E-13</v>
      </c>
      <c r="BZ196" s="13">
        <f>BY196*VLOOKUP('Données projet'!$B$12,Paramètres!$A$1:$I$89,3,0)*VLOOKUP('Données projet'!$B$12,Paramètres!$A$1:$I$89,5,0)</f>
        <v>-2.5893314159475268E-13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685.99951993586967</v>
      </c>
      <c r="CE196" s="59">
        <f t="shared" si="148"/>
        <v>437.98014017823095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103.16936201008167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103.16936201008167</v>
      </c>
      <c r="CO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-2.2737367544323206E-13</v>
      </c>
      <c r="CU196" s="17">
        <f>CT196*VLOOKUP('Données projet'!$B$13,Paramètres!$A$1:$I$89,3,0)*VLOOKUP('Données projet'!$B$13,Paramètres!$A$1:$I$89,5,0)</f>
        <v>-2.3055690689943731E-13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622.07867348539082</v>
      </c>
      <c r="CZ196" s="59">
        <f t="shared" si="150"/>
        <v>398.29010684041634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91.863130556922044</v>
      </c>
      <c r="DG196" s="21">
        <f>EXP(-LN(2)/25)*DG195+(1-EXP(-LN(2)/25))/(LN(2)/25)*Calculateur!DB196*Calculateur!DD196*VLOOKUP('Données projet'!$B$13,Paramètres!$A$1:$I$89,3,0)*0.475*44/12</f>
        <v>0</v>
      </c>
      <c r="DH196" s="21">
        <f>EXP(-LN(2)/2)*DH195+(1-EXP(-LN(2)/2))/(LN(2)/2)*DB196*DE196*VLOOKUP('Données projet'!$B$13,Paramètres!$A$1:$I$89,3,0)*0.475*44/12</f>
        <v>0</v>
      </c>
      <c r="DI196" s="22">
        <f t="shared" si="175"/>
        <v>91.863130556922044</v>
      </c>
      <c r="DJ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-2.2737367544323206E-13</v>
      </c>
      <c r="DP196" s="17">
        <f>DO196*VLOOKUP('Données projet'!$B$14,Paramètres!$A$1:$I$89,3,0)*VLOOKUP('Données projet'!$B$14,Paramètres!$A$1:$I$89,5,0)</f>
        <v>-2.1636878955177963E-13</v>
      </c>
      <c r="DQ196" s="13" t="e">
        <f t="shared" si="176"/>
        <v>#NUM!</v>
      </c>
      <c r="DR196" s="20" t="e">
        <f t="shared" si="177"/>
        <v>#NUM!</v>
      </c>
      <c r="DS196" s="59" t="e">
        <f t="shared" ref="DS196:DS203" si="197">DR196+(DJ196+DK196)*44/12</f>
        <v>#NUM!</v>
      </c>
      <c r="DT196" s="59">
        <f ca="1">AVERAGE(OFFSET($DS$3,0,0,'Données projet'!$E$14+1,1))-AVERAGE(OFFSET($H$3,0,0,'Données projet'!$E$14+1,1))</f>
        <v>590.05965493677377</v>
      </c>
      <c r="DU196" s="59">
        <f t="shared" si="152"/>
        <v>378.40640480134505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86.210014830342175</v>
      </c>
      <c r="EB196" s="21">
        <f>EXP(-LN(2)/25)*EB195+(1-EXP(-LN(2)/25))/(LN(2)/25)*Calculateur!DW196*Calculateur!DY196*VLOOKUP('Données projet'!$B$14,Paramètres!$A$1:$I$89,3,0)*0.475*44/12</f>
        <v>0</v>
      </c>
      <c r="EC196" s="21">
        <f>EXP(-LN(2)/2)*EC195+(1-EXP(-LN(2)/2))/(LN(2)/2)*DW196*DZ196*VLOOKUP('Données projet'!$B$14,Paramètres!$A$1:$I$89,3,0)*0.475*44/12</f>
        <v>0</v>
      </c>
      <c r="ED196" s="22">
        <f t="shared" si="178"/>
        <v>86.210014830342175</v>
      </c>
      <c r="EE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68.962366532303037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2">
        <f>'Scénario référence'!$B$16*5+'Scénario référence'!$B$17*0+'Scénario référence'!$B$18*5</f>
        <v>4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14.666666666666666</v>
      </c>
      <c r="H197" s="66">
        <f t="shared" si="192"/>
        <v>159.86666666666667</v>
      </c>
      <c r="I197" s="6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-2.9085640562698246E-14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140.03175887621094</v>
      </c>
      <c r="T197" s="59">
        <f t="shared" ref="T197:T203" si="204">$T$3</f>
        <v>377.29475975964954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2.7440711590284121</v>
      </c>
      <c r="AA197" s="21">
        <f>EXP(-LN(2)/25)*AA196+(1-EXP(-LN(2)/25))/(LN(2)/25)*Calculateur!V197*Calculateur!X197*VLOOKUP('Données projet'!$B$9,Paramètres!$A$1:$I$89,3,0)*0.475*44/12</f>
        <v>0</v>
      </c>
      <c r="AB197" s="21">
        <f>EXP(-LN(2)/2)*AB196+(1-EXP(-LN(2)/2))/(LN(2)/2)*V197*Y197*VLOOKUP('Données projet'!$B$9,Paramètres!$A$1:$I$89,3,0)*0.475*44/12</f>
        <v>5.0684074109160344E-25</v>
      </c>
      <c r="AC197" s="22">
        <f t="shared" si="163"/>
        <v>2.7440711590284121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-5.6843418860808015E-14</v>
      </c>
      <c r="AJ197" s="13">
        <f>AI197*VLOOKUP('Données projet'!$B$10,Paramètres!$A$1:$I$89,3,0)*VLOOKUP('Données projet'!$B$10,Paramètres!$A$1:$I$89,5,0)</f>
        <v>-2.8642261895583942E-14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138.27364731587764</v>
      </c>
      <c r="AO197" s="59">
        <f t="shared" ref="AO197:AO203" si="205">$AO$3</f>
        <v>372.50391467700013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2.7022408059944381</v>
      </c>
      <c r="AV197" s="21">
        <f>EXP(-LN(2)/25)*AV196+(1-EXP(-LN(2)/25))/(LN(2)/25)*Calculateur!AQ197*Calculateur!AS197*VLOOKUP('Données projet'!$B$10,Paramètres!$A$1:$I$89,3,0)*0.475*44/12</f>
        <v>0</v>
      </c>
      <c r="AW197" s="21">
        <f>EXP(-LN(2)/2)*AW196+(1-EXP(-LN(2)/2))/(LN(2)/2)*AQ197*AT197*VLOOKUP('Données projet'!$B$10,Paramètres!$A$1:$I$89,3,0)*0.475*44/12</f>
        <v>4.9911451028227971E-25</v>
      </c>
      <c r="AX197" s="21">
        <f t="shared" si="166"/>
        <v>2.7022408059944381</v>
      </c>
      <c r="AY197" s="7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-2.2737367544323206E-13</v>
      </c>
      <c r="BE197" s="13">
        <f>BD197*VLOOKUP('Données projet'!$B$11,Paramètres!$A$1:$I$89,3,0)*VLOOKUP('Données projet'!$B$11,Paramètres!$A$1:$I$89,5,0)</f>
        <v>-2.3765096557326618E-13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638.07304290599211</v>
      </c>
      <c r="BJ197" s="59">
        <f t="shared" ref="BJ197:BJ203" si="206">$BJ$3</f>
        <v>408.22196233793511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92.83288138529872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92.83288138529872</v>
      </c>
      <c r="BT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-2.2737367544323206E-13</v>
      </c>
      <c r="BZ197" s="13">
        <f>BY197*VLOOKUP('Données projet'!$B$12,Paramètres!$A$1:$I$89,3,0)*VLOOKUP('Données projet'!$B$12,Paramètres!$A$1:$I$89,5,0)</f>
        <v>-2.5893314159475268E-13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685.99951993586967</v>
      </c>
      <c r="CE197" s="59">
        <f t="shared" ref="CE197:CE203" si="207">$CE$3</f>
        <v>437.98014017823095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101.14627374816126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101.14627374816126</v>
      </c>
      <c r="CO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-2.2737367544323206E-13</v>
      </c>
      <c r="CU197" s="17">
        <f>CT197*VLOOKUP('Données projet'!$B$13,Paramètres!$A$1:$I$89,3,0)*VLOOKUP('Données projet'!$B$13,Paramètres!$A$1:$I$89,5,0)</f>
        <v>-2.3055690689943731E-13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622.07867348539082</v>
      </c>
      <c r="CZ197" s="59">
        <f t="shared" ref="CZ197:CZ203" si="208">$CZ$3</f>
        <v>398.29010684041634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90.061750597677843</v>
      </c>
      <c r="DG197" s="21">
        <f>EXP(-LN(2)/25)*DG196+(1-EXP(-LN(2)/25))/(LN(2)/25)*Calculateur!DB197*Calculateur!DD197*VLOOKUP('Données projet'!$B$13,Paramètres!$A$1:$I$89,3,0)*0.475*44/12</f>
        <v>0</v>
      </c>
      <c r="DH197" s="21">
        <f>EXP(-LN(2)/2)*DH196+(1-EXP(-LN(2)/2))/(LN(2)/2)*DB197*DE197*VLOOKUP('Données projet'!$B$13,Paramètres!$A$1:$I$89,3,0)*0.475*44/12</f>
        <v>0</v>
      </c>
      <c r="DI197" s="22">
        <f t="shared" si="175"/>
        <v>90.061750597677843</v>
      </c>
      <c r="DJ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-2.2737367544323206E-13</v>
      </c>
      <c r="DP197" s="17">
        <f>DO197*VLOOKUP('Données projet'!$B$14,Paramètres!$A$1:$I$89,3,0)*VLOOKUP('Données projet'!$B$14,Paramètres!$A$1:$I$89,5,0)</f>
        <v>-2.1636878955177963E-13</v>
      </c>
      <c r="DQ197" s="13" t="e">
        <f t="shared" si="176"/>
        <v>#NUM!</v>
      </c>
      <c r="DR197" s="20" t="e">
        <f t="shared" si="177"/>
        <v>#NUM!</v>
      </c>
      <c r="DS197" s="59" t="e">
        <f t="shared" si="197"/>
        <v>#NUM!</v>
      </c>
      <c r="DT197" s="59">
        <f ca="1">AVERAGE(OFFSET($DS$3,0,0,'Données projet'!$E$14+1,1))-AVERAGE(OFFSET($H$3,0,0,'Données projet'!$E$14+1,1))</f>
        <v>590.05965493677377</v>
      </c>
      <c r="DU197" s="59">
        <f t="shared" ref="DU197:DU203" si="209">$DU$3</f>
        <v>378.40640480134505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84.519489022436076</v>
      </c>
      <c r="EB197" s="21">
        <f>EXP(-LN(2)/25)*EB196+(1-EXP(-LN(2)/25))/(LN(2)/25)*Calculateur!DW197*Calculateur!DY197*VLOOKUP('Données projet'!$B$14,Paramètres!$A$1:$I$89,3,0)*0.475*44/12</f>
        <v>0</v>
      </c>
      <c r="EC197" s="21">
        <f>EXP(-LN(2)/2)*EC196+(1-EXP(-LN(2)/2))/(LN(2)/2)*DW197*DZ197*VLOOKUP('Données projet'!$B$14,Paramètres!$A$1:$I$89,3,0)*0.475*44/12</f>
        <v>0</v>
      </c>
      <c r="ED197" s="22">
        <f t="shared" si="178"/>
        <v>84.519489022436076</v>
      </c>
      <c r="EE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68.980367153166696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2">
        <f>'Scénario référence'!$B$16*5+'Scénario référence'!$B$17*0+'Scénario référence'!$B$18*5</f>
        <v>4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14.666666666666666</v>
      </c>
      <c r="H198" s="66">
        <f t="shared" si="192"/>
        <v>159.86666666666667</v>
      </c>
      <c r="I198" s="6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-2.9085640562698246E-14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140.03175887621094</v>
      </c>
      <c r="T198" s="59">
        <f t="shared" si="204"/>
        <v>377.29475975964954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2.6902615973180062</v>
      </c>
      <c r="AA198" s="21">
        <f>EXP(-LN(2)/25)*AA197+(1-EXP(-LN(2)/25))/(LN(2)/25)*Calculateur!V198*Calculateur!X198*VLOOKUP('Données projet'!$B$9,Paramètres!$A$1:$I$89,3,0)*0.475*44/12</f>
        <v>0</v>
      </c>
      <c r="AB198" s="21">
        <f>EXP(-LN(2)/2)*AB197+(1-EXP(-LN(2)/2))/(LN(2)/2)*V198*Y198*VLOOKUP('Données projet'!$B$9,Paramètres!$A$1:$I$89,3,0)*0.475*44/12</f>
        <v>3.5839052500748803E-25</v>
      </c>
      <c r="AC198" s="22">
        <f t="shared" si="163"/>
        <v>2.6902615973180062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-5.6843418860808015E-14</v>
      </c>
      <c r="AJ198" s="13">
        <f>AI198*VLOOKUP('Données projet'!$B$10,Paramètres!$A$1:$I$89,3,0)*VLOOKUP('Données projet'!$B$10,Paramètres!$A$1:$I$89,5,0)</f>
        <v>-2.8642261895583942E-14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138.27364731587764</v>
      </c>
      <c r="AO198" s="59">
        <f t="shared" si="205"/>
        <v>372.50391467700013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2.649251511993032</v>
      </c>
      <c r="AV198" s="21">
        <f>EXP(-LN(2)/25)*AV197+(1-EXP(-LN(2)/25))/(LN(2)/25)*Calculateur!AQ198*Calculateur!AS198*VLOOKUP('Données projet'!$B$10,Paramètres!$A$1:$I$89,3,0)*0.475*44/12</f>
        <v>0</v>
      </c>
      <c r="AW198" s="21">
        <f>EXP(-LN(2)/2)*AW197+(1-EXP(-LN(2)/2))/(LN(2)/2)*AQ198*AT198*VLOOKUP('Données projet'!$B$10,Paramètres!$A$1:$I$89,3,0)*0.475*44/12</f>
        <v>3.5292725480920279E-25</v>
      </c>
      <c r="AX198" s="21">
        <f t="shared" si="166"/>
        <v>2.649251511993032</v>
      </c>
      <c r="AY198" s="7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-2.2737367544323206E-13</v>
      </c>
      <c r="BE198" s="13">
        <f>BD198*VLOOKUP('Données projet'!$B$11,Paramètres!$A$1:$I$89,3,0)*VLOOKUP('Données projet'!$B$11,Paramètres!$A$1:$I$89,5,0)</f>
        <v>-2.3765096557326618E-13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638.07304290599211</v>
      </c>
      <c r="BJ198" s="59">
        <f t="shared" si="206"/>
        <v>408.22196233793511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91.012485203799656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91.012485203799656</v>
      </c>
      <c r="BT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-2.2737367544323206E-13</v>
      </c>
      <c r="BZ198" s="13">
        <f>BY198*VLOOKUP('Données projet'!$B$12,Paramètres!$A$1:$I$89,3,0)*VLOOKUP('Données projet'!$B$12,Paramètres!$A$1:$I$89,5,0)</f>
        <v>-2.5893314159475268E-13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685.99951993586967</v>
      </c>
      <c r="CE198" s="59">
        <f t="shared" si="207"/>
        <v>437.98014017823095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99.16285701309512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99.16285701309512</v>
      </c>
      <c r="CO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-2.2737367544323206E-13</v>
      </c>
      <c r="CU198" s="17">
        <f>CT198*VLOOKUP('Données projet'!$B$13,Paramètres!$A$1:$I$89,3,0)*VLOOKUP('Données projet'!$B$13,Paramètres!$A$1:$I$89,5,0)</f>
        <v>-2.3055690689943731E-13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622.07867348539082</v>
      </c>
      <c r="CZ198" s="59">
        <f t="shared" si="208"/>
        <v>398.29010684041634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88.29569460070114</v>
      </c>
      <c r="DG198" s="21">
        <f>EXP(-LN(2)/25)*DG197+(1-EXP(-LN(2)/25))/(LN(2)/25)*Calculateur!DB198*Calculateur!DD198*VLOOKUP('Données projet'!$B$13,Paramètres!$A$1:$I$89,3,0)*0.475*44/12</f>
        <v>0</v>
      </c>
      <c r="DH198" s="21">
        <f>EXP(-LN(2)/2)*DH197+(1-EXP(-LN(2)/2))/(LN(2)/2)*DB198*DE198*VLOOKUP('Données projet'!$B$13,Paramètres!$A$1:$I$89,3,0)*0.475*44/12</f>
        <v>0</v>
      </c>
      <c r="DI198" s="22">
        <f t="shared" si="175"/>
        <v>88.29569460070114</v>
      </c>
      <c r="DJ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-2.2737367544323206E-13</v>
      </c>
      <c r="DP198" s="17">
        <f>DO198*VLOOKUP('Données projet'!$B$14,Paramètres!$A$1:$I$89,3,0)*VLOOKUP('Données projet'!$B$14,Paramètres!$A$1:$I$89,5,0)</f>
        <v>-2.1636878955177963E-13</v>
      </c>
      <c r="DQ198" s="13" t="e">
        <f t="shared" si="176"/>
        <v>#NUM!</v>
      </c>
      <c r="DR198" s="20" t="e">
        <f t="shared" si="177"/>
        <v>#NUM!</v>
      </c>
      <c r="DS198" s="59" t="e">
        <f t="shared" si="197"/>
        <v>#NUM!</v>
      </c>
      <c r="DT198" s="59">
        <f ca="1">AVERAGE(OFFSET($DS$3,0,0,'Données projet'!$E$14+1,1))-AVERAGE(OFFSET($H$3,0,0,'Données projet'!$E$14+1,1))</f>
        <v>590.05965493677377</v>
      </c>
      <c r="DU198" s="59">
        <f t="shared" si="209"/>
        <v>378.40640480134505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82.862113394504092</v>
      </c>
      <c r="EB198" s="21">
        <f>EXP(-LN(2)/25)*EB197+(1-EXP(-LN(2)/25))/(LN(2)/25)*Calculateur!DW198*Calculateur!DY198*VLOOKUP('Données projet'!$B$14,Paramètres!$A$1:$I$89,3,0)*0.475*44/12</f>
        <v>0</v>
      </c>
      <c r="EC198" s="21">
        <f>EXP(-LN(2)/2)*EC197+(1-EXP(-LN(2)/2))/(LN(2)/2)*DW198*DZ198*VLOOKUP('Données projet'!$B$14,Paramètres!$A$1:$I$89,3,0)*0.475*44/12</f>
        <v>0</v>
      </c>
      <c r="ED198" s="22">
        <f t="shared" si="178"/>
        <v>82.862113394504092</v>
      </c>
      <c r="EE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68.998055503501703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2">
        <f>'Scénario référence'!$B$16*5+'Scénario référence'!$B$17*0+'Scénario référence'!$B$18*5</f>
        <v>4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14.666666666666666</v>
      </c>
      <c r="H199" s="66">
        <f t="shared" si="192"/>
        <v>159.86666666666667</v>
      </c>
      <c r="I199" s="6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-2.9085640562698246E-14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140.03175887621094</v>
      </c>
      <c r="T199" s="59">
        <f t="shared" si="204"/>
        <v>377.29475975964954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2.6375072082921491</v>
      </c>
      <c r="AA199" s="21">
        <f>EXP(-LN(2)/25)*AA198+(1-EXP(-LN(2)/25))/(LN(2)/25)*Calculateur!V199*Calculateur!X199*VLOOKUP('Données projet'!$B$9,Paramètres!$A$1:$I$89,3,0)*0.475*44/12</f>
        <v>0</v>
      </c>
      <c r="AB199" s="21">
        <f>EXP(-LN(2)/2)*AB198+(1-EXP(-LN(2)/2))/(LN(2)/2)*V199*Y199*VLOOKUP('Données projet'!$B$9,Paramètres!$A$1:$I$89,3,0)*0.475*44/12</f>
        <v>2.5342037054580172E-25</v>
      </c>
      <c r="AC199" s="22">
        <f t="shared" si="163"/>
        <v>2.6375072082921491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-5.6843418860808015E-14</v>
      </c>
      <c r="AJ199" s="13">
        <f>AI199*VLOOKUP('Données projet'!$B$10,Paramètres!$A$1:$I$89,3,0)*VLOOKUP('Données projet'!$B$10,Paramètres!$A$1:$I$89,5,0)</f>
        <v>-2.8642261895583942E-14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138.27364731587764</v>
      </c>
      <c r="AO199" s="59">
        <f t="shared" si="205"/>
        <v>372.50391467700013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2.5973013057267158</v>
      </c>
      <c r="AV199" s="21">
        <f>EXP(-LN(2)/25)*AV198+(1-EXP(-LN(2)/25))/(LN(2)/25)*Calculateur!AQ199*Calculateur!AS199*VLOOKUP('Données projet'!$B$10,Paramètres!$A$1:$I$89,3,0)*0.475*44/12</f>
        <v>0</v>
      </c>
      <c r="AW199" s="21">
        <f>EXP(-LN(2)/2)*AW198+(1-EXP(-LN(2)/2))/(LN(2)/2)*AQ199*AT199*VLOOKUP('Données projet'!$B$10,Paramètres!$A$1:$I$89,3,0)*0.475*44/12</f>
        <v>2.4955725514113986E-25</v>
      </c>
      <c r="AX199" s="21">
        <f t="shared" si="166"/>
        <v>2.5973013057267158</v>
      </c>
      <c r="AY199" s="7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-2.2737367544323206E-13</v>
      </c>
      <c r="BE199" s="13">
        <f>BD199*VLOOKUP('Données projet'!$B$11,Paramètres!$A$1:$I$89,3,0)*VLOOKUP('Données projet'!$B$11,Paramètres!$A$1:$I$89,5,0)</f>
        <v>-2.3765096557326618E-13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638.07304290599211</v>
      </c>
      <c r="BJ199" s="59">
        <f t="shared" si="206"/>
        <v>408.22196233793511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89.227785881087755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89.227785881087755</v>
      </c>
      <c r="BT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-2.2737367544323206E-13</v>
      </c>
      <c r="BZ199" s="13">
        <f>BY199*VLOOKUP('Données projet'!$B$12,Paramètres!$A$1:$I$89,3,0)*VLOOKUP('Données projet'!$B$12,Paramètres!$A$1:$I$89,5,0)</f>
        <v>-2.5893314159475268E-13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685.99951993586967</v>
      </c>
      <c r="CE199" s="59">
        <f t="shared" si="207"/>
        <v>437.98014017823095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97.218333870438869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97.218333870438869</v>
      </c>
      <c r="CO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-2.2737367544323206E-13</v>
      </c>
      <c r="CU199" s="17">
        <f>CT199*VLOOKUP('Données projet'!$B$13,Paramètres!$A$1:$I$89,3,0)*VLOOKUP('Données projet'!$B$13,Paramètres!$A$1:$I$89,5,0)</f>
        <v>-2.3055690689943731E-13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622.07867348539082</v>
      </c>
      <c r="CZ199" s="59">
        <f t="shared" si="208"/>
        <v>398.29010684041634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86.564269884637355</v>
      </c>
      <c r="DG199" s="21">
        <f>EXP(-LN(2)/25)*DG198+(1-EXP(-LN(2)/25))/(LN(2)/25)*Calculateur!DB199*Calculateur!DD199*VLOOKUP('Données projet'!$B$13,Paramètres!$A$1:$I$89,3,0)*0.475*44/12</f>
        <v>0</v>
      </c>
      <c r="DH199" s="21">
        <f>EXP(-LN(2)/2)*DH198+(1-EXP(-LN(2)/2))/(LN(2)/2)*DB199*DE199*VLOOKUP('Données projet'!$B$13,Paramètres!$A$1:$I$89,3,0)*0.475*44/12</f>
        <v>0</v>
      </c>
      <c r="DI199" s="22">
        <f t="shared" si="175"/>
        <v>86.564269884637355</v>
      </c>
      <c r="DJ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-2.2737367544323206E-13</v>
      </c>
      <c r="DP199" s="17">
        <f>DO199*VLOOKUP('Données projet'!$B$14,Paramètres!$A$1:$I$89,3,0)*VLOOKUP('Données projet'!$B$14,Paramètres!$A$1:$I$89,5,0)</f>
        <v>-2.1636878955177963E-13</v>
      </c>
      <c r="DQ199" s="13" t="e">
        <f t="shared" si="176"/>
        <v>#NUM!</v>
      </c>
      <c r="DR199" s="20" t="e">
        <f t="shared" si="177"/>
        <v>#NUM!</v>
      </c>
      <c r="DS199" s="59" t="e">
        <f t="shared" si="197"/>
        <v>#NUM!</v>
      </c>
      <c r="DT199" s="59">
        <f ca="1">AVERAGE(OFFSET($DS$3,0,0,'Données projet'!$E$14+1,1))-AVERAGE(OFFSET($H$3,0,0,'Données projet'!$E$14+1,1))</f>
        <v>590.05965493677377</v>
      </c>
      <c r="DU199" s="59">
        <f t="shared" si="209"/>
        <v>378.40640480134505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81.237237891736541</v>
      </c>
      <c r="EB199" s="21">
        <f>EXP(-LN(2)/25)*EB198+(1-EXP(-LN(2)/25))/(LN(2)/25)*Calculateur!DW199*Calculateur!DY199*VLOOKUP('Données projet'!$B$14,Paramètres!$A$1:$I$89,3,0)*0.475*44/12</f>
        <v>0</v>
      </c>
      <c r="EC199" s="21">
        <f>EXP(-LN(2)/2)*EC198+(1-EXP(-LN(2)/2))/(LN(2)/2)*DW199*DZ199*VLOOKUP('Données projet'!$B$14,Paramètres!$A$1:$I$89,3,0)*0.475*44/12</f>
        <v>0</v>
      </c>
      <c r="ED199" s="22">
        <f t="shared" si="178"/>
        <v>81.237237891736541</v>
      </c>
      <c r="EE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69.015437000503624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2">
        <f>'Scénario référence'!$B$16*5+'Scénario référence'!$B$17*0+'Scénario référence'!$B$18*5</f>
        <v>4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14.666666666666666</v>
      </c>
      <c r="H200" s="66">
        <f t="shared" si="192"/>
        <v>159.86666666666667</v>
      </c>
      <c r="I200" s="6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-2.9085640562698246E-14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140.03175887621094</v>
      </c>
      <c r="T200" s="59">
        <f t="shared" si="204"/>
        <v>377.29475975964954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2.5857873006580894</v>
      </c>
      <c r="AA200" s="21">
        <f>EXP(-LN(2)/25)*AA199+(1-EXP(-LN(2)/25))/(LN(2)/25)*Calculateur!V200*Calculateur!X200*VLOOKUP('Données projet'!$B$9,Paramètres!$A$1:$I$89,3,0)*0.475*44/12</f>
        <v>0</v>
      </c>
      <c r="AB200" s="21">
        <f>EXP(-LN(2)/2)*AB199+(1-EXP(-LN(2)/2))/(LN(2)/2)*V200*Y200*VLOOKUP('Données projet'!$B$9,Paramètres!$A$1:$I$89,3,0)*0.475*44/12</f>
        <v>1.7919526250374401E-25</v>
      </c>
      <c r="AC200" s="22">
        <f t="shared" si="163"/>
        <v>2.5857873006580894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-5.6843418860808015E-14</v>
      </c>
      <c r="AJ200" s="13">
        <f>AI200*VLOOKUP('Données projet'!$B$10,Paramètres!$A$1:$I$89,3,0)*VLOOKUP('Données projet'!$B$10,Paramètres!$A$1:$I$89,5,0)</f>
        <v>-2.8642261895583942E-14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138.27364731587764</v>
      </c>
      <c r="AO200" s="59">
        <f t="shared" si="205"/>
        <v>372.50391467700013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2.5463698113187849</v>
      </c>
      <c r="AV200" s="21">
        <f>EXP(-LN(2)/25)*AV199+(1-EXP(-LN(2)/25))/(LN(2)/25)*Calculateur!AQ200*Calculateur!AS200*VLOOKUP('Données projet'!$B$10,Paramètres!$A$1:$I$89,3,0)*0.475*44/12</f>
        <v>0</v>
      </c>
      <c r="AW200" s="21">
        <f>EXP(-LN(2)/2)*AW199+(1-EXP(-LN(2)/2))/(LN(2)/2)*AQ200*AT200*VLOOKUP('Données projet'!$B$10,Paramètres!$A$1:$I$89,3,0)*0.475*44/12</f>
        <v>1.7646362740460139E-25</v>
      </c>
      <c r="AX200" s="21">
        <f t="shared" si="166"/>
        <v>2.5463698113187849</v>
      </c>
      <c r="AY200" s="7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-2.2737367544323206E-13</v>
      </c>
      <c r="BE200" s="13">
        <f>BD200*VLOOKUP('Données projet'!$B$11,Paramètres!$A$1:$I$89,3,0)*VLOOKUP('Données projet'!$B$11,Paramètres!$A$1:$I$89,5,0)</f>
        <v>-2.3765096557326618E-13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638.07304290599211</v>
      </c>
      <c r="BJ200" s="59">
        <f t="shared" si="206"/>
        <v>408.22196233793511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87.478083423535125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87.478083423535125</v>
      </c>
      <c r="BT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-2.2737367544323206E-13</v>
      </c>
      <c r="BZ200" s="13">
        <f>BY200*VLOOKUP('Données projet'!$B$12,Paramètres!$A$1:$I$89,3,0)*VLOOKUP('Données projet'!$B$12,Paramètres!$A$1:$I$89,5,0)</f>
        <v>-2.5893314159475268E-13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685.99951993586967</v>
      </c>
      <c r="CE200" s="59">
        <f t="shared" si="207"/>
        <v>437.98014017823095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95.311941640568094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95.311941640568094</v>
      </c>
      <c r="CO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-2.2737367544323206E-13</v>
      </c>
      <c r="CU200" s="17">
        <f>CT200*VLOOKUP('Données projet'!$B$13,Paramètres!$A$1:$I$89,3,0)*VLOOKUP('Données projet'!$B$13,Paramètres!$A$1:$I$89,5,0)</f>
        <v>-2.3055690689943731E-13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622.07867348539082</v>
      </c>
      <c r="CZ200" s="59">
        <f t="shared" si="208"/>
        <v>398.29010684041634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84.866797351190783</v>
      </c>
      <c r="DG200" s="21">
        <f>EXP(-LN(2)/25)*DG199+(1-EXP(-LN(2)/25))/(LN(2)/25)*Calculateur!DB200*Calculateur!DD200*VLOOKUP('Données projet'!$B$13,Paramètres!$A$1:$I$89,3,0)*0.475*44/12</f>
        <v>0</v>
      </c>
      <c r="DH200" s="21">
        <f>EXP(-LN(2)/2)*DH199+(1-EXP(-LN(2)/2))/(LN(2)/2)*DB200*DE200*VLOOKUP('Données projet'!$B$13,Paramètres!$A$1:$I$89,3,0)*0.475*44/12</f>
        <v>0</v>
      </c>
      <c r="DI200" s="22">
        <f t="shared" si="175"/>
        <v>84.866797351190783</v>
      </c>
      <c r="DJ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-2.2737367544323206E-13</v>
      </c>
      <c r="DP200" s="17">
        <f>DO200*VLOOKUP('Données projet'!$B$14,Paramètres!$A$1:$I$89,3,0)*VLOOKUP('Données projet'!$B$14,Paramètres!$A$1:$I$89,5,0)</f>
        <v>-2.1636878955177963E-13</v>
      </c>
      <c r="DQ200" s="13" t="e">
        <f t="shared" si="176"/>
        <v>#NUM!</v>
      </c>
      <c r="DR200" s="20" t="e">
        <f t="shared" si="177"/>
        <v>#NUM!</v>
      </c>
      <c r="DS200" s="59" t="e">
        <f t="shared" si="197"/>
        <v>#NUM!</v>
      </c>
      <c r="DT200" s="59">
        <f ca="1">AVERAGE(OFFSET($DS$3,0,0,'Données projet'!$E$14+1,1))-AVERAGE(OFFSET($H$3,0,0,'Données projet'!$E$14+1,1))</f>
        <v>590.05965493677377</v>
      </c>
      <c r="DU200" s="59">
        <f t="shared" si="209"/>
        <v>378.40640480134505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79.644225206502057</v>
      </c>
      <c r="EB200" s="21">
        <f>EXP(-LN(2)/25)*EB199+(1-EXP(-LN(2)/25))/(LN(2)/25)*Calculateur!DW200*Calculateur!DY200*VLOOKUP('Données projet'!$B$14,Paramètres!$A$1:$I$89,3,0)*0.475*44/12</f>
        <v>0</v>
      </c>
      <c r="EC200" s="21">
        <f>EXP(-LN(2)/2)*EC199+(1-EXP(-LN(2)/2))/(LN(2)/2)*DW200*DZ200*VLOOKUP('Données projet'!$B$14,Paramètres!$A$1:$I$89,3,0)*0.475*44/12</f>
        <v>0</v>
      </c>
      <c r="ED200" s="22">
        <f t="shared" si="178"/>
        <v>79.644225206502057</v>
      </c>
      <c r="EE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69.032516967391786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2">
        <f>'Scénario référence'!$B$16*5+'Scénario référence'!$B$17*0+'Scénario référence'!$B$18*5</f>
        <v>4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14.666666666666666</v>
      </c>
      <c r="H201" s="66">
        <f t="shared" si="192"/>
        <v>159.86666666666667</v>
      </c>
      <c r="I201" s="6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-2.9085640562698246E-14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140.03175887621094</v>
      </c>
      <c r="T201" s="59">
        <f t="shared" si="204"/>
        <v>377.29475975964954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2.5350815888667046</v>
      </c>
      <c r="AA201" s="21">
        <f>EXP(-LN(2)/25)*AA200+(1-EXP(-LN(2)/25))/(LN(2)/25)*Calculateur!V201*Calculateur!X201*VLOOKUP('Données projet'!$B$9,Paramètres!$A$1:$I$89,3,0)*0.475*44/12</f>
        <v>0</v>
      </c>
      <c r="AB201" s="21">
        <f>EXP(-LN(2)/2)*AB200+(1-EXP(-LN(2)/2))/(LN(2)/2)*V201*Y201*VLOOKUP('Données projet'!$B$9,Paramètres!$A$1:$I$89,3,0)*0.475*44/12</f>
        <v>1.2671018527290086E-25</v>
      </c>
      <c r="AC201" s="22">
        <f t="shared" si="163"/>
        <v>2.5350815888667046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-5.6843418860808015E-14</v>
      </c>
      <c r="AJ201" s="13">
        <f>AI201*VLOOKUP('Données projet'!$B$10,Paramètres!$A$1:$I$89,3,0)*VLOOKUP('Données projet'!$B$10,Paramètres!$A$1:$I$89,5,0)</f>
        <v>-2.8642261895583942E-14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138.27364731587764</v>
      </c>
      <c r="AO201" s="59">
        <f t="shared" si="205"/>
        <v>372.50391467700013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2.4964370524510495</v>
      </c>
      <c r="AV201" s="21">
        <f>EXP(-LN(2)/25)*AV200+(1-EXP(-LN(2)/25))/(LN(2)/25)*Calculateur!AQ201*Calculateur!AS201*VLOOKUP('Données projet'!$B$10,Paramètres!$A$1:$I$89,3,0)*0.475*44/12</f>
        <v>0</v>
      </c>
      <c r="AW201" s="21">
        <f>EXP(-LN(2)/2)*AW200+(1-EXP(-LN(2)/2))/(LN(2)/2)*AQ201*AT201*VLOOKUP('Données projet'!$B$10,Paramètres!$A$1:$I$89,3,0)*0.475*44/12</f>
        <v>1.2477862757056993E-25</v>
      </c>
      <c r="AX201" s="21">
        <f t="shared" si="166"/>
        <v>2.4964370524510495</v>
      </c>
      <c r="AY201" s="7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-2.2737367544323206E-13</v>
      </c>
      <c r="BE201" s="13">
        <f>BD201*VLOOKUP('Données projet'!$B$11,Paramètres!$A$1:$I$89,3,0)*VLOOKUP('Données projet'!$B$11,Paramètres!$A$1:$I$89,5,0)</f>
        <v>-2.3765096557326618E-13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638.07304290599211</v>
      </c>
      <c r="BJ201" s="59">
        <f t="shared" si="206"/>
        <v>408.22196233793511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85.76269156396198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85.76269156396198</v>
      </c>
      <c r="BT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-2.2737367544323206E-13</v>
      </c>
      <c r="BZ201" s="13">
        <f>BY201*VLOOKUP('Données projet'!$B$12,Paramètres!$A$1:$I$89,3,0)*VLOOKUP('Données projet'!$B$12,Paramètres!$A$1:$I$89,5,0)</f>
        <v>-2.5893314159475268E-13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685.99951993586967</v>
      </c>
      <c r="CE201" s="59">
        <f t="shared" si="207"/>
        <v>437.98014017823095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93.44293259954064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93.44293259954064</v>
      </c>
      <c r="CO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-2.2737367544323206E-13</v>
      </c>
      <c r="CU201" s="17">
        <f>CT201*VLOOKUP('Données projet'!$B$13,Paramètres!$A$1:$I$89,3,0)*VLOOKUP('Données projet'!$B$13,Paramètres!$A$1:$I$89,5,0)</f>
        <v>-2.3055690689943731E-13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622.07867348539082</v>
      </c>
      <c r="CZ201" s="59">
        <f t="shared" si="208"/>
        <v>398.29010684041634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83.202611218769079</v>
      </c>
      <c r="DG201" s="21">
        <f>EXP(-LN(2)/25)*DG200+(1-EXP(-LN(2)/25))/(LN(2)/25)*Calculateur!DB201*Calculateur!DD201*VLOOKUP('Données projet'!$B$13,Paramètres!$A$1:$I$89,3,0)*0.475*44/12</f>
        <v>0</v>
      </c>
      <c r="DH201" s="21">
        <f>EXP(-LN(2)/2)*DH200+(1-EXP(-LN(2)/2))/(LN(2)/2)*DB201*DE201*VLOOKUP('Données projet'!$B$13,Paramètres!$A$1:$I$89,3,0)*0.475*44/12</f>
        <v>0</v>
      </c>
      <c r="DI201" s="22">
        <f t="shared" si="175"/>
        <v>83.202611218769079</v>
      </c>
      <c r="DJ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-2.2737367544323206E-13</v>
      </c>
      <c r="DP201" s="17">
        <f>DO201*VLOOKUP('Données projet'!$B$14,Paramètres!$A$1:$I$89,3,0)*VLOOKUP('Données projet'!$B$14,Paramètres!$A$1:$I$89,5,0)</f>
        <v>-2.1636878955177963E-13</v>
      </c>
      <c r="DQ201" s="13" t="e">
        <f t="shared" si="176"/>
        <v>#NUM!</v>
      </c>
      <c r="DR201" s="20" t="e">
        <f t="shared" si="177"/>
        <v>#NUM!</v>
      </c>
      <c r="DS201" s="59" t="e">
        <f t="shared" si="197"/>
        <v>#NUM!</v>
      </c>
      <c r="DT201" s="59">
        <f ca="1">AVERAGE(OFFSET($DS$3,0,0,'Données projet'!$E$14+1,1))-AVERAGE(OFFSET($H$3,0,0,'Données projet'!$E$14+1,1))</f>
        <v>590.05965493677377</v>
      </c>
      <c r="DU201" s="59">
        <f t="shared" si="209"/>
        <v>378.40640480134505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78.082450528383234</v>
      </c>
      <c r="EB201" s="21">
        <f>EXP(-LN(2)/25)*EB200+(1-EXP(-LN(2)/25))/(LN(2)/25)*Calculateur!DW201*Calculateur!DY201*VLOOKUP('Données projet'!$B$14,Paramètres!$A$1:$I$89,3,0)*0.475*44/12</f>
        <v>0</v>
      </c>
      <c r="EC201" s="21">
        <f>EXP(-LN(2)/2)*EC200+(1-EXP(-LN(2)/2))/(LN(2)/2)*DW201*DZ201*VLOOKUP('Données projet'!$B$14,Paramètres!$A$1:$I$89,3,0)*0.475*44/12</f>
        <v>0</v>
      </c>
      <c r="ED201" s="22">
        <f t="shared" si="178"/>
        <v>78.082450528383234</v>
      </c>
      <c r="EE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69.049300635039515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2">
        <f>'Scénario référence'!$B$16*5+'Scénario référence'!$B$17*0+'Scénario référence'!$B$18*5</f>
        <v>4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14.666666666666666</v>
      </c>
      <c r="H202" s="66">
        <f t="shared" si="192"/>
        <v>159.86666666666667</v>
      </c>
      <c r="I202" s="6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-2.9085640562698246E-14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140.03175887621094</v>
      </c>
      <c r="T202" s="59">
        <f t="shared" si="204"/>
        <v>377.29475975964954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2.4853701851561185</v>
      </c>
      <c r="AA202" s="21">
        <f>EXP(-LN(2)/25)*AA201+(1-EXP(-LN(2)/25))/(LN(2)/25)*Calculateur!V202*Calculateur!X202*VLOOKUP('Données projet'!$B$9,Paramètres!$A$1:$I$89,3,0)*0.475*44/12</f>
        <v>0</v>
      </c>
      <c r="AB202" s="21">
        <f>EXP(-LN(2)/2)*AB201+(1-EXP(-LN(2)/2))/(LN(2)/2)*V202*Y202*VLOOKUP('Données projet'!$B$9,Paramètres!$A$1:$I$89,3,0)*0.475*44/12</f>
        <v>8.9597631251872006E-26</v>
      </c>
      <c r="AC202" s="22">
        <f t="shared" si="163"/>
        <v>2.4853701851561185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-5.6843418860808015E-14</v>
      </c>
      <c r="AJ202" s="13">
        <f>AI202*VLOOKUP('Données projet'!$B$10,Paramètres!$A$1:$I$89,3,0)*VLOOKUP('Données projet'!$B$10,Paramètres!$A$1:$I$89,5,0)</f>
        <v>-2.8642261895583942E-14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138.27364731587764</v>
      </c>
      <c r="AO202" s="59">
        <f t="shared" si="205"/>
        <v>372.50391467700013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2.4474834445287348</v>
      </c>
      <c r="AV202" s="21">
        <f>EXP(-LN(2)/25)*AV201+(1-EXP(-LN(2)/25))/(LN(2)/25)*Calculateur!AQ202*Calculateur!AS202*VLOOKUP('Données projet'!$B$10,Paramètres!$A$1:$I$89,3,0)*0.475*44/12</f>
        <v>0</v>
      </c>
      <c r="AW202" s="21">
        <f>EXP(-LN(2)/2)*AW201+(1-EXP(-LN(2)/2))/(LN(2)/2)*AQ202*AT202*VLOOKUP('Données projet'!$B$10,Paramètres!$A$1:$I$89,3,0)*0.475*44/12</f>
        <v>8.8231813702300697E-26</v>
      </c>
      <c r="AX202" s="21">
        <f t="shared" si="166"/>
        <v>2.4474834445287348</v>
      </c>
      <c r="AY202" s="7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-2.2737367544323206E-13</v>
      </c>
      <c r="BE202" s="13">
        <f>BD202*VLOOKUP('Données projet'!$B$11,Paramètres!$A$1:$I$89,3,0)*VLOOKUP('Données projet'!$B$11,Paramètres!$A$1:$I$89,5,0)</f>
        <v>-2.3765096557326618E-13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638.07304290599211</v>
      </c>
      <c r="BJ202" s="59">
        <f t="shared" si="206"/>
        <v>408.22196233793511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84.080937492469346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84.080937492469346</v>
      </c>
      <c r="BT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-2.2737367544323206E-13</v>
      </c>
      <c r="BZ202" s="13">
        <f>BY202*VLOOKUP('Données projet'!$B$12,Paramètres!$A$1:$I$89,3,0)*VLOOKUP('Données projet'!$B$12,Paramètres!$A$1:$I$89,5,0)</f>
        <v>-2.5893314159475268E-13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685.99951993586967</v>
      </c>
      <c r="CE202" s="59">
        <f t="shared" si="207"/>
        <v>437.98014017823095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91.610573685824789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91.610573685824789</v>
      </c>
      <c r="CO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-2.2737367544323206E-13</v>
      </c>
      <c r="CU202" s="17">
        <f>CT202*VLOOKUP('Données projet'!$B$13,Paramètres!$A$1:$I$89,3,0)*VLOOKUP('Données projet'!$B$13,Paramètres!$A$1:$I$89,5,0)</f>
        <v>-2.3055690689943731E-13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622.07867348539082</v>
      </c>
      <c r="CZ202" s="59">
        <f t="shared" si="208"/>
        <v>398.29010684041634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81.571058761350855</v>
      </c>
      <c r="DG202" s="21">
        <f>EXP(-LN(2)/25)*DG201+(1-EXP(-LN(2)/25))/(LN(2)/25)*Calculateur!DB202*Calculateur!DD202*VLOOKUP('Données projet'!$B$13,Paramètres!$A$1:$I$89,3,0)*0.475*44/12</f>
        <v>0</v>
      </c>
      <c r="DH202" s="21">
        <f>EXP(-LN(2)/2)*DH201+(1-EXP(-LN(2)/2))/(LN(2)/2)*DB202*DE202*VLOOKUP('Données projet'!$B$13,Paramètres!$A$1:$I$89,3,0)*0.475*44/12</f>
        <v>0</v>
      </c>
      <c r="DI202" s="22">
        <f t="shared" si="175"/>
        <v>81.571058761350855</v>
      </c>
      <c r="DJ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-2.2737367544323206E-13</v>
      </c>
      <c r="DP202" s="17">
        <f>DO202*VLOOKUP('Données projet'!$B$14,Paramètres!$A$1:$I$89,3,0)*VLOOKUP('Données projet'!$B$14,Paramètres!$A$1:$I$89,5,0)</f>
        <v>-2.1636878955177963E-13</v>
      </c>
      <c r="DQ202" s="13" t="e">
        <f t="shared" si="176"/>
        <v>#NUM!</v>
      </c>
      <c r="DR202" s="20" t="e">
        <f t="shared" si="177"/>
        <v>#NUM!</v>
      </c>
      <c r="DS202" s="59" t="e">
        <f t="shared" si="197"/>
        <v>#NUM!</v>
      </c>
      <c r="DT202" s="59">
        <f ca="1">AVERAGE(OFFSET($DS$3,0,0,'Données projet'!$E$14+1,1))-AVERAGE(OFFSET($H$3,0,0,'Données projet'!$E$14+1,1))</f>
        <v>590.05965493677377</v>
      </c>
      <c r="DU202" s="59">
        <f t="shared" si="209"/>
        <v>378.40640480134505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76.551301299113831</v>
      </c>
      <c r="EB202" s="21">
        <f>EXP(-LN(2)/25)*EB201+(1-EXP(-LN(2)/25))/(LN(2)/25)*Calculateur!DW202*Calculateur!DY202*VLOOKUP('Données projet'!$B$14,Paramètres!$A$1:$I$89,3,0)*0.475*44/12</f>
        <v>0</v>
      </c>
      <c r="EC202" s="21">
        <f>EXP(-LN(2)/2)*EC201+(1-EXP(-LN(2)/2))/(LN(2)/2)*DW202*DZ202*VLOOKUP('Données projet'!$B$14,Paramètres!$A$1:$I$89,3,0)*0.475*44/12</f>
        <v>0</v>
      </c>
      <c r="ED202" s="22">
        <f t="shared" si="178"/>
        <v>76.551301299113831</v>
      </c>
      <c r="EE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69.065793143576201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2">
        <f>'Scénario référence'!$B$16*5+'Scénario référence'!$B$17*0+'Scénario référence'!$B$18*5</f>
        <v>4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39.6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14.666666666666666</v>
      </c>
      <c r="H203" s="66">
        <f t="shared" si="192"/>
        <v>159.86666666666667</v>
      </c>
      <c r="I203" s="6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-2.9085640562698246E-14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140.03175887621094</v>
      </c>
      <c r="T203" s="59">
        <f t="shared" si="204"/>
        <v>377.29475975964954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2.4366335917513346</v>
      </c>
      <c r="AA203" s="21">
        <f>EXP(-LN(2)/25)*AA202+(1-EXP(-LN(2)/25))/(LN(2)/25)*Calculateur!V203*Calculateur!X203*VLOOKUP('Données projet'!$B$9,Paramètres!$A$1:$I$89,3,0)*0.475*44/12</f>
        <v>0</v>
      </c>
      <c r="AB203" s="21">
        <f>EXP(-LN(2)/2)*AB202+(1-EXP(-LN(2)/2))/(LN(2)/2)*V203*Y203*VLOOKUP('Données projet'!$B$9,Paramètres!$A$1:$I$89,3,0)*0.475*44/12</f>
        <v>6.335509263645043E-26</v>
      </c>
      <c r="AC203" s="22">
        <f t="shared" si="163"/>
        <v>2.4366335917513346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-5.6843418860808015E-14</v>
      </c>
      <c r="AJ203" s="13">
        <f>AI203*VLOOKUP('Données projet'!$B$10,Paramètres!$A$1:$I$89,3,0)*VLOOKUP('Données projet'!$B$10,Paramètres!$A$1:$I$89,5,0)</f>
        <v>-2.8642261895583942E-14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138.27364731587764</v>
      </c>
      <c r="AO203" s="59">
        <f t="shared" si="205"/>
        <v>372.50391467700013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2.3994897869990242</v>
      </c>
      <c r="AV203" s="21">
        <f>EXP(-LN(2)/25)*AV202+(1-EXP(-LN(2)/25))/(LN(2)/25)*Calculateur!AQ203*Calculateur!AS203*VLOOKUP('Données projet'!$B$10,Paramètres!$A$1:$I$89,3,0)*0.475*44/12</f>
        <v>0</v>
      </c>
      <c r="AW203" s="21">
        <f>EXP(-LN(2)/2)*AW202+(1-EXP(-LN(2)/2))/(LN(2)/2)*AQ203*AT203*VLOOKUP('Données projet'!$B$10,Paramètres!$A$1:$I$89,3,0)*0.475*44/12</f>
        <v>6.2389313785284964E-26</v>
      </c>
      <c r="AX203" s="21">
        <f t="shared" si="166"/>
        <v>2.3994897869990242</v>
      </c>
      <c r="AY203" s="7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-2.2737367544323206E-13</v>
      </c>
      <c r="BE203" s="13">
        <f>BD203*VLOOKUP('Données projet'!$B$11,Paramètres!$A$1:$I$89,3,0)*VLOOKUP('Données projet'!$B$11,Paramètres!$A$1:$I$89,5,0)</f>
        <v>-2.3765096557326618E-13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638.07304290599211</v>
      </c>
      <c r="BJ203" s="59">
        <f t="shared" si="206"/>
        <v>408.22196233793511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82.432161592549988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82.432161592549988</v>
      </c>
      <c r="BT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-2.2737367544323206E-13</v>
      </c>
      <c r="BZ203" s="13">
        <f>BY203*VLOOKUP('Données projet'!$B$12,Paramètres!$A$1:$I$89,3,0)*VLOOKUP('Données projet'!$B$12,Paramètres!$A$1:$I$89,5,0)</f>
        <v>-2.5893314159475268E-13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685.99951993586967</v>
      </c>
      <c r="CE203" s="59">
        <f t="shared" si="207"/>
        <v>437.98014017823095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89.814146212778326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89.814146212778326</v>
      </c>
      <c r="CO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-2.2737367544323206E-13</v>
      </c>
      <c r="CU203" s="17">
        <f>CT203*VLOOKUP('Données projet'!$B$13,Paramètres!$A$1:$I$89,3,0)*VLOOKUP('Données projet'!$B$13,Paramètres!$A$1:$I$89,5,0)</f>
        <v>-2.3055690689943731E-13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622.07867348539082</v>
      </c>
      <c r="CZ203" s="59">
        <f t="shared" si="208"/>
        <v>398.29010684041634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79.971500052473871</v>
      </c>
      <c r="DG203" s="21">
        <f>EXP(-LN(2)/25)*DG202+(1-EXP(-LN(2)/25))/(LN(2)/25)*Calculateur!DB203*Calculateur!DD203*VLOOKUP('Données projet'!$B$13,Paramètres!$A$1:$I$89,3,0)*0.475*44/12</f>
        <v>0</v>
      </c>
      <c r="DH203" s="21">
        <f>EXP(-LN(2)/2)*DH202+(1-EXP(-LN(2)/2))/(LN(2)/2)*DB203*DE203*VLOOKUP('Données projet'!$B$13,Paramètres!$A$1:$I$89,3,0)*0.475*44/12</f>
        <v>0</v>
      </c>
      <c r="DI203" s="22">
        <f t="shared" si="175"/>
        <v>79.971500052473871</v>
      </c>
      <c r="DJ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-2.2737367544323206E-13</v>
      </c>
      <c r="DP203" s="17">
        <f>DO203*VLOOKUP('Données projet'!$B$14,Paramètres!$A$1:$I$89,3,0)*VLOOKUP('Données projet'!$B$14,Paramètres!$A$1:$I$89,5,0)</f>
        <v>-2.1636878955177963E-13</v>
      </c>
      <c r="DQ203" s="13" t="e">
        <f t="shared" si="176"/>
        <v>#NUM!</v>
      </c>
      <c r="DR203" s="20" t="e">
        <f t="shared" si="177"/>
        <v>#NUM!</v>
      </c>
      <c r="DS203" s="59" t="e">
        <f t="shared" si="197"/>
        <v>#NUM!</v>
      </c>
      <c r="DT203" s="59">
        <f ca="1">AVERAGE(OFFSET($DS$3,0,0,'Données projet'!$E$14+1,1))-AVERAGE(OFFSET($H$3,0,0,'Données projet'!$E$14+1,1))</f>
        <v>590.05965493677377</v>
      </c>
      <c r="DU203" s="59">
        <f t="shared" si="209"/>
        <v>378.40640480134505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75.05017697232158</v>
      </c>
      <c r="EB203" s="21">
        <f>EXP(-LN(2)/25)*EB202+(1-EXP(-LN(2)/25))/(LN(2)/25)*Calculateur!DW203*Calculateur!DY203*VLOOKUP('Données projet'!$B$14,Paramètres!$A$1:$I$89,3,0)*0.475*44/12</f>
        <v>0</v>
      </c>
      <c r="EC203" s="21">
        <f>EXP(-LN(2)/2)*EC202+(1-EXP(-LN(2)/2))/(LN(2)/2)*DW203*DZ203*VLOOKUP('Données projet'!$B$14,Paramètres!$A$1:$I$89,3,0)*0.475*44/12</f>
        <v>0</v>
      </c>
      <c r="ED203" s="22">
        <f t="shared" si="178"/>
        <v>75.05017697232158</v>
      </c>
      <c r="EE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69.08199954396153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5"/>
      <c r="D204" s="76"/>
      <c r="E204" s="76"/>
      <c r="F204" s="76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5"/>
      <c r="I204" s="75"/>
      <c r="J204" s="75"/>
      <c r="K204" s="83" t="s">
        <v>293</v>
      </c>
      <c r="L204" s="77"/>
      <c r="M204" s="77"/>
      <c r="N204" s="77"/>
      <c r="O204" s="75"/>
      <c r="P204" s="75"/>
      <c r="Q204" s="76"/>
      <c r="R204" s="78"/>
      <c r="S204" s="78"/>
      <c r="T204" s="78"/>
      <c r="U204" s="77"/>
      <c r="V204" s="77"/>
      <c r="W204" s="79"/>
      <c r="X204" s="79"/>
      <c r="Y204" s="79"/>
      <c r="Z204" s="75"/>
      <c r="AA204" s="75"/>
      <c r="AB204" s="75"/>
      <c r="AC204" s="75"/>
      <c r="AD204" s="75"/>
      <c r="AE204" s="75"/>
      <c r="AF204" s="80" t="s">
        <v>293</v>
      </c>
      <c r="BA204" s="80" t="s">
        <v>293</v>
      </c>
      <c r="BV204" s="80" t="s">
        <v>293</v>
      </c>
      <c r="CQ204" s="80" t="s">
        <v>293</v>
      </c>
      <c r="DL204" s="80" t="s">
        <v>293</v>
      </c>
      <c r="EG204" s="80" t="s">
        <v>293</v>
      </c>
      <c r="FB204" s="80" t="s">
        <v>293</v>
      </c>
      <c r="FW204" s="80" t="s">
        <v>293</v>
      </c>
      <c r="GR204" s="80" t="s">
        <v>293</v>
      </c>
    </row>
    <row r="205" spans="1:218" ht="15" thickBot="1" x14ac:dyDescent="0.35">
      <c r="B205" s="10"/>
      <c r="C205" s="75"/>
      <c r="D205" s="76"/>
      <c r="E205" s="76"/>
      <c r="F205" s="76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5"/>
      <c r="I205" s="75"/>
      <c r="J205" s="75"/>
      <c r="K205" s="81">
        <f>EXP(LN('Données projet'!B36)/'Données projet'!A36)</f>
        <v>1.5281421358157987</v>
      </c>
      <c r="L205" s="77"/>
      <c r="M205" s="77"/>
      <c r="N205" s="77"/>
      <c r="O205" s="75"/>
      <c r="P205" s="75"/>
      <c r="Q205" s="76"/>
      <c r="R205" s="78"/>
      <c r="S205" s="78"/>
      <c r="T205" s="78"/>
      <c r="U205" s="77"/>
      <c r="V205" s="77"/>
      <c r="W205" s="79"/>
      <c r="X205" s="79"/>
      <c r="Y205" s="79"/>
      <c r="Z205" s="75"/>
      <c r="AA205" s="75"/>
      <c r="AB205" s="75"/>
      <c r="AC205" s="75"/>
      <c r="AD205" s="75"/>
      <c r="AE205" s="75"/>
      <c r="AF205" s="82">
        <f>EXP(LN('Données projet'!B62)/'Données projet'!A62)</f>
        <v>1.5281421358157987</v>
      </c>
      <c r="BA205" s="81">
        <f>EXP(LN('Données projet'!B88)/'Données projet'!A88)</f>
        <v>1.2392705892426346</v>
      </c>
      <c r="BV205" s="81">
        <f>EXP(LN('Données projet'!B114)/'Données projet'!A114)</f>
        <v>1.2392705892426346</v>
      </c>
      <c r="CQ205" s="81">
        <f>EXP(LN('Données projet'!B140)/'Données projet'!A140)</f>
        <v>1.2392705892426346</v>
      </c>
      <c r="DL205" s="81">
        <f>EXP(LN('Données projet'!B166)/'Données projet'!A166)</f>
        <v>1.2392705892426346</v>
      </c>
      <c r="EG205" s="81" t="e">
        <f>EXP(LN('Données projet'!B192)/'Données projet'!A192)</f>
        <v>#NUM!</v>
      </c>
      <c r="FB205" s="81" t="e">
        <f>EXP(LN('Données projet'!B218)/'Données projet'!A218)</f>
        <v>#NUM!</v>
      </c>
      <c r="FW205" s="81" t="e">
        <f>EXP(LN('Données projet'!B244)/'Données projet'!A244)</f>
        <v>#NUM!</v>
      </c>
      <c r="GR205" s="81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09" t="s">
        <v>0</v>
      </c>
      <c r="B1" s="110" t="s">
        <v>106</v>
      </c>
      <c r="C1" s="111" t="s">
        <v>144</v>
      </c>
      <c r="D1" s="110" t="s">
        <v>100</v>
      </c>
      <c r="E1" s="111" t="s">
        <v>145</v>
      </c>
      <c r="F1" s="111" t="s">
        <v>100</v>
      </c>
      <c r="G1" s="111" t="s">
        <v>146</v>
      </c>
      <c r="H1" s="111" t="s">
        <v>100</v>
      </c>
      <c r="I1" s="112" t="s">
        <v>147</v>
      </c>
      <c r="J1" s="77"/>
      <c r="K1" s="77"/>
      <c r="L1" s="77"/>
      <c r="M1" s="77"/>
      <c r="N1" s="77"/>
    </row>
    <row r="2" spans="1:16" x14ac:dyDescent="0.3">
      <c r="A2" s="113" t="s">
        <v>1</v>
      </c>
      <c r="B2" s="114" t="s">
        <v>53</v>
      </c>
      <c r="C2" s="115">
        <v>0.62</v>
      </c>
      <c r="D2" s="115" t="s">
        <v>161</v>
      </c>
      <c r="E2" s="115">
        <v>1.56</v>
      </c>
      <c r="F2" s="115" t="s">
        <v>274</v>
      </c>
      <c r="G2" s="116">
        <v>0.43</v>
      </c>
      <c r="H2" s="117" t="s">
        <v>278</v>
      </c>
      <c r="I2" s="118">
        <v>0.25</v>
      </c>
      <c r="J2" s="77"/>
      <c r="K2" s="77"/>
      <c r="L2" s="77"/>
      <c r="M2" s="77"/>
      <c r="N2" s="77"/>
      <c r="O2" s="280" t="s">
        <v>238</v>
      </c>
      <c r="P2" s="119">
        <v>0</v>
      </c>
    </row>
    <row r="3" spans="1:16" ht="15" thickBot="1" x14ac:dyDescent="0.35">
      <c r="A3" s="120" t="s">
        <v>2</v>
      </c>
      <c r="B3" s="121" t="s">
        <v>54</v>
      </c>
      <c r="C3" s="122">
        <v>0.64</v>
      </c>
      <c r="D3" s="122" t="s">
        <v>161</v>
      </c>
      <c r="E3" s="122">
        <v>1.56</v>
      </c>
      <c r="F3" s="123" t="s">
        <v>274</v>
      </c>
      <c r="G3" s="124">
        <v>0.43</v>
      </c>
      <c r="H3" s="122" t="s">
        <v>278</v>
      </c>
      <c r="I3" s="125">
        <v>0.25</v>
      </c>
      <c r="J3" s="77"/>
      <c r="K3" s="77"/>
      <c r="L3" s="77"/>
      <c r="M3" s="77"/>
      <c r="N3" s="77"/>
      <c r="O3" s="281"/>
      <c r="P3" s="126">
        <v>0.2</v>
      </c>
    </row>
    <row r="4" spans="1:16" ht="15" thickBot="1" x14ac:dyDescent="0.35">
      <c r="A4" s="120" t="s">
        <v>98</v>
      </c>
      <c r="B4" s="121" t="s">
        <v>99</v>
      </c>
      <c r="C4" s="122">
        <v>0.42</v>
      </c>
      <c r="D4" s="122" t="s">
        <v>161</v>
      </c>
      <c r="E4" s="122">
        <v>1.56</v>
      </c>
      <c r="F4" s="123" t="s">
        <v>274</v>
      </c>
      <c r="G4" s="124">
        <v>0.43</v>
      </c>
      <c r="H4" s="122" t="s">
        <v>278</v>
      </c>
      <c r="I4" s="125">
        <v>0.25</v>
      </c>
      <c r="J4" s="77"/>
      <c r="K4" s="77"/>
      <c r="L4" s="77"/>
      <c r="M4" s="77"/>
      <c r="N4" s="77"/>
    </row>
    <row r="5" spans="1:16" x14ac:dyDescent="0.3">
      <c r="A5" s="120" t="s">
        <v>4</v>
      </c>
      <c r="B5" s="121" t="s">
        <v>55</v>
      </c>
      <c r="C5" s="122">
        <v>0.42</v>
      </c>
      <c r="D5" s="122" t="s">
        <v>161</v>
      </c>
      <c r="E5" s="122">
        <v>1.56</v>
      </c>
      <c r="F5" s="123" t="s">
        <v>274</v>
      </c>
      <c r="G5" s="124">
        <v>0.43</v>
      </c>
      <c r="H5" s="122" t="s">
        <v>278</v>
      </c>
      <c r="I5" s="125">
        <v>0.25</v>
      </c>
      <c r="J5" s="77"/>
      <c r="K5" s="77"/>
      <c r="L5" s="77"/>
      <c r="M5" s="77"/>
      <c r="N5" s="77"/>
      <c r="O5" s="280" t="s">
        <v>237</v>
      </c>
      <c r="P5" s="119">
        <v>0</v>
      </c>
    </row>
    <row r="6" spans="1:16" x14ac:dyDescent="0.3">
      <c r="A6" s="120" t="s">
        <v>3</v>
      </c>
      <c r="B6" s="121" t="s">
        <v>97</v>
      </c>
      <c r="C6" s="122">
        <v>0.42</v>
      </c>
      <c r="D6" s="122" t="s">
        <v>161</v>
      </c>
      <c r="E6" s="122">
        <v>1.56</v>
      </c>
      <c r="F6" s="123" t="s">
        <v>274</v>
      </c>
      <c r="G6" s="124">
        <v>0.43</v>
      </c>
      <c r="H6" s="122" t="s">
        <v>278</v>
      </c>
      <c r="I6" s="125">
        <v>0.25</v>
      </c>
      <c r="J6" s="77"/>
      <c r="K6" s="77"/>
      <c r="L6" s="77"/>
      <c r="M6" s="77"/>
      <c r="N6" s="77"/>
      <c r="O6" s="282"/>
      <c r="P6" s="127">
        <v>0.05</v>
      </c>
    </row>
    <row r="7" spans="1:16" x14ac:dyDescent="0.3">
      <c r="A7" s="120" t="s">
        <v>5</v>
      </c>
      <c r="B7" s="121" t="s">
        <v>56</v>
      </c>
      <c r="C7" s="122">
        <v>0.52</v>
      </c>
      <c r="D7" s="122" t="s">
        <v>161</v>
      </c>
      <c r="E7" s="122">
        <v>1.56</v>
      </c>
      <c r="F7" s="123" t="s">
        <v>274</v>
      </c>
      <c r="G7" s="124">
        <v>0.43</v>
      </c>
      <c r="H7" s="122" t="s">
        <v>278</v>
      </c>
      <c r="I7" s="125">
        <v>0.25</v>
      </c>
      <c r="J7" s="77"/>
      <c r="K7" s="77"/>
      <c r="L7" s="77"/>
      <c r="M7" s="77"/>
      <c r="N7" s="77"/>
      <c r="O7" s="282"/>
      <c r="P7" s="127">
        <v>0.1</v>
      </c>
    </row>
    <row r="8" spans="1:16" ht="15" thickBot="1" x14ac:dyDescent="0.35">
      <c r="A8" s="120" t="s">
        <v>164</v>
      </c>
      <c r="B8" s="121" t="s">
        <v>57</v>
      </c>
      <c r="C8" s="122">
        <v>0.36</v>
      </c>
      <c r="D8" s="122" t="s">
        <v>161</v>
      </c>
      <c r="E8" s="122">
        <v>1.3</v>
      </c>
      <c r="F8" s="123" t="s">
        <v>274</v>
      </c>
      <c r="G8" s="124">
        <v>0.55000000000000004</v>
      </c>
      <c r="H8" s="122" t="s">
        <v>153</v>
      </c>
      <c r="I8" s="125">
        <v>0.43</v>
      </c>
      <c r="J8" s="77"/>
      <c r="K8" s="77"/>
      <c r="L8" s="77"/>
      <c r="M8" s="77"/>
      <c r="N8" s="77"/>
      <c r="O8" s="281"/>
      <c r="P8" s="126">
        <v>0.15</v>
      </c>
    </row>
    <row r="9" spans="1:16" ht="15" thickBot="1" x14ac:dyDescent="0.35">
      <c r="A9" s="120" t="s">
        <v>6</v>
      </c>
      <c r="B9" s="121" t="s">
        <v>58</v>
      </c>
      <c r="C9" s="122">
        <v>0.61</v>
      </c>
      <c r="D9" s="122" t="s">
        <v>161</v>
      </c>
      <c r="E9" s="122">
        <v>1.56</v>
      </c>
      <c r="F9" s="123" t="s">
        <v>274</v>
      </c>
      <c r="G9" s="124">
        <v>0.43</v>
      </c>
      <c r="H9" s="122" t="s">
        <v>278</v>
      </c>
      <c r="I9" s="125">
        <v>0.25</v>
      </c>
      <c r="J9" s="77"/>
      <c r="K9" s="77"/>
      <c r="L9" s="77"/>
      <c r="M9" s="77"/>
      <c r="N9" s="77"/>
    </row>
    <row r="10" spans="1:16" x14ac:dyDescent="0.3">
      <c r="A10" s="120" t="s">
        <v>7</v>
      </c>
      <c r="B10" s="121" t="s">
        <v>59</v>
      </c>
      <c r="C10" s="122">
        <v>0.66</v>
      </c>
      <c r="D10" s="122" t="s">
        <v>161</v>
      </c>
      <c r="E10" s="122">
        <v>1.56</v>
      </c>
      <c r="F10" s="123" t="s">
        <v>274</v>
      </c>
      <c r="G10" s="124">
        <v>0.43</v>
      </c>
      <c r="H10" s="122" t="s">
        <v>278</v>
      </c>
      <c r="I10" s="125">
        <v>0.25</v>
      </c>
      <c r="J10" s="77"/>
      <c r="K10" s="77"/>
      <c r="L10" s="77"/>
      <c r="M10" s="77"/>
      <c r="N10" s="77"/>
      <c r="O10" s="280" t="s">
        <v>236</v>
      </c>
      <c r="P10" s="119">
        <v>0</v>
      </c>
    </row>
    <row r="11" spans="1:16" ht="15" thickBot="1" x14ac:dyDescent="0.35">
      <c r="A11" s="120" t="s">
        <v>8</v>
      </c>
      <c r="B11" s="121" t="s">
        <v>60</v>
      </c>
      <c r="C11" s="122">
        <v>0.47</v>
      </c>
      <c r="D11" s="122" t="s">
        <v>161</v>
      </c>
      <c r="E11" s="122">
        <v>1.56</v>
      </c>
      <c r="F11" s="123" t="s">
        <v>274</v>
      </c>
      <c r="G11" s="124">
        <v>0.43</v>
      </c>
      <c r="H11" s="122" t="s">
        <v>278</v>
      </c>
      <c r="I11" s="125">
        <v>0.25</v>
      </c>
      <c r="J11" s="77"/>
      <c r="K11" s="77"/>
      <c r="L11" s="77"/>
      <c r="M11" s="77"/>
      <c r="N11" s="77"/>
      <c r="O11" s="281"/>
      <c r="P11" s="126">
        <v>0.1</v>
      </c>
    </row>
    <row r="12" spans="1:16" x14ac:dyDescent="0.3">
      <c r="A12" s="120" t="s">
        <v>9</v>
      </c>
      <c r="B12" s="121" t="s">
        <v>61</v>
      </c>
      <c r="C12" s="122">
        <v>0.67</v>
      </c>
      <c r="D12" s="122" t="s">
        <v>161</v>
      </c>
      <c r="E12" s="122">
        <v>1.56</v>
      </c>
      <c r="F12" s="123" t="s">
        <v>274</v>
      </c>
      <c r="G12" s="124">
        <v>0.43</v>
      </c>
      <c r="H12" s="122" t="s">
        <v>152</v>
      </c>
      <c r="I12" s="125">
        <v>0.25</v>
      </c>
      <c r="J12" s="77"/>
      <c r="K12" s="77"/>
      <c r="L12" s="77"/>
      <c r="M12" s="77"/>
      <c r="N12" s="77"/>
    </row>
    <row r="13" spans="1:16" x14ac:dyDescent="0.3">
      <c r="A13" s="120" t="s">
        <v>10</v>
      </c>
      <c r="B13" s="121" t="s">
        <v>62</v>
      </c>
      <c r="C13" s="122">
        <v>0.7</v>
      </c>
      <c r="D13" s="122" t="s">
        <v>161</v>
      </c>
      <c r="E13" s="122">
        <v>1.56</v>
      </c>
      <c r="F13" s="123" t="s">
        <v>274</v>
      </c>
      <c r="G13" s="124">
        <v>0.43</v>
      </c>
      <c r="H13" s="122" t="s">
        <v>152</v>
      </c>
      <c r="I13" s="125">
        <v>0.25</v>
      </c>
      <c r="J13" s="77"/>
      <c r="K13" s="77"/>
      <c r="L13" s="77"/>
      <c r="M13" s="77"/>
      <c r="N13" s="77"/>
    </row>
    <row r="14" spans="1:16" x14ac:dyDescent="0.3">
      <c r="A14" s="120" t="s">
        <v>11</v>
      </c>
      <c r="B14" s="121" t="s">
        <v>63</v>
      </c>
      <c r="C14" s="122">
        <v>0.54</v>
      </c>
      <c r="D14" s="122" t="s">
        <v>161</v>
      </c>
      <c r="E14" s="122">
        <v>1.56</v>
      </c>
      <c r="F14" s="123" t="s">
        <v>274</v>
      </c>
      <c r="G14" s="124">
        <v>0.43</v>
      </c>
      <c r="H14" s="122" t="s">
        <v>152</v>
      </c>
      <c r="I14" s="125">
        <v>0.25</v>
      </c>
      <c r="J14" s="77"/>
      <c r="K14" s="77"/>
      <c r="L14" s="77"/>
      <c r="M14" s="77"/>
      <c r="N14" s="77"/>
    </row>
    <row r="15" spans="1:16" x14ac:dyDescent="0.3">
      <c r="A15" s="120" t="s">
        <v>12</v>
      </c>
      <c r="B15" s="121" t="s">
        <v>64</v>
      </c>
      <c r="C15" s="122">
        <v>0.65</v>
      </c>
      <c r="D15" s="122" t="s">
        <v>161</v>
      </c>
      <c r="E15" s="122">
        <v>1.56</v>
      </c>
      <c r="F15" s="123" t="s">
        <v>274</v>
      </c>
      <c r="G15" s="124">
        <v>0.43</v>
      </c>
      <c r="H15" s="122" t="s">
        <v>152</v>
      </c>
      <c r="I15" s="125">
        <v>0.25</v>
      </c>
      <c r="J15" s="77"/>
      <c r="K15" s="77"/>
      <c r="L15" s="77"/>
      <c r="M15" s="77"/>
      <c r="N15" s="77"/>
    </row>
    <row r="16" spans="1:16" x14ac:dyDescent="0.3">
      <c r="A16" s="120" t="s">
        <v>13</v>
      </c>
      <c r="B16" s="121" t="s">
        <v>65</v>
      </c>
      <c r="C16" s="122">
        <v>0.56000000000000005</v>
      </c>
      <c r="D16" s="122" t="s">
        <v>161</v>
      </c>
      <c r="E16" s="122">
        <v>1.56</v>
      </c>
      <c r="F16" s="123" t="s">
        <v>274</v>
      </c>
      <c r="G16" s="124">
        <v>0.43</v>
      </c>
      <c r="H16" s="122" t="s">
        <v>152</v>
      </c>
      <c r="I16" s="125">
        <v>0.25</v>
      </c>
      <c r="J16" s="77"/>
      <c r="K16" s="77"/>
      <c r="L16" s="77"/>
      <c r="M16" s="77"/>
      <c r="N16" s="77"/>
    </row>
    <row r="17" spans="1:14" x14ac:dyDescent="0.3">
      <c r="A17" s="120" t="s">
        <v>14</v>
      </c>
      <c r="B17" s="121" t="s">
        <v>66</v>
      </c>
      <c r="C17" s="122">
        <v>0.57999999999999996</v>
      </c>
      <c r="D17" s="122" t="s">
        <v>161</v>
      </c>
      <c r="E17" s="122">
        <v>1.56</v>
      </c>
      <c r="F17" s="123" t="s">
        <v>274</v>
      </c>
      <c r="G17" s="124">
        <v>0.43</v>
      </c>
      <c r="H17" s="122" t="s">
        <v>152</v>
      </c>
      <c r="I17" s="125">
        <v>0.25</v>
      </c>
      <c r="J17" s="77"/>
      <c r="K17" s="77"/>
      <c r="L17" s="77"/>
      <c r="M17" s="77"/>
      <c r="N17" s="77"/>
    </row>
    <row r="18" spans="1:14" x14ac:dyDescent="0.3">
      <c r="A18" s="120" t="s">
        <v>15</v>
      </c>
      <c r="B18" s="121" t="s">
        <v>67</v>
      </c>
      <c r="C18" s="122">
        <v>0.64</v>
      </c>
      <c r="D18" s="122" t="s">
        <v>161</v>
      </c>
      <c r="E18" s="122">
        <v>1.56</v>
      </c>
      <c r="F18" s="123" t="s">
        <v>274</v>
      </c>
      <c r="G18" s="124">
        <v>0.43</v>
      </c>
      <c r="H18" s="122" t="s">
        <v>152</v>
      </c>
      <c r="I18" s="125">
        <v>0.25</v>
      </c>
      <c r="J18" s="77"/>
      <c r="K18" s="77"/>
      <c r="L18" s="77"/>
      <c r="M18" s="77"/>
      <c r="N18" s="77"/>
    </row>
    <row r="19" spans="1:14" x14ac:dyDescent="0.3">
      <c r="A19" s="120" t="s">
        <v>16</v>
      </c>
      <c r="B19" s="121" t="s">
        <v>68</v>
      </c>
      <c r="C19" s="122">
        <v>0.73</v>
      </c>
      <c r="D19" s="122" t="s">
        <v>161</v>
      </c>
      <c r="E19" s="122">
        <v>1.56</v>
      </c>
      <c r="F19" s="123" t="s">
        <v>274</v>
      </c>
      <c r="G19" s="124">
        <v>0.43</v>
      </c>
      <c r="H19" s="122" t="s">
        <v>152</v>
      </c>
      <c r="I19" s="125">
        <v>0.25</v>
      </c>
      <c r="J19" s="77"/>
      <c r="K19" s="77"/>
      <c r="L19" s="77"/>
      <c r="M19" s="77"/>
      <c r="N19" s="77"/>
    </row>
    <row r="20" spans="1:14" x14ac:dyDescent="0.3">
      <c r="A20" s="120" t="s">
        <v>52</v>
      </c>
      <c r="B20" s="121" t="s">
        <v>69</v>
      </c>
      <c r="C20" s="122">
        <v>0.69</v>
      </c>
      <c r="D20" s="122" t="s">
        <v>131</v>
      </c>
      <c r="E20" s="122">
        <v>1.56</v>
      </c>
      <c r="F20" s="123" t="s">
        <v>274</v>
      </c>
      <c r="G20" s="124">
        <v>0.43</v>
      </c>
      <c r="H20" s="122" t="s">
        <v>282</v>
      </c>
      <c r="I20" s="125">
        <v>0.25</v>
      </c>
      <c r="J20" s="77"/>
      <c r="K20" s="77"/>
      <c r="L20" s="77"/>
      <c r="M20" s="77"/>
      <c r="N20" s="77"/>
    </row>
    <row r="21" spans="1:14" x14ac:dyDescent="0.3">
      <c r="A21" s="120" t="s">
        <v>154</v>
      </c>
      <c r="B21" s="121" t="s">
        <v>155</v>
      </c>
      <c r="C21" s="122">
        <v>0.36</v>
      </c>
      <c r="D21" s="122" t="s">
        <v>161</v>
      </c>
      <c r="E21" s="122">
        <v>1.3</v>
      </c>
      <c r="F21" s="123" t="s">
        <v>274</v>
      </c>
      <c r="G21" s="124">
        <v>0.55000000000000004</v>
      </c>
      <c r="H21" s="122" t="s">
        <v>153</v>
      </c>
      <c r="I21" s="125">
        <v>0.43</v>
      </c>
      <c r="J21" s="77"/>
      <c r="K21" s="77"/>
      <c r="L21" s="77"/>
      <c r="M21" s="77"/>
      <c r="N21" s="77"/>
    </row>
    <row r="22" spans="1:14" x14ac:dyDescent="0.3">
      <c r="A22" s="120" t="s">
        <v>17</v>
      </c>
      <c r="B22" s="121" t="s">
        <v>70</v>
      </c>
      <c r="C22" s="122">
        <v>0.4</v>
      </c>
      <c r="D22" s="122" t="s">
        <v>161</v>
      </c>
      <c r="E22" s="122">
        <v>1.3</v>
      </c>
      <c r="F22" s="123" t="s">
        <v>274</v>
      </c>
      <c r="G22" s="124">
        <v>0.55000000000000004</v>
      </c>
      <c r="H22" s="122" t="s">
        <v>153</v>
      </c>
      <c r="I22" s="125">
        <v>0.43</v>
      </c>
      <c r="J22" s="77"/>
      <c r="K22" s="77"/>
      <c r="L22" s="77"/>
      <c r="M22" s="77"/>
      <c r="N22" s="77"/>
    </row>
    <row r="23" spans="1:14" x14ac:dyDescent="0.3">
      <c r="A23" s="120" t="s">
        <v>18</v>
      </c>
      <c r="B23" s="121" t="s">
        <v>71</v>
      </c>
      <c r="C23" s="122">
        <v>0.43</v>
      </c>
      <c r="D23" s="122" t="s">
        <v>161</v>
      </c>
      <c r="E23" s="122">
        <v>1.3</v>
      </c>
      <c r="F23" s="123" t="s">
        <v>274</v>
      </c>
      <c r="G23" s="124">
        <v>0.55000000000000004</v>
      </c>
      <c r="H23" s="122" t="s">
        <v>153</v>
      </c>
      <c r="I23" s="125">
        <v>0.43</v>
      </c>
      <c r="J23" s="77"/>
      <c r="K23" s="77"/>
      <c r="L23" s="77"/>
      <c r="M23" s="77"/>
      <c r="N23" s="77"/>
    </row>
    <row r="24" spans="1:14" x14ac:dyDescent="0.3">
      <c r="A24" s="120" t="s">
        <v>19</v>
      </c>
      <c r="B24" s="121" t="s">
        <v>72</v>
      </c>
      <c r="C24" s="122">
        <v>0.37</v>
      </c>
      <c r="D24" s="122" t="s">
        <v>161</v>
      </c>
      <c r="E24" s="122">
        <v>1.3</v>
      </c>
      <c r="F24" s="123" t="s">
        <v>274</v>
      </c>
      <c r="G24" s="124">
        <v>0.55000000000000004</v>
      </c>
      <c r="H24" s="122" t="s">
        <v>152</v>
      </c>
      <c r="I24" s="125">
        <v>0.43</v>
      </c>
      <c r="J24" s="77"/>
      <c r="K24" s="77"/>
      <c r="L24" s="77"/>
      <c r="M24" s="77"/>
      <c r="N24" s="77"/>
    </row>
    <row r="25" spans="1:14" x14ac:dyDescent="0.3">
      <c r="A25" s="120" t="s">
        <v>20</v>
      </c>
      <c r="B25" s="121" t="s">
        <v>73</v>
      </c>
      <c r="C25" s="122">
        <v>0.36</v>
      </c>
      <c r="D25" s="122" t="s">
        <v>161</v>
      </c>
      <c r="E25" s="122">
        <v>1.3</v>
      </c>
      <c r="F25" s="123" t="s">
        <v>274</v>
      </c>
      <c r="G25" s="124">
        <v>0.55000000000000004</v>
      </c>
      <c r="H25" s="122" t="s">
        <v>152</v>
      </c>
      <c r="I25" s="125">
        <v>0.43</v>
      </c>
      <c r="J25" s="77"/>
      <c r="K25" s="77"/>
      <c r="L25" s="77"/>
      <c r="M25" s="77"/>
      <c r="N25" s="77"/>
    </row>
    <row r="26" spans="1:14" x14ac:dyDescent="0.3">
      <c r="A26" s="120" t="s">
        <v>21</v>
      </c>
      <c r="B26" s="121" t="s">
        <v>74</v>
      </c>
      <c r="C26" s="122">
        <v>0.56000000000000005</v>
      </c>
      <c r="D26" s="122" t="s">
        <v>161</v>
      </c>
      <c r="E26" s="122">
        <v>1.56</v>
      </c>
      <c r="F26" s="123" t="s">
        <v>274</v>
      </c>
      <c r="G26" s="124">
        <v>0.53</v>
      </c>
      <c r="H26" s="122" t="s">
        <v>275</v>
      </c>
      <c r="I26" s="125">
        <v>0.25</v>
      </c>
      <c r="J26" s="77"/>
      <c r="K26" s="77"/>
      <c r="L26" s="77"/>
      <c r="M26" s="77"/>
      <c r="N26" s="77"/>
    </row>
    <row r="27" spans="1:14" x14ac:dyDescent="0.3">
      <c r="A27" s="120" t="s">
        <v>22</v>
      </c>
      <c r="B27" s="121" t="s">
        <v>75</v>
      </c>
      <c r="C27" s="122">
        <v>0.51</v>
      </c>
      <c r="D27" s="122" t="s">
        <v>161</v>
      </c>
      <c r="E27" s="122">
        <v>1.56</v>
      </c>
      <c r="F27" s="123" t="s">
        <v>274</v>
      </c>
      <c r="G27" s="124">
        <v>0.53</v>
      </c>
      <c r="H27" s="122" t="s">
        <v>275</v>
      </c>
      <c r="I27" s="125">
        <v>0.25</v>
      </c>
      <c r="J27" s="77"/>
      <c r="K27" s="77"/>
      <c r="L27" s="77"/>
      <c r="M27" s="77"/>
      <c r="N27" s="77"/>
    </row>
    <row r="28" spans="1:14" x14ac:dyDescent="0.3">
      <c r="A28" s="120" t="s">
        <v>23</v>
      </c>
      <c r="B28" s="121" t="s">
        <v>76</v>
      </c>
      <c r="C28" s="122">
        <v>0.51</v>
      </c>
      <c r="D28" s="122" t="s">
        <v>161</v>
      </c>
      <c r="E28" s="122">
        <v>1.56</v>
      </c>
      <c r="F28" s="123" t="s">
        <v>274</v>
      </c>
      <c r="G28" s="124">
        <v>0.53</v>
      </c>
      <c r="H28" s="122" t="s">
        <v>275</v>
      </c>
      <c r="I28" s="125">
        <v>0.25</v>
      </c>
      <c r="J28" s="77"/>
      <c r="K28" s="77"/>
      <c r="L28" s="77"/>
      <c r="M28" s="77"/>
      <c r="N28" s="77"/>
    </row>
    <row r="29" spans="1:14" x14ac:dyDescent="0.3">
      <c r="A29" s="120" t="s">
        <v>24</v>
      </c>
      <c r="B29" s="121" t="s">
        <v>24</v>
      </c>
      <c r="C29" s="122">
        <v>0.56000000000000005</v>
      </c>
      <c r="D29" s="122" t="s">
        <v>161</v>
      </c>
      <c r="E29" s="122">
        <v>1.56</v>
      </c>
      <c r="F29" s="123" t="s">
        <v>274</v>
      </c>
      <c r="G29" s="124">
        <v>0.53</v>
      </c>
      <c r="H29" s="122" t="s">
        <v>275</v>
      </c>
      <c r="I29" s="125">
        <v>0.25</v>
      </c>
      <c r="J29" s="77"/>
      <c r="K29" s="77"/>
      <c r="L29" s="77"/>
      <c r="M29" s="77"/>
      <c r="N29" s="77"/>
    </row>
    <row r="30" spans="1:14" x14ac:dyDescent="0.3">
      <c r="A30" s="120" t="s">
        <v>25</v>
      </c>
      <c r="B30" s="121" t="s">
        <v>77</v>
      </c>
      <c r="C30" s="122">
        <v>0.55000000000000004</v>
      </c>
      <c r="D30" s="122" t="s">
        <v>161</v>
      </c>
      <c r="E30" s="122">
        <v>1.56</v>
      </c>
      <c r="F30" s="123" t="s">
        <v>274</v>
      </c>
      <c r="G30" s="124">
        <v>0.53</v>
      </c>
      <c r="H30" s="122" t="s">
        <v>152</v>
      </c>
      <c r="I30" s="125">
        <v>0.25</v>
      </c>
      <c r="J30" s="77"/>
      <c r="K30" s="77"/>
      <c r="L30" s="77"/>
      <c r="M30" s="77"/>
      <c r="N30" s="77"/>
    </row>
    <row r="31" spans="1:14" x14ac:dyDescent="0.3">
      <c r="A31" s="120" t="s">
        <v>26</v>
      </c>
      <c r="B31" s="121" t="s">
        <v>78</v>
      </c>
      <c r="C31" s="122">
        <v>0.56000000000000005</v>
      </c>
      <c r="D31" s="122" t="s">
        <v>161</v>
      </c>
      <c r="E31" s="122">
        <v>1.56</v>
      </c>
      <c r="F31" s="123" t="s">
        <v>274</v>
      </c>
      <c r="G31" s="124">
        <v>0.43</v>
      </c>
      <c r="H31" s="122" t="s">
        <v>278</v>
      </c>
      <c r="I31" s="125">
        <v>0.25</v>
      </c>
      <c r="J31" s="77"/>
      <c r="K31" s="77"/>
      <c r="L31" s="77"/>
      <c r="M31" s="77"/>
      <c r="N31" s="77"/>
    </row>
    <row r="32" spans="1:14" x14ac:dyDescent="0.3">
      <c r="A32" s="120" t="s">
        <v>27</v>
      </c>
      <c r="B32" s="121" t="s">
        <v>79</v>
      </c>
      <c r="C32" s="122">
        <v>0.48</v>
      </c>
      <c r="D32" s="122" t="s">
        <v>161</v>
      </c>
      <c r="E32" s="122">
        <v>1.3</v>
      </c>
      <c r="F32" s="123" t="s">
        <v>274</v>
      </c>
      <c r="G32" s="124">
        <v>0.6</v>
      </c>
      <c r="H32" s="122" t="s">
        <v>281</v>
      </c>
      <c r="I32" s="125">
        <v>0.43</v>
      </c>
      <c r="J32" s="77"/>
      <c r="K32" s="77"/>
      <c r="L32" s="77"/>
      <c r="M32" s="77"/>
      <c r="N32" s="77"/>
    </row>
    <row r="33" spans="1:14" x14ac:dyDescent="0.3">
      <c r="A33" s="120" t="s">
        <v>28</v>
      </c>
      <c r="B33" s="121" t="s">
        <v>80</v>
      </c>
      <c r="C33" s="122">
        <v>0.42</v>
      </c>
      <c r="D33" s="122" t="s">
        <v>161</v>
      </c>
      <c r="E33" s="122">
        <v>1.3</v>
      </c>
      <c r="F33" s="123" t="s">
        <v>274</v>
      </c>
      <c r="G33" s="124">
        <v>0.6</v>
      </c>
      <c r="H33" s="122" t="s">
        <v>281</v>
      </c>
      <c r="I33" s="125">
        <v>0.43</v>
      </c>
      <c r="J33" s="77"/>
      <c r="K33" s="77"/>
      <c r="L33" s="77"/>
      <c r="M33" s="77"/>
      <c r="N33" s="77"/>
    </row>
    <row r="34" spans="1:14" x14ac:dyDescent="0.3">
      <c r="A34" s="120" t="s">
        <v>81</v>
      </c>
      <c r="B34" s="121" t="s">
        <v>163</v>
      </c>
      <c r="C34" s="122">
        <v>0.42</v>
      </c>
      <c r="D34" s="122" t="s">
        <v>103</v>
      </c>
      <c r="E34" s="122">
        <v>1.3</v>
      </c>
      <c r="F34" s="123" t="s">
        <v>274</v>
      </c>
      <c r="G34" s="124">
        <v>0.6</v>
      </c>
      <c r="H34" s="121" t="s">
        <v>280</v>
      </c>
      <c r="I34" s="125">
        <v>0.43</v>
      </c>
      <c r="J34" s="77"/>
      <c r="K34" s="77"/>
      <c r="L34" s="77"/>
      <c r="M34" s="77"/>
      <c r="N34" s="77"/>
    </row>
    <row r="35" spans="1:14" x14ac:dyDescent="0.3">
      <c r="A35" s="120" t="s">
        <v>29</v>
      </c>
      <c r="B35" s="121" t="s">
        <v>82</v>
      </c>
      <c r="C35" s="122">
        <v>0.5</v>
      </c>
      <c r="D35" s="122" t="s">
        <v>161</v>
      </c>
      <c r="E35" s="122">
        <v>1.56</v>
      </c>
      <c r="F35" s="123" t="s">
        <v>274</v>
      </c>
      <c r="G35" s="124">
        <v>0.43</v>
      </c>
      <c r="H35" s="122" t="s">
        <v>278</v>
      </c>
      <c r="I35" s="125">
        <v>0.25</v>
      </c>
      <c r="J35" s="77"/>
      <c r="K35" s="77"/>
      <c r="L35" s="77"/>
      <c r="M35" s="77"/>
      <c r="N35" s="77"/>
    </row>
    <row r="36" spans="1:14" x14ac:dyDescent="0.3">
      <c r="A36" s="120" t="s">
        <v>102</v>
      </c>
      <c r="B36" s="121" t="s">
        <v>101</v>
      </c>
      <c r="C36" s="122">
        <v>0.55000000000000004</v>
      </c>
      <c r="D36" s="122" t="s">
        <v>161</v>
      </c>
      <c r="E36" s="122">
        <v>1.56</v>
      </c>
      <c r="F36" s="123" t="s">
        <v>274</v>
      </c>
      <c r="G36" s="124">
        <v>0.53</v>
      </c>
      <c r="H36" s="122" t="s">
        <v>275</v>
      </c>
      <c r="I36" s="125">
        <v>0.25</v>
      </c>
      <c r="J36" s="77"/>
      <c r="K36" s="77"/>
      <c r="L36" s="77"/>
      <c r="M36" s="77"/>
      <c r="N36" s="77"/>
    </row>
    <row r="37" spans="1:14" x14ac:dyDescent="0.3">
      <c r="A37" s="120" t="s">
        <v>30</v>
      </c>
      <c r="B37" s="121" t="s">
        <v>104</v>
      </c>
      <c r="C37" s="122">
        <v>0.52</v>
      </c>
      <c r="D37" s="122" t="s">
        <v>161</v>
      </c>
      <c r="E37" s="122">
        <v>1.56</v>
      </c>
      <c r="F37" s="123" t="s">
        <v>274</v>
      </c>
      <c r="G37" s="124">
        <v>0.53</v>
      </c>
      <c r="H37" s="122" t="s">
        <v>275</v>
      </c>
      <c r="I37" s="125">
        <v>0.25</v>
      </c>
      <c r="J37" s="77"/>
      <c r="K37" s="77"/>
      <c r="L37" s="77"/>
      <c r="M37" s="77"/>
      <c r="N37" s="77"/>
    </row>
    <row r="38" spans="1:14" x14ac:dyDescent="0.3">
      <c r="A38" s="120" t="s">
        <v>31</v>
      </c>
      <c r="B38" s="121" t="s">
        <v>105</v>
      </c>
      <c r="C38" s="122">
        <v>0.52</v>
      </c>
      <c r="D38" s="122" t="s">
        <v>161</v>
      </c>
      <c r="E38" s="122">
        <v>1.56</v>
      </c>
      <c r="F38" s="123" t="s">
        <v>274</v>
      </c>
      <c r="G38" s="124">
        <v>0.43</v>
      </c>
      <c r="H38" s="122" t="s">
        <v>278</v>
      </c>
      <c r="I38" s="125">
        <v>0.25</v>
      </c>
      <c r="J38" s="77"/>
      <c r="K38" s="77"/>
      <c r="L38" s="77"/>
      <c r="M38" s="77"/>
      <c r="N38" s="77"/>
    </row>
    <row r="39" spans="1:14" x14ac:dyDescent="0.3">
      <c r="A39" s="120" t="s">
        <v>107</v>
      </c>
      <c r="B39" s="121" t="s">
        <v>132</v>
      </c>
      <c r="C39" s="122">
        <v>0.313</v>
      </c>
      <c r="D39" s="122" t="s">
        <v>130</v>
      </c>
      <c r="E39" s="122">
        <v>1.56</v>
      </c>
      <c r="F39" s="123" t="s">
        <v>274</v>
      </c>
      <c r="G39" s="124">
        <v>0.6</v>
      </c>
      <c r="H39" s="122" t="s">
        <v>283</v>
      </c>
      <c r="I39" s="125">
        <v>1.03</v>
      </c>
      <c r="J39" s="77"/>
      <c r="K39" s="77"/>
      <c r="L39" s="77"/>
      <c r="M39" s="77"/>
      <c r="N39" s="77"/>
    </row>
    <row r="40" spans="1:14" x14ac:dyDescent="0.3">
      <c r="A40" s="120" t="s">
        <v>108</v>
      </c>
      <c r="B40" s="121" t="s">
        <v>132</v>
      </c>
      <c r="C40" s="122">
        <v>0.35199999999999998</v>
      </c>
      <c r="D40" s="122" t="s">
        <v>130</v>
      </c>
      <c r="E40" s="122">
        <v>1.56</v>
      </c>
      <c r="F40" s="123" t="s">
        <v>274</v>
      </c>
      <c r="G40" s="124">
        <v>0.6</v>
      </c>
      <c r="H40" s="122" t="s">
        <v>283</v>
      </c>
      <c r="I40" s="125">
        <v>1.03</v>
      </c>
      <c r="J40" s="77"/>
      <c r="K40" s="77"/>
      <c r="L40" s="77"/>
      <c r="M40" s="77"/>
      <c r="N40" s="77"/>
    </row>
    <row r="41" spans="1:14" x14ac:dyDescent="0.3">
      <c r="A41" s="120" t="s">
        <v>121</v>
      </c>
      <c r="B41" s="121" t="s">
        <v>132</v>
      </c>
      <c r="C41" s="122">
        <v>0.32200000000000001</v>
      </c>
      <c r="D41" s="122" t="s">
        <v>130</v>
      </c>
      <c r="E41" s="122">
        <v>1.56</v>
      </c>
      <c r="F41" s="123" t="s">
        <v>274</v>
      </c>
      <c r="G41" s="124">
        <v>0.6</v>
      </c>
      <c r="H41" s="122" t="s">
        <v>283</v>
      </c>
      <c r="I41" s="125">
        <v>1.03</v>
      </c>
      <c r="J41" s="77"/>
      <c r="K41" s="77"/>
      <c r="L41" s="77"/>
      <c r="M41" s="77"/>
      <c r="N41" s="77"/>
    </row>
    <row r="42" spans="1:14" x14ac:dyDescent="0.3">
      <c r="A42" s="120" t="s">
        <v>122</v>
      </c>
      <c r="B42" s="121" t="s">
        <v>132</v>
      </c>
      <c r="C42" s="122">
        <v>0.311</v>
      </c>
      <c r="D42" s="122" t="s">
        <v>130</v>
      </c>
      <c r="E42" s="122">
        <v>1.56</v>
      </c>
      <c r="F42" s="123" t="s">
        <v>274</v>
      </c>
      <c r="G42" s="124">
        <v>0.6</v>
      </c>
      <c r="H42" s="122" t="s">
        <v>283</v>
      </c>
      <c r="I42" s="125">
        <v>1.03</v>
      </c>
      <c r="J42" s="77"/>
      <c r="K42" s="77"/>
      <c r="L42" s="77"/>
      <c r="M42" s="77"/>
      <c r="N42" s="77"/>
    </row>
    <row r="43" spans="1:14" x14ac:dyDescent="0.3">
      <c r="A43" s="120" t="s">
        <v>109</v>
      </c>
      <c r="B43" s="121" t="s">
        <v>132</v>
      </c>
      <c r="C43" s="122">
        <v>0.33900000000000002</v>
      </c>
      <c r="D43" s="122" t="s">
        <v>130</v>
      </c>
      <c r="E43" s="122">
        <v>1.56</v>
      </c>
      <c r="F43" s="123" t="s">
        <v>274</v>
      </c>
      <c r="G43" s="124">
        <v>0.6</v>
      </c>
      <c r="H43" s="122" t="s">
        <v>283</v>
      </c>
      <c r="I43" s="125">
        <v>1.03</v>
      </c>
      <c r="J43" s="77"/>
      <c r="K43" s="77"/>
      <c r="L43" s="77"/>
      <c r="M43" s="77"/>
      <c r="N43" s="77"/>
    </row>
    <row r="44" spans="1:14" x14ac:dyDescent="0.3">
      <c r="A44" s="120" t="s">
        <v>123</v>
      </c>
      <c r="B44" s="121" t="s">
        <v>132</v>
      </c>
      <c r="C44" s="122">
        <v>0.33600000000000002</v>
      </c>
      <c r="D44" s="122" t="s">
        <v>130</v>
      </c>
      <c r="E44" s="122">
        <v>1.56</v>
      </c>
      <c r="F44" s="123" t="s">
        <v>274</v>
      </c>
      <c r="G44" s="124">
        <v>0.6</v>
      </c>
      <c r="H44" s="122" t="s">
        <v>283</v>
      </c>
      <c r="I44" s="125">
        <v>1.03</v>
      </c>
      <c r="J44" s="77"/>
      <c r="K44" s="77"/>
      <c r="L44" s="77"/>
      <c r="M44" s="77"/>
      <c r="N44" s="77"/>
    </row>
    <row r="45" spans="1:14" x14ac:dyDescent="0.3">
      <c r="A45" s="120" t="s">
        <v>110</v>
      </c>
      <c r="B45" s="121" t="s">
        <v>132</v>
      </c>
      <c r="C45" s="122">
        <v>0.32900000000000001</v>
      </c>
      <c r="D45" s="122" t="s">
        <v>130</v>
      </c>
      <c r="E45" s="122">
        <v>1.56</v>
      </c>
      <c r="F45" s="123" t="s">
        <v>274</v>
      </c>
      <c r="G45" s="124">
        <v>0.6</v>
      </c>
      <c r="H45" s="122" t="s">
        <v>283</v>
      </c>
      <c r="I45" s="125">
        <v>1.03</v>
      </c>
      <c r="J45" s="77"/>
      <c r="K45" s="77"/>
      <c r="L45" s="77"/>
      <c r="M45" s="77"/>
      <c r="N45" s="77"/>
    </row>
    <row r="46" spans="1:14" x14ac:dyDescent="0.3">
      <c r="A46" s="120" t="s">
        <v>124</v>
      </c>
      <c r="B46" s="121" t="s">
        <v>132</v>
      </c>
      <c r="C46" s="122">
        <v>0.34300000000000003</v>
      </c>
      <c r="D46" s="122" t="s">
        <v>130</v>
      </c>
      <c r="E46" s="122">
        <v>1.56</v>
      </c>
      <c r="F46" s="123" t="s">
        <v>274</v>
      </c>
      <c r="G46" s="124">
        <v>0.6</v>
      </c>
      <c r="H46" s="122" t="s">
        <v>283</v>
      </c>
      <c r="I46" s="125">
        <v>1.03</v>
      </c>
      <c r="J46" s="77"/>
      <c r="K46" s="77"/>
      <c r="L46" s="77"/>
      <c r="M46" s="77"/>
      <c r="N46" s="77"/>
    </row>
    <row r="47" spans="1:14" x14ac:dyDescent="0.3">
      <c r="A47" s="120" t="s">
        <v>125</v>
      </c>
      <c r="B47" s="121" t="s">
        <v>132</v>
      </c>
      <c r="C47" s="122">
        <v>0.32500000000000001</v>
      </c>
      <c r="D47" s="122" t="s">
        <v>130</v>
      </c>
      <c r="E47" s="122">
        <v>1.56</v>
      </c>
      <c r="F47" s="123" t="s">
        <v>274</v>
      </c>
      <c r="G47" s="124">
        <v>0.6</v>
      </c>
      <c r="H47" s="122" t="s">
        <v>283</v>
      </c>
      <c r="I47" s="125">
        <v>1.03</v>
      </c>
      <c r="J47" s="77"/>
      <c r="K47" s="77"/>
      <c r="L47" s="77"/>
      <c r="M47" s="77"/>
      <c r="N47" s="77"/>
    </row>
    <row r="48" spans="1:14" x14ac:dyDescent="0.3">
      <c r="A48" s="120" t="s">
        <v>126</v>
      </c>
      <c r="B48" s="121" t="s">
        <v>132</v>
      </c>
      <c r="C48" s="122">
        <v>0.32</v>
      </c>
      <c r="D48" s="122" t="s">
        <v>130</v>
      </c>
      <c r="E48" s="122">
        <v>1.56</v>
      </c>
      <c r="F48" s="123" t="s">
        <v>274</v>
      </c>
      <c r="G48" s="124">
        <v>0.6</v>
      </c>
      <c r="H48" s="122" t="s">
        <v>283</v>
      </c>
      <c r="I48" s="125">
        <v>1.03</v>
      </c>
      <c r="J48" s="77"/>
      <c r="K48" s="77"/>
      <c r="L48" s="77"/>
      <c r="M48" s="77"/>
      <c r="N48" s="77"/>
    </row>
    <row r="49" spans="1:14" x14ac:dyDescent="0.3">
      <c r="A49" s="120" t="s">
        <v>111</v>
      </c>
      <c r="B49" s="121" t="s">
        <v>132</v>
      </c>
      <c r="C49" s="122">
        <v>0.28199999999999997</v>
      </c>
      <c r="D49" s="122" t="s">
        <v>130</v>
      </c>
      <c r="E49" s="122">
        <v>1.56</v>
      </c>
      <c r="F49" s="123" t="s">
        <v>274</v>
      </c>
      <c r="G49" s="124">
        <v>0.6</v>
      </c>
      <c r="H49" s="122" t="s">
        <v>283</v>
      </c>
      <c r="I49" s="125">
        <v>1.03</v>
      </c>
      <c r="J49" s="77"/>
      <c r="K49" s="77"/>
      <c r="L49" s="77"/>
      <c r="M49" s="77"/>
      <c r="N49" s="77"/>
    </row>
    <row r="50" spans="1:14" x14ac:dyDescent="0.3">
      <c r="A50" s="120" t="s">
        <v>127</v>
      </c>
      <c r="B50" s="121" t="s">
        <v>132</v>
      </c>
      <c r="C50" s="122">
        <v>0.32800000000000001</v>
      </c>
      <c r="D50" s="122" t="s">
        <v>130</v>
      </c>
      <c r="E50" s="122">
        <v>1.56</v>
      </c>
      <c r="F50" s="123" t="s">
        <v>274</v>
      </c>
      <c r="G50" s="124">
        <v>0.6</v>
      </c>
      <c r="H50" s="122" t="s">
        <v>283</v>
      </c>
      <c r="I50" s="125">
        <v>1.03</v>
      </c>
      <c r="J50" s="77"/>
      <c r="K50" s="77"/>
      <c r="L50" s="77"/>
      <c r="M50" s="77"/>
      <c r="N50" s="77"/>
    </row>
    <row r="51" spans="1:14" x14ac:dyDescent="0.3">
      <c r="A51" s="120" t="s">
        <v>112</v>
      </c>
      <c r="B51" s="121" t="s">
        <v>132</v>
      </c>
      <c r="C51" s="122">
        <v>0.32600000000000001</v>
      </c>
      <c r="D51" s="122" t="s">
        <v>130</v>
      </c>
      <c r="E51" s="122">
        <v>1.56</v>
      </c>
      <c r="F51" s="123" t="s">
        <v>274</v>
      </c>
      <c r="G51" s="124">
        <v>0.6</v>
      </c>
      <c r="H51" s="122" t="s">
        <v>283</v>
      </c>
      <c r="I51" s="125">
        <v>1.03</v>
      </c>
      <c r="J51" s="77"/>
      <c r="K51" s="77"/>
      <c r="L51" s="77"/>
      <c r="M51" s="77"/>
      <c r="N51" s="77"/>
    </row>
    <row r="52" spans="1:14" x14ac:dyDescent="0.3">
      <c r="A52" s="120" t="s">
        <v>113</v>
      </c>
      <c r="B52" s="121" t="s">
        <v>132</v>
      </c>
      <c r="C52" s="122">
        <v>0.35899999999999999</v>
      </c>
      <c r="D52" s="122" t="s">
        <v>130</v>
      </c>
      <c r="E52" s="122">
        <v>1.56</v>
      </c>
      <c r="F52" s="123" t="s">
        <v>274</v>
      </c>
      <c r="G52" s="124">
        <v>0.6</v>
      </c>
      <c r="H52" s="122" t="s">
        <v>283</v>
      </c>
      <c r="I52" s="125">
        <v>1.03</v>
      </c>
      <c r="J52" s="77"/>
      <c r="K52" s="77"/>
      <c r="L52" s="77"/>
      <c r="M52" s="77"/>
      <c r="N52" s="77"/>
    </row>
    <row r="53" spans="1:14" x14ac:dyDescent="0.3">
      <c r="A53" s="120" t="s">
        <v>114</v>
      </c>
      <c r="B53" s="121" t="s">
        <v>132</v>
      </c>
      <c r="C53" s="122">
        <v>0.34599999999999997</v>
      </c>
      <c r="D53" s="122" t="s">
        <v>130</v>
      </c>
      <c r="E53" s="122">
        <v>1.56</v>
      </c>
      <c r="F53" s="123" t="s">
        <v>274</v>
      </c>
      <c r="G53" s="124">
        <v>0.6</v>
      </c>
      <c r="H53" s="122" t="s">
        <v>283</v>
      </c>
      <c r="I53" s="125">
        <v>1.03</v>
      </c>
      <c r="J53" s="77"/>
      <c r="K53" s="77"/>
      <c r="L53" s="77"/>
      <c r="M53" s="77"/>
      <c r="N53" s="77"/>
    </row>
    <row r="54" spans="1:14" x14ac:dyDescent="0.3">
      <c r="A54" s="120" t="s">
        <v>115</v>
      </c>
      <c r="B54" s="121" t="s">
        <v>132</v>
      </c>
      <c r="C54" s="122">
        <v>0.32600000000000001</v>
      </c>
      <c r="D54" s="122" t="s">
        <v>130</v>
      </c>
      <c r="E54" s="122">
        <v>1.56</v>
      </c>
      <c r="F54" s="123" t="s">
        <v>274</v>
      </c>
      <c r="G54" s="124">
        <v>0.6</v>
      </c>
      <c r="H54" s="122" t="s">
        <v>283</v>
      </c>
      <c r="I54" s="125">
        <v>1.03</v>
      </c>
      <c r="J54" s="77"/>
      <c r="K54" s="77"/>
      <c r="L54" s="77"/>
      <c r="M54" s="77"/>
      <c r="N54" s="77"/>
    </row>
    <row r="55" spans="1:14" x14ac:dyDescent="0.3">
      <c r="A55" s="120" t="s">
        <v>116</v>
      </c>
      <c r="B55" s="121" t="s">
        <v>132</v>
      </c>
      <c r="C55" s="122">
        <v>0.30499999999999999</v>
      </c>
      <c r="D55" s="122" t="s">
        <v>130</v>
      </c>
      <c r="E55" s="122">
        <v>1.56</v>
      </c>
      <c r="F55" s="123" t="s">
        <v>274</v>
      </c>
      <c r="G55" s="124">
        <v>0.6</v>
      </c>
      <c r="H55" s="122" t="s">
        <v>283</v>
      </c>
      <c r="I55" s="125">
        <v>1.03</v>
      </c>
      <c r="J55" s="77"/>
      <c r="K55" s="77"/>
      <c r="L55" s="77"/>
      <c r="M55" s="77"/>
      <c r="N55" s="77"/>
    </row>
    <row r="56" spans="1:14" x14ac:dyDescent="0.3">
      <c r="A56" s="120" t="s">
        <v>128</v>
      </c>
      <c r="B56" s="121" t="s">
        <v>132</v>
      </c>
      <c r="C56" s="122">
        <v>0.32300000000000001</v>
      </c>
      <c r="D56" s="122" t="s">
        <v>130</v>
      </c>
      <c r="E56" s="122">
        <v>1.56</v>
      </c>
      <c r="F56" s="123" t="s">
        <v>274</v>
      </c>
      <c r="G56" s="124">
        <v>0.6</v>
      </c>
      <c r="H56" s="122" t="s">
        <v>283</v>
      </c>
      <c r="I56" s="125">
        <v>1.03</v>
      </c>
      <c r="J56" s="77"/>
      <c r="K56" s="77"/>
      <c r="L56" s="77"/>
      <c r="M56" s="77"/>
      <c r="N56" s="77"/>
    </row>
    <row r="57" spans="1:14" x14ac:dyDescent="0.3">
      <c r="A57" s="120" t="s">
        <v>129</v>
      </c>
      <c r="B57" s="121" t="s">
        <v>132</v>
      </c>
      <c r="C57" s="122">
        <v>0.36699999999999999</v>
      </c>
      <c r="D57" s="122" t="s">
        <v>130</v>
      </c>
      <c r="E57" s="122">
        <v>1.56</v>
      </c>
      <c r="F57" s="123" t="s">
        <v>274</v>
      </c>
      <c r="G57" s="124">
        <v>0.6</v>
      </c>
      <c r="H57" s="122" t="s">
        <v>283</v>
      </c>
      <c r="I57" s="125">
        <v>1.03</v>
      </c>
      <c r="J57" s="77"/>
      <c r="K57" s="77"/>
      <c r="L57" s="77"/>
      <c r="M57" s="77"/>
      <c r="N57" s="77"/>
    </row>
    <row r="58" spans="1:14" x14ac:dyDescent="0.3">
      <c r="A58" s="120" t="s">
        <v>117</v>
      </c>
      <c r="B58" s="121" t="s">
        <v>132</v>
      </c>
      <c r="C58" s="122">
        <v>0.36</v>
      </c>
      <c r="D58" s="122" t="s">
        <v>130</v>
      </c>
      <c r="E58" s="122">
        <v>1.56</v>
      </c>
      <c r="F58" s="123" t="s">
        <v>274</v>
      </c>
      <c r="G58" s="124">
        <v>0.6</v>
      </c>
      <c r="H58" s="122" t="s">
        <v>283</v>
      </c>
      <c r="I58" s="125">
        <v>1.03</v>
      </c>
      <c r="J58" s="77"/>
      <c r="K58" s="77"/>
      <c r="L58" s="77"/>
      <c r="M58" s="77"/>
      <c r="N58" s="77"/>
    </row>
    <row r="59" spans="1:14" x14ac:dyDescent="0.3">
      <c r="A59" s="120" t="s">
        <v>118</v>
      </c>
      <c r="B59" s="121" t="s">
        <v>132</v>
      </c>
      <c r="C59" s="122">
        <v>0.36799999999999999</v>
      </c>
      <c r="D59" s="122" t="s">
        <v>130</v>
      </c>
      <c r="E59" s="122">
        <v>1.56</v>
      </c>
      <c r="F59" s="123" t="s">
        <v>274</v>
      </c>
      <c r="G59" s="124">
        <v>0.6</v>
      </c>
      <c r="H59" s="122" t="s">
        <v>283</v>
      </c>
      <c r="I59" s="125">
        <v>1.03</v>
      </c>
      <c r="J59" s="77"/>
      <c r="K59" s="77"/>
      <c r="L59" s="77"/>
      <c r="M59" s="77"/>
      <c r="N59" s="77"/>
    </row>
    <row r="60" spans="1:14" x14ac:dyDescent="0.3">
      <c r="A60" s="120" t="s">
        <v>119</v>
      </c>
      <c r="B60" s="121" t="s">
        <v>132</v>
      </c>
      <c r="C60" s="122">
        <v>0.30599999999999999</v>
      </c>
      <c r="D60" s="122" t="s">
        <v>130</v>
      </c>
      <c r="E60" s="122">
        <v>1.56</v>
      </c>
      <c r="F60" s="123" t="s">
        <v>274</v>
      </c>
      <c r="G60" s="124">
        <v>0.6</v>
      </c>
      <c r="H60" s="122" t="s">
        <v>283</v>
      </c>
      <c r="I60" s="125">
        <v>1.03</v>
      </c>
      <c r="J60" s="77"/>
      <c r="K60" s="77"/>
      <c r="L60" s="77"/>
      <c r="M60" s="77"/>
      <c r="N60" s="77"/>
    </row>
    <row r="61" spans="1:14" x14ac:dyDescent="0.3">
      <c r="A61" s="120" t="s">
        <v>120</v>
      </c>
      <c r="B61" s="121" t="s">
        <v>132</v>
      </c>
      <c r="C61" s="122">
        <v>0.313</v>
      </c>
      <c r="D61" s="122" t="s">
        <v>130</v>
      </c>
      <c r="E61" s="122">
        <v>1.56</v>
      </c>
      <c r="F61" s="123" t="s">
        <v>274</v>
      </c>
      <c r="G61" s="124">
        <v>0.6</v>
      </c>
      <c r="H61" s="122" t="s">
        <v>283</v>
      </c>
      <c r="I61" s="125">
        <v>1.03</v>
      </c>
      <c r="J61" s="77"/>
      <c r="K61" s="77"/>
      <c r="L61" s="77"/>
      <c r="M61" s="77"/>
      <c r="N61" s="77"/>
    </row>
    <row r="62" spans="1:14" x14ac:dyDescent="0.3">
      <c r="A62" s="120" t="s">
        <v>32</v>
      </c>
      <c r="B62" s="121" t="s">
        <v>133</v>
      </c>
      <c r="C62" s="122">
        <v>0.37</v>
      </c>
      <c r="D62" s="122" t="s">
        <v>161</v>
      </c>
      <c r="E62" s="122">
        <v>1.56</v>
      </c>
      <c r="F62" s="123" t="s">
        <v>274</v>
      </c>
      <c r="G62" s="124">
        <v>0.6</v>
      </c>
      <c r="H62" s="122" t="s">
        <v>283</v>
      </c>
      <c r="I62" s="125">
        <v>1.03</v>
      </c>
      <c r="J62" s="77"/>
      <c r="K62" s="77"/>
      <c r="L62" s="77"/>
      <c r="M62" s="77"/>
      <c r="N62" s="77"/>
    </row>
    <row r="63" spans="1:14" x14ac:dyDescent="0.3">
      <c r="A63" s="120" t="s">
        <v>90</v>
      </c>
      <c r="B63" s="121" t="s">
        <v>83</v>
      </c>
      <c r="C63" s="122">
        <v>0.45</v>
      </c>
      <c r="D63" s="122" t="s">
        <v>161</v>
      </c>
      <c r="E63" s="122">
        <v>1.3</v>
      </c>
      <c r="F63" s="123" t="s">
        <v>274</v>
      </c>
      <c r="G63" s="124">
        <v>0.45</v>
      </c>
      <c r="H63" s="122" t="s">
        <v>276</v>
      </c>
      <c r="I63" s="125">
        <v>0.43</v>
      </c>
      <c r="J63" s="77"/>
      <c r="K63" s="77"/>
      <c r="L63" s="77"/>
      <c r="M63" s="77"/>
      <c r="N63" s="77"/>
    </row>
    <row r="64" spans="1:14" x14ac:dyDescent="0.3">
      <c r="A64" s="120" t="s">
        <v>33</v>
      </c>
      <c r="B64" s="121" t="s">
        <v>134</v>
      </c>
      <c r="C64" s="122">
        <v>0.39</v>
      </c>
      <c r="D64" s="122" t="s">
        <v>161</v>
      </c>
      <c r="E64" s="122">
        <v>1.3</v>
      </c>
      <c r="F64" s="123" t="s">
        <v>274</v>
      </c>
      <c r="G64" s="124">
        <v>0.45</v>
      </c>
      <c r="H64" s="122" t="s">
        <v>276</v>
      </c>
      <c r="I64" s="125">
        <v>0.43</v>
      </c>
      <c r="J64" s="77"/>
      <c r="K64" s="77"/>
      <c r="L64" s="77"/>
      <c r="M64" s="77"/>
      <c r="N64" s="77"/>
    </row>
    <row r="65" spans="1:14" x14ac:dyDescent="0.3">
      <c r="A65" s="120" t="s">
        <v>34</v>
      </c>
      <c r="B65" s="121" t="s">
        <v>135</v>
      </c>
      <c r="C65" s="122">
        <v>0.44</v>
      </c>
      <c r="D65" s="122" t="s">
        <v>161</v>
      </c>
      <c r="E65" s="122">
        <v>1.3</v>
      </c>
      <c r="F65" s="123" t="s">
        <v>274</v>
      </c>
      <c r="G65" s="124">
        <v>0.45</v>
      </c>
      <c r="H65" s="122" t="s">
        <v>276</v>
      </c>
      <c r="I65" s="125">
        <v>0.43</v>
      </c>
      <c r="J65" s="77"/>
      <c r="K65" s="77"/>
      <c r="L65" s="77"/>
      <c r="M65" s="77"/>
      <c r="N65" s="77"/>
    </row>
    <row r="66" spans="1:14" x14ac:dyDescent="0.3">
      <c r="A66" s="120" t="s">
        <v>35</v>
      </c>
      <c r="B66" s="121" t="s">
        <v>84</v>
      </c>
      <c r="C66" s="122">
        <v>0.46</v>
      </c>
      <c r="D66" s="122" t="s">
        <v>161</v>
      </c>
      <c r="E66" s="122">
        <v>1.3</v>
      </c>
      <c r="F66" s="123" t="s">
        <v>274</v>
      </c>
      <c r="G66" s="124">
        <v>0.45</v>
      </c>
      <c r="H66" s="122" t="s">
        <v>276</v>
      </c>
      <c r="I66" s="125">
        <v>0.43</v>
      </c>
      <c r="J66" s="77"/>
      <c r="K66" s="77"/>
      <c r="L66" s="77"/>
      <c r="M66" s="77"/>
      <c r="N66" s="77"/>
    </row>
    <row r="67" spans="1:14" x14ac:dyDescent="0.3">
      <c r="A67" s="120" t="s">
        <v>36</v>
      </c>
      <c r="B67" s="121" t="s">
        <v>85</v>
      </c>
      <c r="C67" s="122">
        <v>0.46</v>
      </c>
      <c r="D67" s="122" t="s">
        <v>161</v>
      </c>
      <c r="E67" s="122">
        <v>1.3</v>
      </c>
      <c r="F67" s="123" t="s">
        <v>274</v>
      </c>
      <c r="G67" s="124">
        <v>0.45</v>
      </c>
      <c r="H67" s="122" t="s">
        <v>152</v>
      </c>
      <c r="I67" s="125">
        <v>0.59</v>
      </c>
      <c r="J67" s="77"/>
      <c r="K67" s="77"/>
      <c r="L67" s="77"/>
      <c r="M67" s="77"/>
      <c r="N67" s="77"/>
    </row>
    <row r="68" spans="1:14" x14ac:dyDescent="0.3">
      <c r="A68" s="120" t="s">
        <v>37</v>
      </c>
      <c r="B68" s="121" t="s">
        <v>136</v>
      </c>
      <c r="C68" s="122">
        <v>0.44</v>
      </c>
      <c r="D68" s="122" t="s">
        <v>161</v>
      </c>
      <c r="E68" s="122">
        <v>1.3</v>
      </c>
      <c r="F68" s="123" t="s">
        <v>274</v>
      </c>
      <c r="G68" s="124">
        <v>0.45</v>
      </c>
      <c r="H68" s="122" t="s">
        <v>276</v>
      </c>
      <c r="I68" s="125">
        <v>0.43</v>
      </c>
      <c r="J68" s="77"/>
      <c r="K68" s="77"/>
      <c r="L68" s="77"/>
      <c r="M68" s="77"/>
      <c r="N68" s="77"/>
    </row>
    <row r="69" spans="1:14" x14ac:dyDescent="0.3">
      <c r="A69" s="120" t="s">
        <v>38</v>
      </c>
      <c r="B69" s="121" t="s">
        <v>86</v>
      </c>
      <c r="C69" s="122">
        <v>0.46</v>
      </c>
      <c r="D69" s="122" t="s">
        <v>161</v>
      </c>
      <c r="E69" s="122">
        <v>1.3</v>
      </c>
      <c r="F69" s="123" t="s">
        <v>274</v>
      </c>
      <c r="G69" s="124">
        <v>0.45</v>
      </c>
      <c r="H69" s="122" t="s">
        <v>276</v>
      </c>
      <c r="I69" s="125">
        <v>0.43</v>
      </c>
      <c r="J69" s="77"/>
      <c r="K69" s="77"/>
      <c r="L69" s="77"/>
      <c r="M69" s="77"/>
      <c r="N69" s="77"/>
    </row>
    <row r="70" spans="1:14" x14ac:dyDescent="0.3">
      <c r="A70" s="120" t="s">
        <v>39</v>
      </c>
      <c r="B70" s="121" t="s">
        <v>137</v>
      </c>
      <c r="C70" s="122">
        <v>0.48</v>
      </c>
      <c r="D70" s="122" t="s">
        <v>161</v>
      </c>
      <c r="E70" s="122">
        <v>2.4</v>
      </c>
      <c r="F70" s="122" t="s">
        <v>284</v>
      </c>
      <c r="G70" s="124">
        <v>0.45</v>
      </c>
      <c r="H70" s="122" t="s">
        <v>276</v>
      </c>
      <c r="I70" s="125">
        <v>0.43</v>
      </c>
      <c r="J70" s="77"/>
      <c r="K70" s="77"/>
      <c r="L70" s="77"/>
      <c r="M70" s="77"/>
      <c r="N70" s="77"/>
    </row>
    <row r="71" spans="1:14" x14ac:dyDescent="0.3">
      <c r="A71" s="120" t="s">
        <v>40</v>
      </c>
      <c r="B71" s="121" t="s">
        <v>87</v>
      </c>
      <c r="C71" s="122">
        <v>0.46</v>
      </c>
      <c r="D71" s="122" t="s">
        <v>150</v>
      </c>
      <c r="E71" s="122">
        <v>1.3</v>
      </c>
      <c r="F71" s="123" t="s">
        <v>274</v>
      </c>
      <c r="G71" s="124">
        <v>0.45</v>
      </c>
      <c r="H71" s="122" t="s">
        <v>276</v>
      </c>
      <c r="I71" s="125">
        <v>0.43</v>
      </c>
      <c r="J71" s="77"/>
      <c r="K71" s="77"/>
      <c r="L71" s="77"/>
      <c r="M71" s="77"/>
      <c r="N71" s="77"/>
    </row>
    <row r="72" spans="1:14" x14ac:dyDescent="0.3">
      <c r="A72" s="120" t="s">
        <v>41</v>
      </c>
      <c r="B72" s="121" t="s">
        <v>88</v>
      </c>
      <c r="C72" s="122">
        <v>0.44</v>
      </c>
      <c r="D72" s="122" t="s">
        <v>161</v>
      </c>
      <c r="E72" s="122">
        <v>1.3</v>
      </c>
      <c r="F72" s="123" t="s">
        <v>274</v>
      </c>
      <c r="G72" s="124">
        <v>0.45</v>
      </c>
      <c r="H72" s="122" t="s">
        <v>276</v>
      </c>
      <c r="I72" s="125">
        <v>0.43</v>
      </c>
      <c r="J72" s="77"/>
      <c r="K72" s="77"/>
      <c r="L72" s="77"/>
      <c r="M72" s="77"/>
      <c r="N72" s="77"/>
    </row>
    <row r="73" spans="1:14" x14ac:dyDescent="0.3">
      <c r="A73" s="120" t="s">
        <v>138</v>
      </c>
      <c r="B73" s="121" t="s">
        <v>140</v>
      </c>
      <c r="C73" s="122">
        <v>0.46</v>
      </c>
      <c r="D73" s="122" t="s">
        <v>151</v>
      </c>
      <c r="E73" s="122">
        <v>1.3</v>
      </c>
      <c r="F73" s="123" t="s">
        <v>274</v>
      </c>
      <c r="G73" s="124">
        <v>0.45</v>
      </c>
      <c r="H73" s="122" t="s">
        <v>276</v>
      </c>
      <c r="I73" s="125">
        <v>0.43</v>
      </c>
      <c r="J73" s="77"/>
      <c r="K73" s="77"/>
      <c r="L73" s="77"/>
      <c r="M73" s="77"/>
      <c r="N73" s="77"/>
    </row>
    <row r="74" spans="1:14" x14ac:dyDescent="0.3">
      <c r="A74" s="120" t="s">
        <v>42</v>
      </c>
      <c r="B74" s="121" t="s">
        <v>139</v>
      </c>
      <c r="C74" s="122">
        <v>0.34</v>
      </c>
      <c r="D74" s="122" t="s">
        <v>161</v>
      </c>
      <c r="E74" s="122">
        <v>1.3</v>
      </c>
      <c r="F74" s="123" t="s">
        <v>274</v>
      </c>
      <c r="G74" s="124">
        <v>0.45</v>
      </c>
      <c r="H74" s="122" t="s">
        <v>276</v>
      </c>
      <c r="I74" s="125">
        <v>0.43</v>
      </c>
      <c r="J74" s="77"/>
      <c r="K74" s="77"/>
      <c r="L74" s="77"/>
      <c r="M74" s="77"/>
      <c r="N74" s="77"/>
    </row>
    <row r="75" spans="1:14" x14ac:dyDescent="0.3">
      <c r="A75" s="120" t="s">
        <v>43</v>
      </c>
      <c r="B75" s="121" t="s">
        <v>162</v>
      </c>
      <c r="C75" s="122">
        <v>0.5</v>
      </c>
      <c r="D75" s="122" t="s">
        <v>161</v>
      </c>
      <c r="E75" s="122">
        <v>1.56</v>
      </c>
      <c r="F75" s="123" t="s">
        <v>274</v>
      </c>
      <c r="G75" s="124">
        <v>0.53</v>
      </c>
      <c r="H75" s="122" t="s">
        <v>275</v>
      </c>
      <c r="I75" s="125">
        <v>0.25</v>
      </c>
      <c r="J75" s="77"/>
      <c r="K75" s="77"/>
      <c r="L75" s="77"/>
      <c r="M75" s="77"/>
      <c r="N75" s="77"/>
    </row>
    <row r="76" spans="1:14" x14ac:dyDescent="0.3">
      <c r="A76" s="120" t="s">
        <v>44</v>
      </c>
      <c r="B76" s="121" t="s">
        <v>89</v>
      </c>
      <c r="C76" s="122">
        <v>0.57999999999999996</v>
      </c>
      <c r="D76" s="122" t="s">
        <v>161</v>
      </c>
      <c r="E76" s="122">
        <v>1.56</v>
      </c>
      <c r="F76" s="123" t="s">
        <v>274</v>
      </c>
      <c r="G76" s="124">
        <v>0.3</v>
      </c>
      <c r="H76" s="122" t="s">
        <v>277</v>
      </c>
      <c r="I76" s="125">
        <v>0.25</v>
      </c>
      <c r="J76" s="77"/>
      <c r="K76" s="77"/>
      <c r="L76" s="77"/>
      <c r="M76" s="77"/>
      <c r="N76" s="77"/>
    </row>
    <row r="77" spans="1:14" x14ac:dyDescent="0.3">
      <c r="A77" s="120" t="s">
        <v>47</v>
      </c>
      <c r="B77" s="121" t="s">
        <v>141</v>
      </c>
      <c r="C77" s="122">
        <v>0.37</v>
      </c>
      <c r="D77" s="122" t="s">
        <v>161</v>
      </c>
      <c r="E77" s="122">
        <v>1.3</v>
      </c>
      <c r="F77" s="123" t="s">
        <v>274</v>
      </c>
      <c r="G77" s="124">
        <v>0.55000000000000004</v>
      </c>
      <c r="H77" s="122" t="s">
        <v>152</v>
      </c>
      <c r="I77" s="125">
        <v>0.43</v>
      </c>
      <c r="J77" s="77"/>
      <c r="K77" s="77"/>
      <c r="L77" s="77"/>
      <c r="M77" s="77"/>
      <c r="N77" s="77"/>
    </row>
    <row r="78" spans="1:14" x14ac:dyDescent="0.3">
      <c r="A78" s="120" t="s">
        <v>45</v>
      </c>
      <c r="B78" s="121" t="s">
        <v>96</v>
      </c>
      <c r="C78" s="122">
        <v>0.37</v>
      </c>
      <c r="D78" s="122" t="s">
        <v>161</v>
      </c>
      <c r="E78" s="122">
        <v>1.3</v>
      </c>
      <c r="F78" s="123" t="s">
        <v>274</v>
      </c>
      <c r="G78" s="124">
        <v>0.55000000000000004</v>
      </c>
      <c r="H78" s="122" t="s">
        <v>152</v>
      </c>
      <c r="I78" s="125">
        <v>0.43</v>
      </c>
      <c r="J78" s="77"/>
      <c r="K78" s="77"/>
      <c r="L78" s="77"/>
      <c r="M78" s="77"/>
      <c r="N78" s="77"/>
    </row>
    <row r="79" spans="1:14" x14ac:dyDescent="0.3">
      <c r="A79" s="120" t="s">
        <v>46</v>
      </c>
      <c r="B79" s="121" t="s">
        <v>95</v>
      </c>
      <c r="C79" s="122">
        <v>0.38</v>
      </c>
      <c r="D79" s="122" t="s">
        <v>161</v>
      </c>
      <c r="E79" s="122">
        <v>1.3</v>
      </c>
      <c r="F79" s="123" t="s">
        <v>274</v>
      </c>
      <c r="G79" s="124">
        <v>0.55000000000000004</v>
      </c>
      <c r="H79" s="122" t="s">
        <v>153</v>
      </c>
      <c r="I79" s="125">
        <v>0.43</v>
      </c>
      <c r="J79" s="77"/>
      <c r="K79" s="77"/>
      <c r="L79" s="77"/>
      <c r="M79" s="77"/>
      <c r="N79" s="77"/>
    </row>
    <row r="80" spans="1:14" x14ac:dyDescent="0.3">
      <c r="A80" s="120" t="s">
        <v>48</v>
      </c>
      <c r="B80" s="121" t="s">
        <v>94</v>
      </c>
      <c r="C80" s="122">
        <v>0.36</v>
      </c>
      <c r="D80" s="122" t="s">
        <v>161</v>
      </c>
      <c r="E80" s="122">
        <v>1.3</v>
      </c>
      <c r="F80" s="123" t="s">
        <v>274</v>
      </c>
      <c r="G80" s="124">
        <v>0.55000000000000004</v>
      </c>
      <c r="H80" s="122" t="s">
        <v>153</v>
      </c>
      <c r="I80" s="125">
        <v>0.43</v>
      </c>
      <c r="J80" s="77"/>
      <c r="K80" s="77"/>
      <c r="L80" s="77"/>
      <c r="M80" s="77"/>
      <c r="N80" s="77"/>
    </row>
    <row r="81" spans="1:14" x14ac:dyDescent="0.3">
      <c r="A81" s="120" t="s">
        <v>49</v>
      </c>
      <c r="B81" s="121" t="s">
        <v>142</v>
      </c>
      <c r="C81" s="122">
        <v>0.37</v>
      </c>
      <c r="D81" s="122" t="s">
        <v>161</v>
      </c>
      <c r="E81" s="122">
        <v>1.56</v>
      </c>
      <c r="F81" s="123" t="s">
        <v>274</v>
      </c>
      <c r="G81" s="124">
        <v>0.43</v>
      </c>
      <c r="H81" s="122" t="s">
        <v>278</v>
      </c>
      <c r="I81" s="125">
        <v>0.25</v>
      </c>
      <c r="J81" s="77"/>
      <c r="K81" s="77"/>
      <c r="L81" s="77"/>
      <c r="M81" s="77"/>
      <c r="N81" s="77"/>
    </row>
    <row r="82" spans="1:14" x14ac:dyDescent="0.3">
      <c r="A82" s="120" t="s">
        <v>158</v>
      </c>
      <c r="B82" s="121" t="s">
        <v>159</v>
      </c>
      <c r="C82" s="122">
        <v>0.35</v>
      </c>
      <c r="D82" s="122" t="s">
        <v>160</v>
      </c>
      <c r="E82" s="122">
        <v>1.3</v>
      </c>
      <c r="F82" s="123" t="s">
        <v>274</v>
      </c>
      <c r="G82" s="124">
        <v>0.55000000000000004</v>
      </c>
      <c r="H82" s="122" t="s">
        <v>153</v>
      </c>
      <c r="I82" s="125">
        <v>0.43</v>
      </c>
      <c r="J82" s="77"/>
      <c r="K82" s="77"/>
      <c r="L82" s="77"/>
      <c r="M82" s="77"/>
      <c r="N82" s="77"/>
    </row>
    <row r="83" spans="1:14" x14ac:dyDescent="0.3">
      <c r="A83" s="120" t="s">
        <v>156</v>
      </c>
      <c r="B83" s="121" t="s">
        <v>157</v>
      </c>
      <c r="C83" s="122">
        <v>0.34</v>
      </c>
      <c r="D83" s="122" t="s">
        <v>161</v>
      </c>
      <c r="E83" s="122">
        <v>1.3</v>
      </c>
      <c r="F83" s="123" t="s">
        <v>274</v>
      </c>
      <c r="G83" s="124">
        <v>0.55000000000000004</v>
      </c>
      <c r="H83" s="122" t="s">
        <v>153</v>
      </c>
      <c r="I83" s="125">
        <v>0.43</v>
      </c>
      <c r="J83" s="77"/>
      <c r="K83" s="77"/>
      <c r="L83" s="77"/>
      <c r="M83" s="77"/>
      <c r="N83" s="77"/>
    </row>
    <row r="84" spans="1:14" x14ac:dyDescent="0.3">
      <c r="A84" s="120" t="s">
        <v>92</v>
      </c>
      <c r="B84" s="121" t="s">
        <v>93</v>
      </c>
      <c r="C84" s="122">
        <v>0.31</v>
      </c>
      <c r="D84" s="122" t="s">
        <v>161</v>
      </c>
      <c r="E84" s="122">
        <v>1.3</v>
      </c>
      <c r="F84" s="123" t="s">
        <v>274</v>
      </c>
      <c r="G84" s="124">
        <v>0.55000000000000004</v>
      </c>
      <c r="H84" s="122" t="s">
        <v>153</v>
      </c>
      <c r="I84" s="125">
        <v>0.43</v>
      </c>
      <c r="J84" s="77"/>
      <c r="K84" s="77"/>
      <c r="L84" s="77"/>
      <c r="M84" s="77"/>
      <c r="N84" s="77"/>
    </row>
    <row r="85" spans="1:14" x14ac:dyDescent="0.3">
      <c r="A85" s="120" t="s">
        <v>50</v>
      </c>
      <c r="B85" s="121" t="s">
        <v>143</v>
      </c>
      <c r="C85" s="122">
        <v>0.43</v>
      </c>
      <c r="D85" s="122" t="s">
        <v>161</v>
      </c>
      <c r="E85" s="122">
        <v>1.56</v>
      </c>
      <c r="F85" s="123" t="s">
        <v>274</v>
      </c>
      <c r="G85" s="124">
        <v>0.53</v>
      </c>
      <c r="H85" s="122" t="s">
        <v>275</v>
      </c>
      <c r="I85" s="125">
        <v>0.25</v>
      </c>
      <c r="J85" s="77"/>
      <c r="K85" s="77"/>
      <c r="L85" s="77"/>
      <c r="M85" s="77"/>
      <c r="N85" s="77"/>
    </row>
    <row r="86" spans="1:14" x14ac:dyDescent="0.3">
      <c r="A86" s="120" t="s">
        <v>51</v>
      </c>
      <c r="B86" s="121" t="s">
        <v>91</v>
      </c>
      <c r="C86" s="122">
        <v>0.38</v>
      </c>
      <c r="D86" s="122" t="s">
        <v>161</v>
      </c>
      <c r="E86" s="122">
        <v>1.56</v>
      </c>
      <c r="F86" s="123" t="s">
        <v>274</v>
      </c>
      <c r="G86" s="124">
        <v>0.6</v>
      </c>
      <c r="H86" s="122" t="s">
        <v>279</v>
      </c>
      <c r="I86" s="125">
        <v>0.25</v>
      </c>
      <c r="J86" s="77"/>
      <c r="K86" s="77"/>
      <c r="L86" s="77"/>
      <c r="M86" s="77"/>
      <c r="N86" s="77"/>
    </row>
    <row r="87" spans="1:14" x14ac:dyDescent="0.3">
      <c r="A87" s="249" t="s">
        <v>321</v>
      </c>
      <c r="B87" s="250" t="s">
        <v>322</v>
      </c>
      <c r="C87" s="251">
        <v>0.41</v>
      </c>
      <c r="D87" s="251" t="s">
        <v>323</v>
      </c>
      <c r="E87" s="251">
        <v>1.56</v>
      </c>
      <c r="F87" s="252" t="s">
        <v>274</v>
      </c>
      <c r="G87" s="253">
        <v>0.43</v>
      </c>
      <c r="H87" s="251" t="s">
        <v>278</v>
      </c>
      <c r="I87" s="254">
        <v>0.25</v>
      </c>
      <c r="J87" s="77"/>
      <c r="K87" s="77"/>
      <c r="L87" s="77"/>
      <c r="M87" s="77"/>
      <c r="N87" s="77"/>
    </row>
    <row r="88" spans="1:14" x14ac:dyDescent="0.3">
      <c r="A88" s="120" t="s">
        <v>148</v>
      </c>
      <c r="B88" s="128"/>
      <c r="C88" s="122">
        <v>0.42</v>
      </c>
      <c r="D88" s="122" t="s">
        <v>161</v>
      </c>
      <c r="E88" s="122">
        <v>1.3</v>
      </c>
      <c r="F88" s="123" t="s">
        <v>274</v>
      </c>
      <c r="G88" s="129"/>
      <c r="H88" s="128"/>
      <c r="I88" s="130"/>
    </row>
    <row r="89" spans="1:14" ht="15" thickBot="1" x14ac:dyDescent="0.35">
      <c r="A89" s="131" t="s">
        <v>149</v>
      </c>
      <c r="B89" s="132"/>
      <c r="C89" s="133">
        <v>0.56999999999999995</v>
      </c>
      <c r="D89" s="134" t="s">
        <v>161</v>
      </c>
      <c r="E89" s="133">
        <v>1.56</v>
      </c>
      <c r="F89" s="133" t="s">
        <v>274</v>
      </c>
      <c r="G89" s="132"/>
      <c r="H89" s="132"/>
      <c r="I89" s="135"/>
    </row>
    <row r="93" spans="1:14" x14ac:dyDescent="0.3">
      <c r="A93" s="120" t="s">
        <v>208</v>
      </c>
    </row>
    <row r="94" spans="1:14" x14ac:dyDescent="0.3">
      <c r="A94" s="120" t="s">
        <v>209</v>
      </c>
    </row>
    <row r="95" spans="1:14" x14ac:dyDescent="0.3">
      <c r="A95" s="120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tabSelected="1" zoomScale="85" zoomScaleNormal="85" workbookViewId="0">
      <selection activeCell="S7" sqref="S7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1" t="s">
        <v>271</v>
      </c>
      <c r="B2" s="272"/>
      <c r="C2" s="272"/>
      <c r="D2" s="272"/>
      <c r="E2" s="272"/>
      <c r="F2" s="272"/>
      <c r="G2" s="272"/>
      <c r="H2" s="272"/>
      <c r="I2" s="272"/>
      <c r="J2" s="272"/>
      <c r="K2" s="272"/>
      <c r="L2" s="273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6" t="s">
        <v>207</v>
      </c>
      <c r="B5" s="137" t="s">
        <v>250</v>
      </c>
      <c r="C5" s="138" t="str">
        <f>Calculateur!S2</f>
        <v>ΔStock moyen de long terme (tCO₂/ha)</v>
      </c>
      <c r="D5" s="138" t="str">
        <f>Calculateur!T2</f>
        <v>Δstock CO₂ 30 ans (tCO₂/ha)</v>
      </c>
      <c r="E5" s="138" t="s">
        <v>228</v>
      </c>
      <c r="F5" s="138" t="s">
        <v>239</v>
      </c>
      <c r="G5" s="138" t="s">
        <v>240</v>
      </c>
      <c r="H5" s="139" t="s">
        <v>241</v>
      </c>
      <c r="I5" s="140" t="s">
        <v>242</v>
      </c>
      <c r="J5" s="141" t="s">
        <v>243</v>
      </c>
      <c r="K5" s="142" t="s">
        <v>244</v>
      </c>
      <c r="L5" s="83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3" t="str">
        <f>IF('Données projet'!$B$9="","",'Données projet'!$B$9)</f>
        <v>Peuplier I-45/51</v>
      </c>
      <c r="B6" s="144">
        <f>'Données projet'!D9</f>
        <v>0.57000000000000006</v>
      </c>
      <c r="C6" s="145">
        <f ca="1">IF(OR('Données projet'!B9="",'Données projet'!C9="",'Données projet'!C9=0%),0,Calculateur!S3)</f>
        <v>140.03175887621094</v>
      </c>
      <c r="D6" s="145">
        <f>IF(OR('Données projet'!B9="",'Données projet'!C9="",'Données projet'!C9=0%),0,Calculateur!T3)</f>
        <v>377.29475975964954</v>
      </c>
      <c r="E6" s="145">
        <f ca="1">MIN(C6,D6)</f>
        <v>140.03175887621094</v>
      </c>
      <c r="F6" s="145">
        <f ca="1">E6*B6</f>
        <v>79.818102559440248</v>
      </c>
      <c r="G6" s="145">
        <f ca="1">F6*(100%-'Données projet'!$C$24)*(100%-'Données projet'!$C$25)*(100%-'Données projet'!$C$26)*(100%-'Données projet'!$C$27)</f>
        <v>54.59558215065713</v>
      </c>
      <c r="H6" s="146">
        <f>IF(OR('Données projet'!B9="",'Données projet'!C9="",'Données projet'!C9=0%),0,AVERAGE(Calculateur!$AC$3:$AC$33)*B6)</f>
        <v>8.9528469900260408</v>
      </c>
      <c r="I6" s="147">
        <f>H6*(100%-'Données projet'!$C$24)*(100%-'Données projet'!$C$25)*(100%-'Données projet'!$C$26)*(100%-'Données projet'!$C$27)</f>
        <v>6.1237473411778121</v>
      </c>
      <c r="J6" s="148">
        <f>IF(OR('Données projet'!B9="",'Données projet'!C9="",'Données projet'!C9=0%),0,SUM(Calculateur!$V$3:$V$33)*VLOOKUP('Données projet'!$B$9,Paramètres!$A$1:$I$89,9,0)*B6)</f>
        <v>168.60307692307697</v>
      </c>
      <c r="K6" s="149">
        <f>J6*(100%-'Données projet'!$C$24)*(100%-'Données projet'!$C$25)*(100%-'Données projet'!$C$26)*(100%-'Données projet'!$C$27)</f>
        <v>115.32450461538464</v>
      </c>
      <c r="L6" s="150">
        <f ca="1">G6+I6+K6</f>
        <v>176.0438341072196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1" t="str">
        <f>IF('Données projet'!$B$10="","",'Données projet'!$B$10)</f>
        <v>Peuplier Raspalje</v>
      </c>
      <c r="B7" s="152">
        <f>'Données projet'!D10</f>
        <v>0.57000000000000006</v>
      </c>
      <c r="C7" s="145">
        <f ca="1">IF(OR('Données projet'!B10="",'Données projet'!C10="",'Données projet'!C10=0%),0,Calculateur!AN3)</f>
        <v>138.27364731587764</v>
      </c>
      <c r="D7" s="145">
        <f>IF(OR('Données projet'!B10="",'Données projet'!C10="",'Données projet'!C10=0%),0,Calculateur!AO3)</f>
        <v>372.50391467700013</v>
      </c>
      <c r="E7" s="145">
        <f t="shared" ref="E7:E15" ca="1" si="0">MIN(C7,D7)</f>
        <v>138.27364731587764</v>
      </c>
      <c r="F7" s="145">
        <f t="shared" ref="F7:F15" ca="1" si="1">E7*B7</f>
        <v>78.815978970050267</v>
      </c>
      <c r="G7" s="145">
        <f ca="1">F7*(100%-'Données projet'!$C$24)*(100%-'Données projet'!$C$25)*(100%-'Données projet'!$C$26)*(100%-'Données projet'!$C$27)</f>
        <v>53.910129615514379</v>
      </c>
      <c r="H7" s="153">
        <f>IF(OR('Données projet'!B10="",'Données projet'!C10="",'Données projet'!C10=0%),0,AVERAGE(Calculateur!$AX$3:$AX$33)*B7)</f>
        <v>8.8163706639585708</v>
      </c>
      <c r="I7" s="147">
        <f>H7*(100%-'Données projet'!$C$24)*(100%-'Données projet'!$C$25)*(100%-'Données projet'!$C$26)*(100%-'Données projet'!$C$27)</f>
        <v>6.0303975341476628</v>
      </c>
      <c r="J7" s="148">
        <f>IF(OR('Données projet'!B10="",'Données projet'!C10="",'Données projet'!C10=0%),0,SUM(Calculateur!$AQ$3:$AQ$33)*VLOOKUP('Données projet'!$B$10,Paramètres!$A$1:$I$89,9,0)*B7)</f>
        <v>168.60307692307697</v>
      </c>
      <c r="K7" s="149">
        <f>J7*(100%-'Données projet'!$C$24)*(100%-'Données projet'!$C$25)*(100%-'Données projet'!$C$26)*(100%-'Données projet'!$C$27)</f>
        <v>115.32450461538464</v>
      </c>
      <c r="L7" s="150">
        <f t="shared" ref="L7:L15" ca="1" si="2">G7+I7+K7</f>
        <v>175.26503176504667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1" t="str">
        <f>IF('Données projet'!$B$11="","",'Données projet'!$B$11)</f>
        <v>Chêne chevelu</v>
      </c>
      <c r="B8" s="152">
        <f>'Données projet'!D11</f>
        <v>1.1400000000000001</v>
      </c>
      <c r="C8" s="145">
        <f ca="1">IF(OR('Données projet'!B11="",'Données projet'!C11="",'Données projet'!C11=0%),0,Calculateur!BI3)</f>
        <v>638.07304290599211</v>
      </c>
      <c r="D8" s="145">
        <f>IF(OR('Données projet'!B11="",'Données projet'!C11="",'Données projet'!C11=0%),0,Calculateur!BJ3)</f>
        <v>408.22196233793511</v>
      </c>
      <c r="E8" s="145">
        <f t="shared" ca="1" si="0"/>
        <v>408.22196233793511</v>
      </c>
      <c r="F8" s="145">
        <f t="shared" ca="1" si="1"/>
        <v>465.37303706524608</v>
      </c>
      <c r="G8" s="145">
        <f ca="1">F8*(100%-'Données projet'!$C$24)*(100%-'Données projet'!$C$25)*(100%-'Données projet'!$C$26)*(100%-'Données projet'!$C$27)</f>
        <v>318.31515735262832</v>
      </c>
      <c r="H8" s="153">
        <f>IF(OR('Données projet'!B11="",'Données projet'!C11="",'Données projet'!C11=0%),0,AVERAGE(Calculateur!$BS$3:$BS$33)*B8)</f>
        <v>0</v>
      </c>
      <c r="I8" s="147">
        <f>H8*(100%-'Données projet'!$C$24)*(100%-'Données projet'!$C$25)*(100%-'Données projet'!$C$26)*(100%-'Données projet'!$C$27)</f>
        <v>0</v>
      </c>
      <c r="J8" s="148">
        <f>IF(OR('Données projet'!B11="",'Données projet'!C11="",'Données projet'!C11=0%),0,SUM(Calculateur!$BL$3:$BL$33)*VLOOKUP('Données projet'!$B$11,Paramètres!$A$1:$I$89,9,0)*B8)</f>
        <v>17.670000000000002</v>
      </c>
      <c r="K8" s="149">
        <f>J8*(100%-'Données projet'!$C$24)*(100%-'Données projet'!$C$25)*(100%-'Données projet'!$C$26)*(100%-'Données projet'!$C$27)</f>
        <v>12.086280000000002</v>
      </c>
      <c r="L8" s="150">
        <f t="shared" ca="1" si="2"/>
        <v>330.40143735262831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1" t="str">
        <f>IF('Données projet'!$B$12="","",'Données projet'!$B$12)</f>
        <v>Chêne vert</v>
      </c>
      <c r="B9" s="152">
        <f>'Données projet'!D12</f>
        <v>1.1400000000000001</v>
      </c>
      <c r="C9" s="145">
        <f ca="1">IF(OR('Données projet'!B12="",'Données projet'!C12="",'Données projet'!C12=0%),0,Calculateur!CD3)</f>
        <v>685.99951993586967</v>
      </c>
      <c r="D9" s="145">
        <f>IF(OR('Données projet'!B12="",'Données projet'!C12="",'Données projet'!C12=0%),0,Calculateur!CE3)</f>
        <v>437.98014017823095</v>
      </c>
      <c r="E9" s="145">
        <f t="shared" ca="1" si="0"/>
        <v>437.98014017823095</v>
      </c>
      <c r="F9" s="145">
        <f t="shared" ca="1" si="1"/>
        <v>499.29735980318333</v>
      </c>
      <c r="G9" s="145">
        <f ca="1">F9*(100%-'Données projet'!$C$24)*(100%-'Données projet'!$C$25)*(100%-'Données projet'!$C$26)*(100%-'Données projet'!$C$27)</f>
        <v>341.51939410537739</v>
      </c>
      <c r="H9" s="153">
        <f>IF(OR('Données projet'!B12="",'Données projet'!C12="",'Données projet'!C12=0%),0,AVERAGE(Calculateur!$CN$3:$CN$33)*B9)</f>
        <v>0</v>
      </c>
      <c r="I9" s="147">
        <f>H9*(100%-'Données projet'!$C$24)*(100%-'Données projet'!$C$25)*(100%-'Données projet'!$C$26)*(100%-'Données projet'!$C$27)</f>
        <v>0</v>
      </c>
      <c r="J9" s="148">
        <f>IF(OR('Données projet'!B12="",'Données projet'!C12="",'Données projet'!C12=0%),0,SUM(Calculateur!$CG$3:$CG$33)*VLOOKUP('Données projet'!$B$12,Paramètres!$A$1:$I$89,9,0)*B9)</f>
        <v>17.670000000000002</v>
      </c>
      <c r="K9" s="149">
        <f>J9*(100%-'Données projet'!$C$24)*(100%-'Données projet'!$C$25)*(100%-'Données projet'!$C$26)*(100%-'Données projet'!$C$27)</f>
        <v>12.086280000000002</v>
      </c>
      <c r="L9" s="150">
        <f t="shared" ca="1" si="2"/>
        <v>353.60567410537737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1" t="str">
        <f>IF('Données projet'!$B$13="","",'Données projet'!$B$13)</f>
        <v>Chêne pubescent</v>
      </c>
      <c r="B10" s="152">
        <f>'Données projet'!D13</f>
        <v>1.1400000000000001</v>
      </c>
      <c r="C10" s="145">
        <f ca="1">IF(OR('Données projet'!B13="",'Données projet'!C13="",'Données projet'!C13=0%),0,Calculateur!CY3)</f>
        <v>622.07867348539082</v>
      </c>
      <c r="D10" s="145">
        <f>IF(OR('Données projet'!B13="",'Données projet'!C13="",'Données projet'!C13=0%),0,Calculateur!CZ3)</f>
        <v>398.29010684041634</v>
      </c>
      <c r="E10" s="145">
        <f t="shared" ca="1" si="0"/>
        <v>398.29010684041634</v>
      </c>
      <c r="F10" s="145">
        <f t="shared" ca="1" si="1"/>
        <v>454.05072179807468</v>
      </c>
      <c r="G10" s="145">
        <f ca="1">F10*(100%-'Données projet'!$C$24)*(100%-'Données projet'!$C$25)*(100%-'Données projet'!$C$26)*(100%-'Données projet'!$C$27)</f>
        <v>310.57069370988307</v>
      </c>
      <c r="H10" s="153">
        <f>IF(OR('Données projet'!B13="",'Données projet'!C13="",'Données projet'!C13=0%),0,AVERAGE(Calculateur!$DI$3:$DI$33)*B10)</f>
        <v>0</v>
      </c>
      <c r="I10" s="147">
        <f>H10*(100%-'Données projet'!$C$24)*(100%-'Données projet'!$C$25)*(100%-'Données projet'!$C$26)*(100%-'Données projet'!$C$27)</f>
        <v>0</v>
      </c>
      <c r="J10" s="148">
        <f>IF(OR('Données projet'!B13="",'Données projet'!C13="",'Données projet'!C13=0%),0,SUM(Calculateur!$DB$3:$DB$33)*VLOOKUP('Données projet'!$B$13,Paramètres!$A$1:$I$89,9,0)*B10)</f>
        <v>17.670000000000002</v>
      </c>
      <c r="K10" s="149">
        <f>J10*(100%-'Données projet'!$C$24)*(100%-'Données projet'!$C$25)*(100%-'Données projet'!$C$26)*(100%-'Données projet'!$C$27)</f>
        <v>12.086280000000002</v>
      </c>
      <c r="L10" s="150">
        <f t="shared" ca="1" si="2"/>
        <v>322.65697370988306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1" t="str">
        <f>IF('Données projet'!$B$14="","",'Données projet'!$B$14)</f>
        <v>Charme</v>
      </c>
      <c r="B11" s="152">
        <f>'Données projet'!D14</f>
        <v>1.1400000000000001</v>
      </c>
      <c r="C11" s="145">
        <f ca="1">IF(OR('Données projet'!B14="",'Données projet'!C14="",'Données projet'!C14=0%),0,Calculateur!DT3)</f>
        <v>590.05965493677377</v>
      </c>
      <c r="D11" s="145">
        <f>IF(OR('Données projet'!B14="",'Données projet'!C14="",'Données projet'!C14=0%),0,Calculateur!DU3)</f>
        <v>378.40640480134505</v>
      </c>
      <c r="E11" s="145">
        <f t="shared" ca="1" si="0"/>
        <v>378.40640480134505</v>
      </c>
      <c r="F11" s="145">
        <f t="shared" ca="1" si="1"/>
        <v>431.38330147353338</v>
      </c>
      <c r="G11" s="145">
        <f ca="1">F11*(100%-'Données projet'!$C$24)*(100%-'Données projet'!$C$25)*(100%-'Données projet'!$C$26)*(100%-'Données projet'!$C$27)</f>
        <v>295.06617820789688</v>
      </c>
      <c r="H11" s="153">
        <f>IF(OR('Données projet'!B14="",'Données projet'!C14="",'Données projet'!C14=0%),0,AVERAGE(Calculateur!$ED$3:$ED$33)*B11)</f>
        <v>0</v>
      </c>
      <c r="I11" s="147">
        <f>H11*(100%-'Données projet'!$C$24)*(100%-'Données projet'!$C$25)*(100%-'Données projet'!$C$26)*(100%-'Données projet'!$C$27)</f>
        <v>0</v>
      </c>
      <c r="J11" s="148">
        <f>IF(OR('Données projet'!B14="",'Données projet'!C14="",'Données projet'!C14=0%),0,SUM(Calculateur!$DW$3:$DW$33)*VLOOKUP('Données projet'!$B$14,Paramètres!$A$1:$I$89,9,0)*B11)</f>
        <v>17.670000000000002</v>
      </c>
      <c r="K11" s="149">
        <f>J11*(100%-'Données projet'!$C$24)*(100%-'Données projet'!$C$25)*(100%-'Données projet'!$C$26)*(100%-'Données projet'!$C$27)</f>
        <v>12.086280000000002</v>
      </c>
      <c r="L11" s="150">
        <f t="shared" ca="1" si="2"/>
        <v>307.15245820789687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1" t="str">
        <f>IF('Données projet'!$B$15="","",'Données projet'!$B$15)</f>
        <v/>
      </c>
      <c r="B12" s="152">
        <f>'Données projet'!D15</f>
        <v>0</v>
      </c>
      <c r="C12" s="145">
        <f>IF(OR('Données projet'!B15="",'Données projet'!C15="",'Données projet'!C15=0%),0,Calculateur!EO3)</f>
        <v>0</v>
      </c>
      <c r="D12" s="145">
        <f>IF(OR('Données projet'!B15="",'Données projet'!C15="",'Données projet'!C15=0%),0,Calculateur!EP3)</f>
        <v>0</v>
      </c>
      <c r="E12" s="145">
        <f t="shared" si="0"/>
        <v>0</v>
      </c>
      <c r="F12" s="145">
        <f t="shared" si="1"/>
        <v>0</v>
      </c>
      <c r="G12" s="145">
        <f>F12*(100%-'Données projet'!$C$24)*(100%-'Données projet'!$C$25)*(100%-'Données projet'!$C$26)*(100%-'Données projet'!$C$27)</f>
        <v>0</v>
      </c>
      <c r="H12" s="153">
        <f>IF(OR('Données projet'!B15="",'Données projet'!C15="",'Données projet'!C15=0%),0,AVERAGE(Calculateur!$EY$3:$EY$33)*B12)</f>
        <v>0</v>
      </c>
      <c r="I12" s="147">
        <f>H12*(100%-'Données projet'!$C$24)*(100%-'Données projet'!$C$25)*(100%-'Données projet'!$C$26)*(100%-'Données projet'!$C$27)</f>
        <v>0</v>
      </c>
      <c r="J12" s="148">
        <f>IF(OR('Données projet'!B15="",'Données projet'!C15="",'Données projet'!C15=0%),0,SUM(Calculateur!$ER$3:$ER$33)*VLOOKUP('Données projet'!$B$15,Paramètres!$A$1:$I$89,9,0)*B12)</f>
        <v>0</v>
      </c>
      <c r="K12" s="149">
        <f>J12*(100%-'Données projet'!$C$24)*(100%-'Données projet'!$C$25)*(100%-'Données projet'!$C$26)*(100%-'Données projet'!$C$27)</f>
        <v>0</v>
      </c>
      <c r="L12" s="150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1" t="str">
        <f>IF('Données projet'!$B$16="","",'Données projet'!$B$16)</f>
        <v/>
      </c>
      <c r="B13" s="152">
        <f>'Données projet'!D16</f>
        <v>0</v>
      </c>
      <c r="C13" s="145">
        <f>IF(OR('Données projet'!B16="",'Données projet'!C16="",'Données projet'!C16=0%),0,Calculateur!FJ3)</f>
        <v>0</v>
      </c>
      <c r="D13" s="145">
        <f>IF(OR('Données projet'!B16="",'Données projet'!C16="",'Données projet'!C16=0%),0,Calculateur!FK3)</f>
        <v>0</v>
      </c>
      <c r="E13" s="145">
        <f t="shared" si="0"/>
        <v>0</v>
      </c>
      <c r="F13" s="145">
        <f t="shared" si="1"/>
        <v>0</v>
      </c>
      <c r="G13" s="145">
        <f>F13*(100%-'Données projet'!$C$24)*(100%-'Données projet'!$C$25)*(100%-'Données projet'!$C$26)*(100%-'Données projet'!$C$27)</f>
        <v>0</v>
      </c>
      <c r="H13" s="153">
        <f>IF(OR('Données projet'!B16="",'Données projet'!C16="",'Données projet'!C16=0%),0,AVERAGE(Calculateur!$FT$3:$FT$33)*B13)</f>
        <v>0</v>
      </c>
      <c r="I13" s="147">
        <f>H13*(100%-'Données projet'!$C$24)*(100%-'Données projet'!$C$25)*(100%-'Données projet'!$C$26)*(100%-'Données projet'!$C$27)</f>
        <v>0</v>
      </c>
      <c r="J13" s="148">
        <f>IF(OR('Données projet'!C16="",'Données projet'!C16=0%),0,SUM(Calculateur!$FM$3:$FM$33)*VLOOKUP('Données projet'!$B$16,Paramètres!$A$1:$I$89,9,0)*B13)</f>
        <v>0</v>
      </c>
      <c r="K13" s="149">
        <f>J13*(100%-'Données projet'!$C$24)*(100%-'Données projet'!$C$25)*(100%-'Données projet'!$C$26)*(100%-'Données projet'!$C$27)</f>
        <v>0</v>
      </c>
      <c r="L13" s="150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1" t="str">
        <f>IF('Données projet'!$B$17="","",'Données projet'!$B$17)</f>
        <v/>
      </c>
      <c r="B14" s="152">
        <f>'Données projet'!D17</f>
        <v>0</v>
      </c>
      <c r="C14" s="145">
        <f>IF(OR('Données projet'!B17="",'Données projet'!C17="",'Données projet'!C17=0%),0,Calculateur!GE3)</f>
        <v>0</v>
      </c>
      <c r="D14" s="145">
        <f>IF(OR('Données projet'!B17="",'Données projet'!C17="",'Données projet'!C17=0%),0,Calculateur!GF3)</f>
        <v>0</v>
      </c>
      <c r="E14" s="145">
        <f t="shared" si="0"/>
        <v>0</v>
      </c>
      <c r="F14" s="145">
        <f t="shared" si="1"/>
        <v>0</v>
      </c>
      <c r="G14" s="145">
        <f>F14*(100%-'Données projet'!$C$24)*(100%-'Données projet'!$C$25)*(100%-'Données projet'!$C$26)*(100%-'Données projet'!$C$27)</f>
        <v>0</v>
      </c>
      <c r="H14" s="153">
        <f>IF(OR('Données projet'!B17="",'Données projet'!C17="",'Données projet'!C17=0%),0,AVERAGE(Calculateur!$GO$3:$GO$33)*B14)</f>
        <v>0</v>
      </c>
      <c r="I14" s="147">
        <f>H14*(100%-'Données projet'!$C$24)*(100%-'Données projet'!$C$25)*(100%-'Données projet'!$C$26)*(100%-'Données projet'!$C$27)</f>
        <v>0</v>
      </c>
      <c r="J14" s="148">
        <f>IF(OR('Données projet'!B17="",'Données projet'!C17="",'Données projet'!C17=0%),0,SUM(Calculateur!$GH$3:$GH$33)*VLOOKUP('Données projet'!$B$17,Paramètres!$A$1:$I$89,9,0)*B14)</f>
        <v>0</v>
      </c>
      <c r="K14" s="149">
        <f>J14*(100%-'Données projet'!$C$24)*(100%-'Données projet'!$C$25)*(100%-'Données projet'!$C$26)*(100%-'Données projet'!$C$27)</f>
        <v>0</v>
      </c>
      <c r="L14" s="150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4" t="str">
        <f>IF('Données projet'!B18="","",'Données projet'!B18)</f>
        <v/>
      </c>
      <c r="B15" s="155">
        <f>'Données projet'!D18</f>
        <v>0</v>
      </c>
      <c r="C15" s="156">
        <f>IF(OR('Données projet'!B18="",'Données projet'!C18="",'Données projet'!C18=0%),0,Calculateur!GZ3)</f>
        <v>0</v>
      </c>
      <c r="D15" s="156">
        <f>IF(OR('Données projet'!B18="",'Données projet'!C18="",'Données projet'!C18=0%),0,Calculateur!HA3)</f>
        <v>0</v>
      </c>
      <c r="E15" s="156">
        <f t="shared" si="0"/>
        <v>0</v>
      </c>
      <c r="F15" s="157">
        <f t="shared" si="1"/>
        <v>0</v>
      </c>
      <c r="G15" s="157">
        <f>F15*(100%-'Données projet'!$C$24)*(100%-'Données projet'!$C$25)*(100%-'Données projet'!$C$26)*(100%-'Données projet'!$C$27)</f>
        <v>0</v>
      </c>
      <c r="H15" s="158">
        <f>IF(OR('Données projet'!B18="",'Données projet'!C18="",'Données projet'!C18=0%),0,AVERAGE(Calculateur!$HJ$3:$HJ$33)*B15)</f>
        <v>0</v>
      </c>
      <c r="I15" s="159">
        <f>H15*(100%-'Données projet'!$C$24)*(100%-'Données projet'!$C$25)*(100%-'Données projet'!$C$26)*(100%-'Données projet'!$C$27)</f>
        <v>0</v>
      </c>
      <c r="J15" s="160">
        <f>IF(OR('Données projet'!B18="",'Données projet'!C18="",'Données projet'!C18=0%),0,SUM(Calculateur!$HC$3:$HC$33)*VLOOKUP('Données projet'!$B$18,Paramètres!$A$1:$I$89,9,0)*B15)</f>
        <v>0</v>
      </c>
      <c r="K15" s="161">
        <f>J15*(100%-'Données projet'!$C$24)*(100%-'Données projet'!$C$25)*(100%-'Données projet'!$C$26)*(100%-'Données projet'!$C$27)</f>
        <v>0</v>
      </c>
      <c r="L15" s="162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7"/>
      <c r="B16" s="211"/>
      <c r="C16" s="212"/>
      <c r="D16" s="23"/>
      <c r="E16" s="23"/>
      <c r="F16" s="163">
        <f t="shared" ref="F16:L16" ca="1" si="3">SUM(F6:F15)</f>
        <v>2008.738501669528</v>
      </c>
      <c r="G16" s="164">
        <f t="shared" ca="1" si="3"/>
        <v>1373.9771351419572</v>
      </c>
      <c r="H16" s="165">
        <f t="shared" si="3"/>
        <v>17.769217653984612</v>
      </c>
      <c r="I16" s="165">
        <f t="shared" si="3"/>
        <v>12.154144875325475</v>
      </c>
      <c r="J16" s="166">
        <f t="shared" si="3"/>
        <v>407.886153846154</v>
      </c>
      <c r="K16" s="166">
        <f t="shared" si="3"/>
        <v>278.99412923076926</v>
      </c>
      <c r="L16" s="167">
        <f t="shared" ca="1" si="3"/>
        <v>1665.1254092480517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7"/>
      <c r="B17" s="211"/>
      <c r="C17" s="212"/>
      <c r="D17" s="23"/>
      <c r="E17" s="23"/>
      <c r="F17" s="283" t="s">
        <v>246</v>
      </c>
      <c r="G17" s="284"/>
      <c r="H17" s="284"/>
      <c r="I17" s="284"/>
      <c r="J17" s="284"/>
      <c r="K17" s="284"/>
      <c r="L17" s="284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7"/>
      <c r="B18" s="211"/>
      <c r="C18" s="212"/>
      <c r="D18" s="23"/>
      <c r="E18" s="23"/>
      <c r="F18" s="270"/>
      <c r="G18" s="270"/>
      <c r="H18" s="270"/>
      <c r="I18" s="270"/>
      <c r="J18" s="270"/>
      <c r="K18" s="270"/>
      <c r="L18" s="270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68" t="str">
        <f>A6</f>
        <v>Peuplier I-45/51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68" t="str">
        <f>A7</f>
        <v>Peuplier Raspalje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68" t="str">
        <f>A8</f>
        <v>Chêne chevelu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68" t="str">
        <f>A9</f>
        <v>Chêne vert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68" t="str">
        <f>A10</f>
        <v>Chêne pubescent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68" t="str">
        <f>A11</f>
        <v>Charme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68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68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68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68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57" fitToHeight="0" orientation="portrait" r:id="rId1"/>
  <rowBreaks count="3" manualBreakCount="3">
    <brk id="74" max="16383" man="1"/>
    <brk id="129" max="16383" man="1"/>
    <brk id="165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80" zoomScaleNormal="80" workbookViewId="0">
      <selection activeCell="G26" sqref="G26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1" t="s">
        <v>272</v>
      </c>
      <c r="C2" s="272"/>
      <c r="D2" s="272"/>
      <c r="E2" s="272"/>
      <c r="F2" s="272"/>
      <c r="G2" s="272"/>
      <c r="H2" s="272"/>
      <c r="I2" s="272"/>
      <c r="J2" s="272"/>
      <c r="K2" s="272"/>
      <c r="L2" s="272"/>
      <c r="M2" s="272"/>
      <c r="N2" s="272"/>
      <c r="O2" s="272"/>
      <c r="P2" s="273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69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7" t="s">
        <v>315</v>
      </c>
      <c r="I4" s="257"/>
      <c r="K4" s="299" t="s">
        <v>253</v>
      </c>
      <c r="L4" s="300"/>
      <c r="M4" s="235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0"/>
      <c r="I6" s="170"/>
      <c r="J6" s="170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0"/>
      <c r="B7" s="241"/>
      <c r="C7" s="241"/>
      <c r="D7" s="241"/>
      <c r="E7" s="242"/>
      <c r="F7" s="242" t="s">
        <v>192</v>
      </c>
      <c r="G7" s="243"/>
      <c r="H7" s="241"/>
      <c r="I7" s="241"/>
      <c r="J7" s="244"/>
      <c r="K7" s="238"/>
      <c r="L7" s="239"/>
      <c r="M7" s="239"/>
      <c r="N7" s="245" t="s">
        <v>191</v>
      </c>
      <c r="O7" s="245"/>
      <c r="P7" s="246"/>
      <c r="Q7" s="247"/>
      <c r="R7" s="291" t="s">
        <v>310</v>
      </c>
      <c r="S7" s="292"/>
      <c r="T7" s="292"/>
      <c r="U7" s="292"/>
      <c r="V7" s="29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198"/>
      <c r="K8" s="206"/>
      <c r="L8" s="23"/>
      <c r="M8" s="23"/>
      <c r="N8" s="23"/>
      <c r="O8" s="23"/>
      <c r="P8" s="23"/>
      <c r="Q8" s="232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1" t="s">
        <v>311</v>
      </c>
      <c r="C9" s="23"/>
      <c r="D9" s="23"/>
      <c r="E9" s="23"/>
      <c r="F9" s="228"/>
      <c r="G9" s="91" t="s">
        <v>314</v>
      </c>
      <c r="J9" s="198"/>
      <c r="K9" s="206"/>
      <c r="O9" s="23"/>
      <c r="P9" s="23"/>
      <c r="Q9" s="232"/>
      <c r="R9" s="23"/>
      <c r="S9" s="4"/>
      <c r="T9" s="36" t="s">
        <v>262</v>
      </c>
      <c r="U9" s="174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1" t="s">
        <v>317</v>
      </c>
      <c r="C10" s="23"/>
      <c r="D10" s="23"/>
      <c r="E10" s="23"/>
      <c r="F10" s="228"/>
      <c r="G10" s="91" t="s">
        <v>316</v>
      </c>
      <c r="J10" s="198"/>
      <c r="K10" s="206"/>
      <c r="O10" s="23"/>
      <c r="P10" s="23"/>
      <c r="Q10" s="232"/>
      <c r="R10" s="23"/>
      <c r="S10" s="36" t="str">
        <f>B14</f>
        <v>Peuplier I-45/51</v>
      </c>
      <c r="T10" s="175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6">
        <f>'Données projet'!D9</f>
        <v>0.57000000000000006</v>
      </c>
      <c r="V10" s="175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1" t="s">
        <v>312</v>
      </c>
      <c r="B11" s="23"/>
      <c r="C11" s="23"/>
      <c r="D11" s="23"/>
      <c r="E11" s="23"/>
      <c r="F11" s="228"/>
      <c r="G11" s="91" t="s">
        <v>313</v>
      </c>
      <c r="J11" s="198"/>
      <c r="K11" s="206"/>
      <c r="M11" s="4"/>
      <c r="N11" s="4"/>
      <c r="O11" s="23"/>
      <c r="P11" s="23"/>
      <c r="Q11" s="232"/>
      <c r="R11" s="23"/>
      <c r="S11" s="36" t="str">
        <f>B45</f>
        <v>Peuplier Raspalje</v>
      </c>
      <c r="T11" s="237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6">
        <f>'Données projet'!D10</f>
        <v>0.57000000000000006</v>
      </c>
      <c r="V11" s="175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28"/>
      <c r="J12" s="198"/>
      <c r="K12" s="206"/>
      <c r="L12" s="200"/>
      <c r="M12" s="23"/>
      <c r="N12" s="23"/>
      <c r="O12" s="23"/>
      <c r="P12" s="23"/>
      <c r="Q12" s="232"/>
      <c r="R12" s="23"/>
      <c r="S12" s="36" t="str">
        <f>B76</f>
        <v>Chêne chevelu</v>
      </c>
      <c r="T12" s="237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6">
        <f>'Données projet'!D11</f>
        <v>1.1400000000000001</v>
      </c>
      <c r="V12" s="175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28"/>
      <c r="J13" s="23"/>
      <c r="K13" s="206"/>
      <c r="L13" s="91" t="s">
        <v>257</v>
      </c>
      <c r="M13" s="23"/>
      <c r="N13" s="23"/>
      <c r="O13" s="23"/>
      <c r="P13" s="23"/>
      <c r="Q13" s="232"/>
      <c r="R13" s="23"/>
      <c r="S13" s="36" t="str">
        <f>B107</f>
        <v>Chêne vert</v>
      </c>
      <c r="T13" s="237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6">
        <f>'Données projet'!D12</f>
        <v>1.1400000000000001</v>
      </c>
      <c r="V13" s="175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2" t="str">
        <f>IF('Données projet'!$B$9="","",'Données projet'!$B$9)</f>
        <v>Peuplier I-45/51</v>
      </c>
      <c r="C14" s="4"/>
      <c r="D14" s="4"/>
      <c r="E14" s="4"/>
      <c r="F14" s="228"/>
      <c r="G14" s="23"/>
      <c r="H14" s="36" t="s">
        <v>178</v>
      </c>
      <c r="I14" s="36" t="s">
        <v>290</v>
      </c>
      <c r="J14" s="199"/>
      <c r="K14" s="171"/>
      <c r="L14" s="200"/>
      <c r="M14" s="23"/>
      <c r="N14" s="23"/>
      <c r="O14" s="4"/>
      <c r="P14" s="4"/>
      <c r="Q14" s="233"/>
      <c r="R14" s="4"/>
      <c r="S14" s="36" t="str">
        <f>B138</f>
        <v>Chêne pubescent</v>
      </c>
      <c r="T14" s="237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6">
        <f>'Données projet'!D13</f>
        <v>1.1400000000000001</v>
      </c>
      <c r="V14" s="175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28"/>
      <c r="G15" s="302" t="s">
        <v>318</v>
      </c>
      <c r="H15" s="188"/>
      <c r="I15" s="189"/>
      <c r="J15" s="200"/>
      <c r="K15" s="206"/>
      <c r="L15" s="200"/>
      <c r="M15" s="23"/>
      <c r="N15" s="23"/>
      <c r="O15" s="23"/>
      <c r="P15" s="23"/>
      <c r="Q15" s="232"/>
      <c r="R15" s="23"/>
      <c r="S15" s="36" t="str">
        <f>B169</f>
        <v>Charme</v>
      </c>
      <c r="T15" s="237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6">
        <f>'Données projet'!D14</f>
        <v>1.1400000000000001</v>
      </c>
      <c r="V15" s="175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28"/>
      <c r="G16" s="302"/>
      <c r="H16" s="188"/>
      <c r="I16" s="189"/>
      <c r="J16" s="200"/>
      <c r="K16" s="206"/>
      <c r="L16" s="299" t="s">
        <v>254</v>
      </c>
      <c r="M16" s="300"/>
      <c r="N16" s="2"/>
      <c r="O16" s="23"/>
      <c r="P16" s="23"/>
      <c r="Q16" s="232"/>
      <c r="R16" s="23"/>
      <c r="S16" s="36" t="str">
        <f>B200</f>
        <v/>
      </c>
      <c r="T16" s="237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6">
        <f>'Données projet'!D15</f>
        <v>0</v>
      </c>
      <c r="V16" s="175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7" t="s">
        <v>132</v>
      </c>
      <c r="C17" s="196" t="s">
        <v>132</v>
      </c>
      <c r="D17" s="195" t="s">
        <v>132</v>
      </c>
      <c r="E17" s="191"/>
      <c r="F17" s="228"/>
      <c r="G17" s="302"/>
      <c r="J17" s="200"/>
      <c r="K17" s="206"/>
      <c r="L17" s="259" t="s">
        <v>289</v>
      </c>
      <c r="M17" s="261"/>
      <c r="N17" s="173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2"/>
      <c r="R17" s="23"/>
      <c r="S17" s="36" t="str">
        <f>B231</f>
        <v/>
      </c>
      <c r="T17" s="237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6">
        <f>'Données projet'!D16</f>
        <v>0</v>
      </c>
      <c r="V17" s="175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7" t="s">
        <v>132</v>
      </c>
      <c r="C18" s="196" t="s">
        <v>132</v>
      </c>
      <c r="D18" s="195" t="s">
        <v>132</v>
      </c>
      <c r="E18" s="191"/>
      <c r="F18" s="228"/>
      <c r="G18" s="302"/>
      <c r="J18" s="200"/>
      <c r="K18" s="206"/>
      <c r="L18" s="259" t="s">
        <v>255</v>
      </c>
      <c r="M18" s="261"/>
      <c r="N18" s="190"/>
      <c r="O18" s="23"/>
      <c r="P18" s="23"/>
      <c r="Q18" s="232"/>
      <c r="R18" s="23"/>
      <c r="S18" s="36" t="str">
        <f>B262</f>
        <v/>
      </c>
      <c r="T18" s="237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6">
        <f>'Données projet'!D17</f>
        <v>0</v>
      </c>
      <c r="V18" s="175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7" t="s">
        <v>132</v>
      </c>
      <c r="C19" s="196" t="s">
        <v>132</v>
      </c>
      <c r="D19" s="195" t="s">
        <v>132</v>
      </c>
      <c r="E19" s="191"/>
      <c r="F19" s="228"/>
      <c r="G19" s="302"/>
      <c r="H19" s="210" t="s">
        <v>178</v>
      </c>
      <c r="I19" s="210" t="s">
        <v>287</v>
      </c>
      <c r="J19" s="91"/>
      <c r="K19" s="171"/>
      <c r="L19" s="299" t="s">
        <v>288</v>
      </c>
      <c r="M19" s="300"/>
      <c r="N19" s="177">
        <f>N17*N18</f>
        <v>0</v>
      </c>
      <c r="O19" s="23"/>
      <c r="P19" s="4"/>
      <c r="Q19" s="233"/>
      <c r="R19" s="4"/>
      <c r="S19" s="36" t="str">
        <f>B293</f>
        <v/>
      </c>
      <c r="T19" s="237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6">
        <f>'Données projet'!D18</f>
        <v>0</v>
      </c>
      <c r="V19" s="175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7" t="s">
        <v>132</v>
      </c>
      <c r="C20" s="196" t="s">
        <v>132</v>
      </c>
      <c r="D20" s="195" t="s">
        <v>132</v>
      </c>
      <c r="E20" s="191"/>
      <c r="F20" s="228"/>
      <c r="G20" s="302"/>
      <c r="H20" s="188"/>
      <c r="I20" s="189"/>
      <c r="J20" s="4"/>
      <c r="K20" s="171"/>
      <c r="O20" s="23"/>
      <c r="P20" s="4"/>
      <c r="Q20" s="233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7" t="s">
        <v>132</v>
      </c>
      <c r="C21" s="196" t="s">
        <v>132</v>
      </c>
      <c r="D21" s="195" t="s">
        <v>132</v>
      </c>
      <c r="E21" s="191"/>
      <c r="F21" s="228"/>
      <c r="H21" s="188"/>
      <c r="I21" s="189"/>
      <c r="K21" s="171"/>
      <c r="O21" s="23"/>
      <c r="P21" s="4"/>
      <c r="Q21" s="233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7" t="s">
        <v>132</v>
      </c>
      <c r="C22" s="196" t="s">
        <v>132</v>
      </c>
      <c r="D22" s="195" t="s">
        <v>132</v>
      </c>
      <c r="E22" s="191"/>
      <c r="F22" s="228"/>
      <c r="H22" s="188"/>
      <c r="I22" s="189"/>
      <c r="K22" s="171"/>
      <c r="O22" s="23"/>
      <c r="P22" s="4"/>
      <c r="Q22" s="233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78">
        <f>'Données projet'!A36</f>
        <v>5</v>
      </c>
      <c r="B23" s="179">
        <f>'Données projet'!D36</f>
        <v>0</v>
      </c>
      <c r="C23" s="191"/>
      <c r="D23" s="180">
        <f>B23*C23</f>
        <v>0</v>
      </c>
      <c r="E23" s="191"/>
      <c r="F23" s="228"/>
      <c r="H23" s="188"/>
      <c r="I23" s="189"/>
      <c r="K23" s="206"/>
      <c r="L23" s="301" t="s">
        <v>260</v>
      </c>
      <c r="M23" s="301"/>
      <c r="N23" s="301"/>
      <c r="O23" s="23"/>
      <c r="P23" s="23"/>
      <c r="Q23" s="232"/>
      <c r="R23" s="23"/>
      <c r="S23" s="36" t="s">
        <v>264</v>
      </c>
      <c r="T23" s="29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296"/>
      <c r="V23" s="29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78">
        <f>'Données projet'!A37</f>
        <v>10</v>
      </c>
      <c r="B24" s="179">
        <f>'Données projet'!D37</f>
        <v>0</v>
      </c>
      <c r="C24" s="191"/>
      <c r="D24" s="180">
        <f t="shared" ref="D24:D42" si="2">B24*C24</f>
        <v>0</v>
      </c>
      <c r="E24" s="191"/>
      <c r="F24" s="231"/>
      <c r="H24" s="188"/>
      <c r="I24" s="189"/>
      <c r="K24" s="206"/>
      <c r="O24" s="23"/>
      <c r="P24" s="23"/>
      <c r="Q24" s="232"/>
      <c r="R24" s="23"/>
      <c r="S24" s="36" t="s">
        <v>261</v>
      </c>
      <c r="T24" s="297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297"/>
      <c r="V24" s="29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78">
        <f>'Données projet'!A38</f>
        <v>15</v>
      </c>
      <c r="B25" s="179">
        <f>'Données projet'!D38</f>
        <v>0</v>
      </c>
      <c r="C25" s="191"/>
      <c r="D25" s="180">
        <f t="shared" si="2"/>
        <v>0</v>
      </c>
      <c r="E25" s="191"/>
      <c r="F25" s="231"/>
      <c r="H25" s="188"/>
      <c r="I25" s="189"/>
      <c r="K25" s="206"/>
      <c r="L25" s="128" t="s">
        <v>285</v>
      </c>
      <c r="M25" s="128"/>
      <c r="N25" s="128"/>
      <c r="O25" s="128"/>
      <c r="P25" s="190"/>
      <c r="Q25" s="232"/>
      <c r="R25" s="23"/>
      <c r="S25" s="184" t="s">
        <v>266</v>
      </c>
      <c r="T25" s="298">
        <f ca="1">T23-T24</f>
        <v>0</v>
      </c>
      <c r="U25" s="298"/>
      <c r="V25" s="29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78">
        <f>'Données projet'!A39</f>
        <v>20</v>
      </c>
      <c r="B26" s="179">
        <f>'Données projet'!D39</f>
        <v>0</v>
      </c>
      <c r="C26" s="191"/>
      <c r="D26" s="180">
        <f t="shared" si="2"/>
        <v>0</v>
      </c>
      <c r="E26" s="191"/>
      <c r="F26" s="231"/>
      <c r="G26" s="227"/>
      <c r="H26" s="188"/>
      <c r="I26" s="189"/>
      <c r="K26" s="206"/>
      <c r="L26" s="285" t="s">
        <v>258</v>
      </c>
      <c r="M26" s="286"/>
      <c r="N26" s="286"/>
      <c r="O26" s="286"/>
      <c r="P26" s="287"/>
      <c r="Q26" s="232"/>
      <c r="R26" s="23"/>
      <c r="S26" s="184" t="s">
        <v>265</v>
      </c>
      <c r="T26" s="295" t="str">
        <f ca="1">IF(T25&lt;0,"Votre projet est additionnel","Votre projet n'est pas additionnel")</f>
        <v>Votre projet n'est pas additionnel</v>
      </c>
      <c r="U26" s="295"/>
      <c r="V26" s="29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78">
        <f>'Données projet'!A40</f>
        <v>25</v>
      </c>
      <c r="B27" s="179">
        <f>'Données projet'!D40</f>
        <v>287.17948717948718</v>
      </c>
      <c r="C27" s="191"/>
      <c r="D27" s="180">
        <f t="shared" si="2"/>
        <v>0</v>
      </c>
      <c r="E27" s="191"/>
      <c r="F27" s="231"/>
      <c r="G27" s="227"/>
      <c r="H27" s="188"/>
      <c r="I27" s="189"/>
      <c r="K27" s="206"/>
      <c r="L27" s="288"/>
      <c r="M27" s="289"/>
      <c r="N27" s="289"/>
      <c r="O27" s="289"/>
      <c r="P27" s="290"/>
      <c r="Q27" s="232"/>
      <c r="R27" s="23"/>
      <c r="S27" s="294" t="s">
        <v>267</v>
      </c>
      <c r="T27" s="294"/>
      <c r="U27" s="294"/>
      <c r="V27" s="29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78">
        <f>'Données projet'!A41</f>
        <v>0</v>
      </c>
      <c r="B28" s="179">
        <f>'Données projet'!D41</f>
        <v>0</v>
      </c>
      <c r="C28" s="191"/>
      <c r="D28" s="180">
        <f t="shared" si="2"/>
        <v>0</v>
      </c>
      <c r="E28" s="191"/>
      <c r="F28" s="231"/>
      <c r="G28" s="203"/>
      <c r="H28" s="188"/>
      <c r="I28" s="189"/>
      <c r="K28" s="206"/>
      <c r="Q28" s="232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78">
        <f>'Données projet'!A42</f>
        <v>0</v>
      </c>
      <c r="B29" s="179">
        <f>'Données projet'!D42</f>
        <v>0</v>
      </c>
      <c r="C29" s="191"/>
      <c r="D29" s="180">
        <f t="shared" si="2"/>
        <v>0</v>
      </c>
      <c r="E29" s="191"/>
      <c r="F29" s="231"/>
      <c r="G29" s="201"/>
      <c r="H29" s="188"/>
      <c r="I29" s="189"/>
      <c r="K29" s="206"/>
      <c r="O29" s="23"/>
      <c r="P29" s="23"/>
      <c r="Q29" s="232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78">
        <f>'Données projet'!A43</f>
        <v>0</v>
      </c>
      <c r="B30" s="179">
        <f>'Données projet'!D43</f>
        <v>0</v>
      </c>
      <c r="C30" s="191"/>
      <c r="D30" s="180">
        <f t="shared" si="2"/>
        <v>0</v>
      </c>
      <c r="E30" s="191"/>
      <c r="F30" s="231"/>
      <c r="G30" s="201"/>
      <c r="H30" s="188"/>
      <c r="I30" s="189"/>
      <c r="K30" s="181"/>
      <c r="L30" s="36" t="s">
        <v>259</v>
      </c>
      <c r="M30" s="182">
        <f ca="1">SUM(OFFSET($P$33,0,0,MIN('Données projet'!$E$9:$E$18)+1,1))</f>
        <v>0</v>
      </c>
      <c r="O30" s="4"/>
      <c r="P30" s="4"/>
      <c r="Q30" s="233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78">
        <f>'Données projet'!A44</f>
        <v>0</v>
      </c>
      <c r="B31" s="179">
        <f>'Données projet'!D44</f>
        <v>0</v>
      </c>
      <c r="C31" s="191"/>
      <c r="D31" s="180">
        <f t="shared" si="2"/>
        <v>0</v>
      </c>
      <c r="E31" s="191"/>
      <c r="F31" s="231"/>
      <c r="G31" s="201"/>
      <c r="H31" s="188"/>
      <c r="I31" s="189"/>
      <c r="K31" s="171"/>
      <c r="Q31" s="232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78">
        <f>'Données projet'!A45</f>
        <v>0</v>
      </c>
      <c r="B32" s="179">
        <f>'Données projet'!D45</f>
        <v>0</v>
      </c>
      <c r="C32" s="191"/>
      <c r="D32" s="180">
        <f t="shared" si="2"/>
        <v>0</v>
      </c>
      <c r="E32" s="191"/>
      <c r="F32" s="231"/>
      <c r="G32" s="201"/>
      <c r="H32" s="188"/>
      <c r="I32" s="189"/>
      <c r="K32" s="171"/>
      <c r="N32" s="4"/>
      <c r="O32" s="84" t="s">
        <v>178</v>
      </c>
      <c r="P32" s="84" t="s">
        <v>252</v>
      </c>
      <c r="Q32" s="232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78">
        <f>'Données projet'!A46</f>
        <v>0</v>
      </c>
      <c r="B33" s="179">
        <f>'Données projet'!D46</f>
        <v>0</v>
      </c>
      <c r="C33" s="191"/>
      <c r="D33" s="180">
        <f t="shared" si="2"/>
        <v>0</v>
      </c>
      <c r="E33" s="191"/>
      <c r="F33" s="231"/>
      <c r="G33" s="201"/>
      <c r="H33" s="188"/>
      <c r="I33" s="189"/>
      <c r="K33" s="171"/>
      <c r="L33" s="4"/>
      <c r="M33" s="4"/>
      <c r="N33" s="4"/>
      <c r="O33" s="192">
        <v>0</v>
      </c>
      <c r="P33" s="183">
        <f t="shared" ref="P33:P64" si="3">$P$25/(1+$M$4)^O33</f>
        <v>0</v>
      </c>
      <c r="Q33" s="232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78">
        <f>'Données projet'!A47</f>
        <v>0</v>
      </c>
      <c r="B34" s="179">
        <f>'Données projet'!D47</f>
        <v>0</v>
      </c>
      <c r="C34" s="191"/>
      <c r="D34" s="180">
        <f t="shared" si="2"/>
        <v>0</v>
      </c>
      <c r="E34" s="191"/>
      <c r="F34" s="231"/>
      <c r="G34" s="201"/>
      <c r="H34" s="188"/>
      <c r="I34" s="189"/>
      <c r="K34" s="171"/>
      <c r="L34" s="96"/>
      <c r="M34" s="96"/>
      <c r="N34" s="248"/>
      <c r="O34" s="192">
        <f>IF(O33+1&lt;=MIN('Données projet'!$E$9:$E$18),O33+1,"STOP")</f>
        <v>1</v>
      </c>
      <c r="P34" s="183">
        <f t="shared" si="3"/>
        <v>0</v>
      </c>
      <c r="Q34" s="232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78">
        <f>'Données projet'!A48</f>
        <v>0</v>
      </c>
      <c r="B35" s="179">
        <f>'Données projet'!D48</f>
        <v>0</v>
      </c>
      <c r="C35" s="191"/>
      <c r="D35" s="180">
        <f t="shared" si="2"/>
        <v>0</v>
      </c>
      <c r="E35" s="191"/>
      <c r="F35" s="231"/>
      <c r="G35" s="201"/>
      <c r="H35" s="188"/>
      <c r="I35" s="189"/>
      <c r="K35" s="171"/>
      <c r="L35" s="96"/>
      <c r="M35" s="96"/>
      <c r="N35" s="248"/>
      <c r="O35" s="192">
        <f>IF(O34+1&lt;=MIN('Données projet'!$E$9:$E$18),O34+1,"STOP")</f>
        <v>2</v>
      </c>
      <c r="P35" s="183">
        <f t="shared" si="3"/>
        <v>0</v>
      </c>
      <c r="Q35" s="232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78">
        <f>'Données projet'!A49</f>
        <v>0</v>
      </c>
      <c r="B36" s="179">
        <f>'Données projet'!D49</f>
        <v>0</v>
      </c>
      <c r="C36" s="191"/>
      <c r="D36" s="180">
        <f t="shared" si="2"/>
        <v>0</v>
      </c>
      <c r="E36" s="191"/>
      <c r="F36" s="231"/>
      <c r="G36" s="201"/>
      <c r="H36" s="188"/>
      <c r="I36" s="189"/>
      <c r="K36" s="171"/>
      <c r="L36" s="23"/>
      <c r="M36" s="23"/>
      <c r="N36" s="23"/>
      <c r="O36" s="192">
        <f>IF(O35+1&lt;=MIN('Données projet'!$E$9:$E$18),O35+1,"STOP")</f>
        <v>3</v>
      </c>
      <c r="P36" s="183">
        <f t="shared" si="3"/>
        <v>0</v>
      </c>
      <c r="Q36" s="232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78">
        <f>'Données projet'!A50</f>
        <v>0</v>
      </c>
      <c r="B37" s="179">
        <f>'Données projet'!D50</f>
        <v>0</v>
      </c>
      <c r="C37" s="191"/>
      <c r="D37" s="180">
        <f t="shared" si="2"/>
        <v>0</v>
      </c>
      <c r="E37" s="191"/>
      <c r="F37" s="231"/>
      <c r="G37" s="201"/>
      <c r="H37" s="188"/>
      <c r="I37" s="189"/>
      <c r="K37" s="171"/>
      <c r="L37" s="23"/>
      <c r="M37" s="23"/>
      <c r="N37" s="23"/>
      <c r="O37" s="192">
        <f>IF(O36+1&lt;=MIN('Données projet'!$E$9:$E$18),O36+1,"STOP")</f>
        <v>4</v>
      </c>
      <c r="P37" s="183">
        <f t="shared" si="3"/>
        <v>0</v>
      </c>
      <c r="Q37" s="232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78">
        <f>'Données projet'!A51</f>
        <v>0</v>
      </c>
      <c r="B38" s="179">
        <f>'Données projet'!D51</f>
        <v>0</v>
      </c>
      <c r="C38" s="191"/>
      <c r="D38" s="180">
        <f t="shared" si="2"/>
        <v>0</v>
      </c>
      <c r="E38" s="191"/>
      <c r="F38" s="231"/>
      <c r="G38" s="201"/>
      <c r="H38" s="188"/>
      <c r="I38" s="189"/>
      <c r="K38" s="171"/>
      <c r="L38" s="23"/>
      <c r="M38" s="23"/>
      <c r="N38" s="23"/>
      <c r="O38" s="192">
        <f>IF(O37+1&lt;=MIN('Données projet'!$E$9:$E$18),O37+1,"STOP")</f>
        <v>5</v>
      </c>
      <c r="P38" s="183">
        <f t="shared" si="3"/>
        <v>0</v>
      </c>
      <c r="Q38" s="232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78">
        <f>'Données projet'!A52</f>
        <v>0</v>
      </c>
      <c r="B39" s="179">
        <f>'Données projet'!D52</f>
        <v>0</v>
      </c>
      <c r="C39" s="191"/>
      <c r="D39" s="180">
        <f t="shared" si="2"/>
        <v>0</v>
      </c>
      <c r="E39" s="191"/>
      <c r="F39" s="231"/>
      <c r="G39" s="201"/>
      <c r="H39" s="188"/>
      <c r="I39" s="189"/>
      <c r="K39" s="206"/>
      <c r="L39" s="23"/>
      <c r="M39" s="23"/>
      <c r="N39" s="23"/>
      <c r="O39" s="192">
        <f>IF(O38+1&lt;=MIN('Données projet'!$E$9:$E$18),O38+1,"STOP")</f>
        <v>6</v>
      </c>
      <c r="P39" s="183">
        <f t="shared" si="3"/>
        <v>0</v>
      </c>
      <c r="Q39" s="232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78">
        <f>'Données projet'!A53</f>
        <v>0</v>
      </c>
      <c r="B40" s="179">
        <f>'Données projet'!D53</f>
        <v>0</v>
      </c>
      <c r="C40" s="191"/>
      <c r="D40" s="180">
        <f t="shared" si="2"/>
        <v>0</v>
      </c>
      <c r="E40" s="191"/>
      <c r="F40" s="231"/>
      <c r="G40" s="201"/>
      <c r="H40" s="188"/>
      <c r="I40" s="189"/>
      <c r="K40" s="206"/>
      <c r="L40" s="23"/>
      <c r="M40" s="23"/>
      <c r="N40" s="23"/>
      <c r="O40" s="192">
        <f>IF(O39+1&lt;=MIN('Données projet'!$E$9:$E$18),O39+1,"STOP")</f>
        <v>7</v>
      </c>
      <c r="P40" s="183">
        <f t="shared" si="3"/>
        <v>0</v>
      </c>
      <c r="Q40" s="232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78">
        <f>'Données projet'!A54</f>
        <v>0</v>
      </c>
      <c r="B41" s="179">
        <f>'Données projet'!D54</f>
        <v>0</v>
      </c>
      <c r="C41" s="191"/>
      <c r="D41" s="180">
        <f t="shared" si="2"/>
        <v>0</v>
      </c>
      <c r="E41" s="191"/>
      <c r="F41" s="231"/>
      <c r="G41" s="201"/>
      <c r="H41" s="188"/>
      <c r="I41" s="189"/>
      <c r="K41" s="206"/>
      <c r="L41" s="23"/>
      <c r="M41" s="23"/>
      <c r="N41" s="23"/>
      <c r="O41" s="192">
        <f>IF(O40+1&lt;=MIN('Données projet'!$E$9:$E$18),O40+1,"STOP")</f>
        <v>8</v>
      </c>
      <c r="P41" s="183">
        <f t="shared" si="3"/>
        <v>0</v>
      </c>
      <c r="Q41" s="232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78">
        <f>'Données projet'!A55</f>
        <v>0</v>
      </c>
      <c r="B42" s="179">
        <f>'Données projet'!D55</f>
        <v>0</v>
      </c>
      <c r="C42" s="191"/>
      <c r="D42" s="180">
        <f t="shared" si="2"/>
        <v>0</v>
      </c>
      <c r="E42" s="191"/>
      <c r="F42" s="231"/>
      <c r="G42" s="201"/>
      <c r="H42" s="188"/>
      <c r="I42" s="189"/>
      <c r="K42" s="206"/>
      <c r="L42" s="23"/>
      <c r="M42" s="23"/>
      <c r="N42" s="23"/>
      <c r="O42" s="192">
        <f>IF(O41+1&lt;=MIN('Données projet'!$E$9:$E$18),O41+1,"STOP")</f>
        <v>9</v>
      </c>
      <c r="P42" s="183">
        <f t="shared" si="3"/>
        <v>0</v>
      </c>
      <c r="Q42" s="232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5"/>
      <c r="B43" s="185"/>
      <c r="C43" s="185"/>
      <c r="D43" s="225"/>
      <c r="E43" s="225"/>
      <c r="F43" s="236"/>
      <c r="G43" s="201"/>
      <c r="H43" s="188"/>
      <c r="I43" s="189"/>
      <c r="K43" s="206"/>
      <c r="L43" s="23"/>
      <c r="M43" s="23"/>
      <c r="N43" s="23"/>
      <c r="O43" s="192">
        <f>IF(O42+1&lt;=MIN('Données projet'!$E$9:$E$18),O42+1,"STOP")</f>
        <v>10</v>
      </c>
      <c r="P43" s="183">
        <f t="shared" si="3"/>
        <v>0</v>
      </c>
      <c r="Q43" s="233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28"/>
      <c r="G44" s="201"/>
      <c r="H44" s="188"/>
      <c r="I44" s="189"/>
      <c r="K44" s="206"/>
      <c r="L44" s="23"/>
      <c r="M44" s="23"/>
      <c r="N44" s="23"/>
      <c r="O44" s="192">
        <f>IF(O43+1&lt;=MIN('Données projet'!$E$9:$E$18),O43+1,"STOP")</f>
        <v>11</v>
      </c>
      <c r="P44" s="183">
        <f t="shared" si="3"/>
        <v>0</v>
      </c>
      <c r="Q44" s="233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2" t="str">
        <f>IF('Données projet'!$B$10="","",'Données projet'!$B$10)</f>
        <v>Peuplier Raspalje</v>
      </c>
      <c r="C45" s="4"/>
      <c r="D45" s="4"/>
      <c r="E45" s="4"/>
      <c r="F45" s="228"/>
      <c r="G45" s="201"/>
      <c r="H45" s="188"/>
      <c r="I45" s="189"/>
      <c r="J45" s="23"/>
      <c r="K45" s="206"/>
      <c r="L45" s="23"/>
      <c r="M45" s="23"/>
      <c r="N45" s="23"/>
      <c r="O45" s="192">
        <f>IF(O44+1&lt;=MIN('Données projet'!$E$9:$E$18),O44+1,"STOP")</f>
        <v>12</v>
      </c>
      <c r="P45" s="183">
        <f t="shared" si="3"/>
        <v>0</v>
      </c>
      <c r="Q45" s="233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28"/>
      <c r="G46" s="201"/>
      <c r="H46" s="188"/>
      <c r="I46" s="189"/>
      <c r="J46" s="23"/>
      <c r="K46" s="206"/>
      <c r="L46" s="202"/>
      <c r="M46" s="202"/>
      <c r="N46" s="202"/>
      <c r="O46" s="192">
        <f>IF(O45+1&lt;=MIN('Données projet'!$E$9:$E$18),O45+1,"STOP")</f>
        <v>13</v>
      </c>
      <c r="P46" s="186">
        <f t="shared" si="3"/>
        <v>0</v>
      </c>
      <c r="Q46" s="233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29"/>
      <c r="G47" s="201"/>
      <c r="H47" s="188"/>
      <c r="I47" s="189"/>
      <c r="J47" s="23"/>
      <c r="K47" s="206"/>
      <c r="L47" s="4"/>
      <c r="M47" s="4"/>
      <c r="N47" s="4"/>
      <c r="O47" s="192">
        <f>IF(O46+1&lt;=MIN('Données projet'!$E$9:$E$18),O46+1,"STOP")</f>
        <v>14</v>
      </c>
      <c r="P47" s="183">
        <f t="shared" si="3"/>
        <v>0</v>
      </c>
      <c r="Q47" s="233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7" t="s">
        <v>132</v>
      </c>
      <c r="C48" s="196" t="s">
        <v>132</v>
      </c>
      <c r="D48" s="195" t="s">
        <v>132</v>
      </c>
      <c r="E48" s="191"/>
      <c r="F48" s="229"/>
      <c r="G48" s="201"/>
      <c r="H48" s="188"/>
      <c r="I48" s="189"/>
      <c r="J48" s="23"/>
      <c r="K48" s="206"/>
      <c r="L48" s="4"/>
      <c r="M48" s="4"/>
      <c r="N48" s="4"/>
      <c r="O48" s="192">
        <f>IF(O47+1&lt;=MIN('Données projet'!$E$9:$E$18),O47+1,"STOP")</f>
        <v>15</v>
      </c>
      <c r="P48" s="183">
        <f t="shared" si="3"/>
        <v>0</v>
      </c>
      <c r="Q48" s="233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3" customFormat="1" ht="17.25" customHeight="1" x14ac:dyDescent="0.3">
      <c r="A49" s="49">
        <v>1</v>
      </c>
      <c r="B49" s="197" t="s">
        <v>132</v>
      </c>
      <c r="C49" s="196" t="s">
        <v>132</v>
      </c>
      <c r="D49" s="195" t="s">
        <v>132</v>
      </c>
      <c r="E49" s="191"/>
      <c r="F49" s="229"/>
      <c r="G49" s="202"/>
      <c r="H49" s="188"/>
      <c r="I49" s="189"/>
      <c r="J49" s="202"/>
      <c r="K49" s="208"/>
      <c r="L49" s="4"/>
      <c r="M49" s="4"/>
      <c r="N49" s="4"/>
      <c r="O49" s="192">
        <f>IF(O48+1&lt;=MIN('Données projet'!$E$9:$E$18),O48+1,"STOP")</f>
        <v>16</v>
      </c>
      <c r="P49" s="183">
        <f t="shared" si="3"/>
        <v>0</v>
      </c>
      <c r="Q49" s="234"/>
      <c r="R49" s="185"/>
      <c r="S49" s="185"/>
      <c r="T49" s="185"/>
      <c r="U49" s="185"/>
      <c r="V49" s="185"/>
      <c r="W49" s="185"/>
      <c r="X49" s="185"/>
      <c r="Y49" s="185"/>
      <c r="Z49" s="185"/>
      <c r="AA49" s="185"/>
      <c r="AB49" s="185"/>
      <c r="AC49" s="185"/>
      <c r="AD49" s="185"/>
      <c r="AE49" s="185"/>
      <c r="AF49" s="185"/>
      <c r="AG49" s="185"/>
      <c r="AH49" s="185"/>
      <c r="AI49" s="185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</row>
    <row r="50" spans="1:56" x14ac:dyDescent="0.3">
      <c r="A50" s="49">
        <v>2</v>
      </c>
      <c r="B50" s="197" t="s">
        <v>132</v>
      </c>
      <c r="C50" s="196" t="s">
        <v>132</v>
      </c>
      <c r="D50" s="195" t="s">
        <v>132</v>
      </c>
      <c r="E50" s="191"/>
      <c r="F50" s="229"/>
      <c r="G50" s="23"/>
      <c r="H50" s="188"/>
      <c r="I50" s="189"/>
      <c r="J50" s="23"/>
      <c r="K50" s="171"/>
      <c r="L50" s="4"/>
      <c r="M50" s="4"/>
      <c r="N50" s="4"/>
      <c r="O50" s="192">
        <f>IF(O49+1&lt;=MIN('Données projet'!$E$9:$E$18),O49+1,"STOP")</f>
        <v>17</v>
      </c>
      <c r="P50" s="183">
        <f t="shared" si="3"/>
        <v>0</v>
      </c>
      <c r="Q50" s="233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7" t="s">
        <v>132</v>
      </c>
      <c r="C51" s="196" t="s">
        <v>132</v>
      </c>
      <c r="D51" s="195" t="s">
        <v>132</v>
      </c>
      <c r="E51" s="191"/>
      <c r="F51" s="229"/>
      <c r="G51" s="23"/>
      <c r="H51" s="188"/>
      <c r="I51" s="189"/>
      <c r="J51" s="23"/>
      <c r="K51" s="171"/>
      <c r="L51" s="4"/>
      <c r="M51" s="4"/>
      <c r="N51" s="4"/>
      <c r="O51" s="192">
        <f>IF(O50+1&lt;=MIN('Données projet'!$E$9:$E$18),O50+1,"STOP")</f>
        <v>18</v>
      </c>
      <c r="P51" s="183">
        <f t="shared" si="3"/>
        <v>0</v>
      </c>
      <c r="Q51" s="233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7" t="s">
        <v>132</v>
      </c>
      <c r="C52" s="196" t="s">
        <v>132</v>
      </c>
      <c r="D52" s="195" t="s">
        <v>132</v>
      </c>
      <c r="E52" s="191"/>
      <c r="F52" s="229"/>
      <c r="G52" s="23"/>
      <c r="H52" s="188"/>
      <c r="I52" s="189"/>
      <c r="J52" s="23"/>
      <c r="K52" s="171"/>
      <c r="L52" s="4"/>
      <c r="M52" s="4"/>
      <c r="N52" s="4"/>
      <c r="O52" s="192">
        <f>IF(O51+1&lt;=MIN('Données projet'!$E$9:$E$18),O51+1,"STOP")</f>
        <v>19</v>
      </c>
      <c r="P52" s="183">
        <f t="shared" si="3"/>
        <v>0</v>
      </c>
      <c r="Q52" s="233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7" t="s">
        <v>132</v>
      </c>
      <c r="C53" s="196" t="s">
        <v>132</v>
      </c>
      <c r="D53" s="195" t="s">
        <v>132</v>
      </c>
      <c r="E53" s="191"/>
      <c r="F53" s="229"/>
      <c r="G53" s="203"/>
      <c r="H53" s="188"/>
      <c r="I53" s="189"/>
      <c r="J53" s="23"/>
      <c r="K53" s="171"/>
      <c r="L53" s="4"/>
      <c r="M53" s="4"/>
      <c r="N53" s="4"/>
      <c r="O53" s="192">
        <f>IF(O52+1&lt;=MIN('Données projet'!$E$9:$E$18),O52+1,"STOP")</f>
        <v>20</v>
      </c>
      <c r="P53" s="183">
        <f t="shared" si="3"/>
        <v>0</v>
      </c>
      <c r="Q53" s="233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78">
        <f>'Données projet'!A62</f>
        <v>5</v>
      </c>
      <c r="B54" s="179">
        <f>'Données projet'!D62</f>
        <v>0</v>
      </c>
      <c r="C54" s="189"/>
      <c r="D54" s="177">
        <f>B54*C54</f>
        <v>0</v>
      </c>
      <c r="E54" s="191"/>
      <c r="F54" s="230"/>
      <c r="G54" s="203"/>
      <c r="H54" s="188"/>
      <c r="I54" s="189"/>
      <c r="J54" s="23"/>
      <c r="K54" s="171"/>
      <c r="L54" s="4"/>
      <c r="M54" s="4"/>
      <c r="N54" s="4"/>
      <c r="O54" s="192">
        <f>IF(O53+1&lt;=MIN('Données projet'!$E$9:$E$18),O53+1,"STOP")</f>
        <v>21</v>
      </c>
      <c r="P54" s="183">
        <f t="shared" si="3"/>
        <v>0</v>
      </c>
      <c r="Q54" s="233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78">
        <f>'Données projet'!A63</f>
        <v>10</v>
      </c>
      <c r="B55" s="179">
        <f>'Données projet'!D63</f>
        <v>0</v>
      </c>
      <c r="C55" s="189"/>
      <c r="D55" s="177">
        <f t="shared" ref="D55:D73" si="4">B55*C55</f>
        <v>0</v>
      </c>
      <c r="E55" s="191"/>
      <c r="F55" s="230"/>
      <c r="G55" s="203"/>
      <c r="H55" s="188"/>
      <c r="I55" s="189"/>
      <c r="J55" s="23"/>
      <c r="K55" s="171"/>
      <c r="L55" s="4"/>
      <c r="M55" s="4"/>
      <c r="N55" s="4"/>
      <c r="O55" s="192">
        <f>IF(O54+1&lt;=MIN('Données projet'!$E$9:$E$18),O54+1,"STOP")</f>
        <v>22</v>
      </c>
      <c r="P55" s="183">
        <f t="shared" si="3"/>
        <v>0</v>
      </c>
      <c r="Q55" s="233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78">
        <f>'Données projet'!A64</f>
        <v>15</v>
      </c>
      <c r="B56" s="179">
        <f>'Données projet'!D64</f>
        <v>0</v>
      </c>
      <c r="C56" s="189"/>
      <c r="D56" s="177">
        <f t="shared" si="4"/>
        <v>0</v>
      </c>
      <c r="E56" s="191"/>
      <c r="F56" s="230"/>
      <c r="G56" s="203"/>
      <c r="H56" s="188"/>
      <c r="I56" s="189"/>
      <c r="J56" s="23"/>
      <c r="K56" s="171"/>
      <c r="L56" s="4"/>
      <c r="M56" s="4"/>
      <c r="N56" s="4"/>
      <c r="O56" s="192">
        <f>IF(O55+1&lt;=MIN('Données projet'!$E$9:$E$18),O55+1,"STOP")</f>
        <v>23</v>
      </c>
      <c r="P56" s="183">
        <f t="shared" si="3"/>
        <v>0</v>
      </c>
      <c r="Q56" s="233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78">
        <f>'Données projet'!A65</f>
        <v>20</v>
      </c>
      <c r="B57" s="179">
        <f>'Données projet'!D65</f>
        <v>0</v>
      </c>
      <c r="C57" s="189"/>
      <c r="D57" s="177">
        <f t="shared" si="4"/>
        <v>0</v>
      </c>
      <c r="E57" s="191"/>
      <c r="F57" s="230"/>
      <c r="G57" s="203"/>
      <c r="H57" s="188"/>
      <c r="I57" s="189"/>
      <c r="J57" s="23"/>
      <c r="K57" s="171"/>
      <c r="L57" s="4"/>
      <c r="M57" s="4"/>
      <c r="N57" s="4"/>
      <c r="O57" s="192">
        <f>IF(O56+1&lt;=MIN('Données projet'!$E$9:$E$18),O56+1,"STOP")</f>
        <v>24</v>
      </c>
      <c r="P57" s="183">
        <f t="shared" si="3"/>
        <v>0</v>
      </c>
      <c r="Q57" s="233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78">
        <f>'Données projet'!A66</f>
        <v>25</v>
      </c>
      <c r="B58" s="179">
        <f>'Données projet'!D66</f>
        <v>287.17948717948718</v>
      </c>
      <c r="C58" s="189"/>
      <c r="D58" s="177">
        <f t="shared" si="4"/>
        <v>0</v>
      </c>
      <c r="E58" s="191"/>
      <c r="F58" s="230"/>
      <c r="G58" s="203"/>
      <c r="H58" s="188"/>
      <c r="I58" s="189"/>
      <c r="J58" s="23"/>
      <c r="K58" s="171"/>
      <c r="L58" s="4"/>
      <c r="M58" s="4"/>
      <c r="N58" s="4"/>
      <c r="O58" s="192">
        <f>IF(O57+1&lt;=MIN('Données projet'!$E$9:$E$18),O57+1,"STOP")</f>
        <v>25</v>
      </c>
      <c r="P58" s="183">
        <f t="shared" si="3"/>
        <v>0</v>
      </c>
      <c r="Q58" s="233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78">
        <f>'Données projet'!A67</f>
        <v>0</v>
      </c>
      <c r="B59" s="179">
        <f>'Données projet'!D67</f>
        <v>0</v>
      </c>
      <c r="C59" s="189"/>
      <c r="D59" s="177">
        <f t="shared" si="4"/>
        <v>0</v>
      </c>
      <c r="E59" s="191"/>
      <c r="F59" s="230"/>
      <c r="G59" s="203"/>
      <c r="H59" s="188"/>
      <c r="I59" s="189"/>
      <c r="J59" s="23"/>
      <c r="K59" s="171"/>
      <c r="L59" s="4"/>
      <c r="M59" s="4"/>
      <c r="N59" s="4"/>
      <c r="O59" s="192" t="str">
        <f>IF(O58+1&lt;=MIN('Données projet'!$E$9:$E$18),O58+1,"STOP")</f>
        <v>STOP</v>
      </c>
      <c r="P59" s="183" t="e">
        <f t="shared" si="3"/>
        <v>#VALUE!</v>
      </c>
      <c r="Q59" s="233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78">
        <f>'Données projet'!A68</f>
        <v>0</v>
      </c>
      <c r="B60" s="179">
        <f>'Données projet'!D68</f>
        <v>0</v>
      </c>
      <c r="C60" s="189"/>
      <c r="D60" s="177">
        <f t="shared" si="4"/>
        <v>0</v>
      </c>
      <c r="E60" s="191"/>
      <c r="F60" s="230"/>
      <c r="G60" s="204"/>
      <c r="H60" s="188"/>
      <c r="I60" s="189"/>
      <c r="J60" s="23"/>
      <c r="K60" s="171"/>
      <c r="L60" s="4"/>
      <c r="M60" s="4"/>
      <c r="N60" s="4"/>
      <c r="O60" s="192" t="e">
        <f>IF(O59+1&lt;=MIN('Données projet'!$E$9:$E$18),O59+1,"STOP")</f>
        <v>#VALUE!</v>
      </c>
      <c r="P60" s="183" t="e">
        <f t="shared" si="3"/>
        <v>#VALUE!</v>
      </c>
      <c r="Q60" s="233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78">
        <f>'Données projet'!A69</f>
        <v>0</v>
      </c>
      <c r="B61" s="179">
        <f>'Données projet'!D69</f>
        <v>0</v>
      </c>
      <c r="C61" s="189"/>
      <c r="D61" s="177">
        <f t="shared" si="4"/>
        <v>0</v>
      </c>
      <c r="E61" s="191"/>
      <c r="F61" s="230"/>
      <c r="G61" s="204"/>
      <c r="H61" s="188"/>
      <c r="I61" s="189"/>
      <c r="J61" s="23"/>
      <c r="K61" s="171"/>
      <c r="L61" s="4"/>
      <c r="M61" s="4"/>
      <c r="N61" s="4"/>
      <c r="O61" s="192" t="e">
        <f>IF(O60+1&lt;=MIN('Données projet'!$E$9:$E$18),O60+1,"STOP")</f>
        <v>#VALUE!</v>
      </c>
      <c r="P61" s="183" t="e">
        <f t="shared" si="3"/>
        <v>#VALUE!</v>
      </c>
      <c r="Q61" s="233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78">
        <f>'Données projet'!A70</f>
        <v>0</v>
      </c>
      <c r="B62" s="179">
        <f>'Données projet'!D70</f>
        <v>0</v>
      </c>
      <c r="C62" s="189"/>
      <c r="D62" s="177">
        <f t="shared" si="4"/>
        <v>0</v>
      </c>
      <c r="E62" s="191"/>
      <c r="F62" s="230"/>
      <c r="G62" s="204"/>
      <c r="H62" s="188"/>
      <c r="I62" s="189"/>
      <c r="J62" s="23"/>
      <c r="K62" s="171"/>
      <c r="L62" s="4"/>
      <c r="M62" s="4"/>
      <c r="N62" s="4"/>
      <c r="O62" s="192" t="e">
        <f>IF(O61+1&lt;=MIN('Données projet'!$E$9:$E$18),O61+1,"STOP")</f>
        <v>#VALUE!</v>
      </c>
      <c r="P62" s="183" t="e">
        <f t="shared" si="3"/>
        <v>#VALUE!</v>
      </c>
      <c r="Q62" s="233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78">
        <f>'Données projet'!A71</f>
        <v>0</v>
      </c>
      <c r="B63" s="179">
        <f>'Données projet'!D71</f>
        <v>0</v>
      </c>
      <c r="C63" s="189"/>
      <c r="D63" s="177">
        <f t="shared" si="4"/>
        <v>0</v>
      </c>
      <c r="E63" s="191"/>
      <c r="F63" s="230"/>
      <c r="G63" s="204"/>
      <c r="H63" s="188"/>
      <c r="I63" s="189"/>
      <c r="J63" s="23"/>
      <c r="K63" s="171"/>
      <c r="L63" s="4"/>
      <c r="M63" s="4"/>
      <c r="N63" s="4"/>
      <c r="O63" s="192" t="e">
        <f>IF(O62+1&lt;=MIN('Données projet'!$E$9:$E$18),O62+1,"STOP")</f>
        <v>#VALUE!</v>
      </c>
      <c r="P63" s="183" t="e">
        <f t="shared" si="3"/>
        <v>#VALUE!</v>
      </c>
      <c r="Q63" s="233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78">
        <f>'Données projet'!A72</f>
        <v>0</v>
      </c>
      <c r="B64" s="179">
        <f>'Données projet'!D72</f>
        <v>0</v>
      </c>
      <c r="C64" s="189"/>
      <c r="D64" s="177">
        <f t="shared" si="4"/>
        <v>0</v>
      </c>
      <c r="E64" s="191"/>
      <c r="F64" s="230"/>
      <c r="G64" s="204"/>
      <c r="H64" s="188"/>
      <c r="I64" s="189"/>
      <c r="J64" s="205"/>
      <c r="K64" s="171"/>
      <c r="L64" s="4"/>
      <c r="M64" s="4"/>
      <c r="N64" s="4"/>
      <c r="O64" s="192" t="e">
        <f>IF(O63+1&lt;=MIN('Données projet'!$E$9:$E$18),O63+1,"STOP")</f>
        <v>#VALUE!</v>
      </c>
      <c r="P64" s="183" t="e">
        <f t="shared" si="3"/>
        <v>#VALUE!</v>
      </c>
      <c r="Q64" s="233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78">
        <f>'Données projet'!A73</f>
        <v>0</v>
      </c>
      <c r="B65" s="179">
        <f>'Données projet'!D73</f>
        <v>0</v>
      </c>
      <c r="C65" s="189"/>
      <c r="D65" s="177">
        <f t="shared" si="4"/>
        <v>0</v>
      </c>
      <c r="E65" s="191"/>
      <c r="F65" s="230"/>
      <c r="G65" s="204"/>
      <c r="H65" s="188"/>
      <c r="I65" s="189"/>
      <c r="J65" s="187"/>
      <c r="K65" s="171"/>
      <c r="L65" s="4"/>
      <c r="M65" s="4"/>
      <c r="N65" s="4"/>
      <c r="O65" s="192" t="e">
        <f>IF(O64+1&lt;=MIN('Données projet'!$E$9:$E$18),O64+1,"STOP")</f>
        <v>#VALUE!</v>
      </c>
      <c r="P65" s="183" t="e">
        <f t="shared" ref="P65:P96" si="5">$P$25/(1+$M$4)^O65</f>
        <v>#VALUE!</v>
      </c>
      <c r="Q65" s="233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78">
        <f>'Données projet'!A74</f>
        <v>0</v>
      </c>
      <c r="B66" s="179">
        <f>'Données projet'!D74</f>
        <v>0</v>
      </c>
      <c r="C66" s="189"/>
      <c r="D66" s="177">
        <f t="shared" si="4"/>
        <v>0</v>
      </c>
      <c r="E66" s="191"/>
      <c r="F66" s="230"/>
      <c r="G66" s="204"/>
      <c r="H66" s="188"/>
      <c r="I66" s="189"/>
      <c r="J66" s="187"/>
      <c r="K66" s="171"/>
      <c r="L66" s="4"/>
      <c r="M66" s="4"/>
      <c r="N66" s="4"/>
      <c r="O66" s="192" t="e">
        <f>IF(O65+1&lt;=MIN('Données projet'!$E$9:$E$18),O65+1,"STOP")</f>
        <v>#VALUE!</v>
      </c>
      <c r="P66" s="183" t="e">
        <f t="shared" si="5"/>
        <v>#VALUE!</v>
      </c>
      <c r="Q66" s="233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78">
        <f>'Données projet'!A75</f>
        <v>0</v>
      </c>
      <c r="B67" s="179">
        <f>'Données projet'!D75</f>
        <v>0</v>
      </c>
      <c r="C67" s="189"/>
      <c r="D67" s="177">
        <f t="shared" si="4"/>
        <v>0</v>
      </c>
      <c r="E67" s="191"/>
      <c r="F67" s="230"/>
      <c r="G67" s="204"/>
      <c r="H67" s="188"/>
      <c r="I67" s="189"/>
      <c r="J67" s="187"/>
      <c r="K67" s="171"/>
      <c r="L67" s="4"/>
      <c r="M67" s="4"/>
      <c r="N67" s="4"/>
      <c r="O67" s="192" t="e">
        <f>IF(O66+1&lt;=MIN('Données projet'!$E$9:$E$18),O66+1,"STOP")</f>
        <v>#VALUE!</v>
      </c>
      <c r="P67" s="183" t="e">
        <f t="shared" si="5"/>
        <v>#VALUE!</v>
      </c>
      <c r="Q67" s="233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78">
        <f>'Données projet'!A76</f>
        <v>0</v>
      </c>
      <c r="B68" s="179">
        <f>'Données projet'!D76</f>
        <v>0</v>
      </c>
      <c r="C68" s="189"/>
      <c r="D68" s="177">
        <f t="shared" si="4"/>
        <v>0</v>
      </c>
      <c r="E68" s="191"/>
      <c r="F68" s="230"/>
      <c r="G68" s="204"/>
      <c r="H68" s="188"/>
      <c r="I68" s="189"/>
      <c r="J68" s="187"/>
      <c r="K68" s="171"/>
      <c r="L68" s="4"/>
      <c r="M68" s="4"/>
      <c r="N68" s="4"/>
      <c r="O68" s="192" t="e">
        <f>IF(O67+1&lt;=MIN('Données projet'!$E$9:$E$18),O67+1,"STOP")</f>
        <v>#VALUE!</v>
      </c>
      <c r="P68" s="183" t="e">
        <f t="shared" si="5"/>
        <v>#VALUE!</v>
      </c>
      <c r="Q68" s="233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78">
        <f>'Données projet'!A77</f>
        <v>0</v>
      </c>
      <c r="B69" s="179">
        <f>'Données projet'!D77</f>
        <v>0</v>
      </c>
      <c r="C69" s="189"/>
      <c r="D69" s="177">
        <f t="shared" si="4"/>
        <v>0</v>
      </c>
      <c r="E69" s="191"/>
      <c r="F69" s="230"/>
      <c r="G69" s="204"/>
      <c r="H69" s="188"/>
      <c r="I69" s="189"/>
      <c r="J69" s="187"/>
      <c r="K69" s="171"/>
      <c r="L69" s="4"/>
      <c r="M69" s="4"/>
      <c r="N69" s="4"/>
      <c r="O69" s="192" t="e">
        <f>IF(O68+1&lt;=MIN('Données projet'!$E$9:$E$18),O68+1,"STOP")</f>
        <v>#VALUE!</v>
      </c>
      <c r="P69" s="183" t="e">
        <f t="shared" si="5"/>
        <v>#VALUE!</v>
      </c>
      <c r="Q69" s="233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78">
        <f>'Données projet'!A78</f>
        <v>0</v>
      </c>
      <c r="B70" s="179">
        <f>'Données projet'!D78</f>
        <v>0</v>
      </c>
      <c r="C70" s="189"/>
      <c r="D70" s="177">
        <f t="shared" si="4"/>
        <v>0</v>
      </c>
      <c r="E70" s="191"/>
      <c r="F70" s="230"/>
      <c r="G70" s="204"/>
      <c r="H70" s="188"/>
      <c r="I70" s="189"/>
      <c r="J70" s="187"/>
      <c r="K70" s="171"/>
      <c r="L70" s="4"/>
      <c r="M70" s="4"/>
      <c r="N70" s="4"/>
      <c r="O70" s="192" t="e">
        <f>IF(O69+1&lt;=MIN('Données projet'!$E$9:$E$18),O69+1,"STOP")</f>
        <v>#VALUE!</v>
      </c>
      <c r="P70" s="183" t="e">
        <f t="shared" si="5"/>
        <v>#VALUE!</v>
      </c>
      <c r="Q70" s="233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78">
        <f>'Données projet'!A79</f>
        <v>0</v>
      </c>
      <c r="B71" s="179">
        <f>'Données projet'!D79</f>
        <v>0</v>
      </c>
      <c r="C71" s="189"/>
      <c r="D71" s="177">
        <f t="shared" si="4"/>
        <v>0</v>
      </c>
      <c r="E71" s="191"/>
      <c r="F71" s="230"/>
      <c r="G71" s="204"/>
      <c r="H71" s="188"/>
      <c r="I71" s="189"/>
      <c r="J71" s="187"/>
      <c r="K71" s="171"/>
      <c r="L71" s="4"/>
      <c r="M71" s="4"/>
      <c r="N71" s="4"/>
      <c r="O71" s="192" t="e">
        <f>IF(O70+1&lt;=MIN('Données projet'!$E$9:$E$18),O70+1,"STOP")</f>
        <v>#VALUE!</v>
      </c>
      <c r="P71" s="183" t="e">
        <f t="shared" si="5"/>
        <v>#VALUE!</v>
      </c>
      <c r="Q71" s="233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78">
        <f>'Données projet'!A80</f>
        <v>0</v>
      </c>
      <c r="B72" s="179">
        <f>'Données projet'!D80</f>
        <v>0</v>
      </c>
      <c r="C72" s="189"/>
      <c r="D72" s="177">
        <f t="shared" si="4"/>
        <v>0</v>
      </c>
      <c r="E72" s="191"/>
      <c r="F72" s="230"/>
      <c r="G72" s="204"/>
      <c r="H72" s="188"/>
      <c r="I72" s="189"/>
      <c r="J72" s="4"/>
      <c r="K72" s="171"/>
      <c r="L72" s="4"/>
      <c r="M72" s="4"/>
      <c r="N72" s="4"/>
      <c r="O72" s="192" t="e">
        <f>IF(O71+1&lt;=MIN('Données projet'!$E$9:$E$18),O71+1,"STOP")</f>
        <v>#VALUE!</v>
      </c>
      <c r="P72" s="183" t="e">
        <f t="shared" si="5"/>
        <v>#VALUE!</v>
      </c>
      <c r="Q72" s="233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78">
        <f>'Données projet'!A81</f>
        <v>0</v>
      </c>
      <c r="B73" s="179">
        <f>'Données projet'!D81</f>
        <v>0</v>
      </c>
      <c r="C73" s="189"/>
      <c r="D73" s="177">
        <f t="shared" si="4"/>
        <v>0</v>
      </c>
      <c r="E73" s="191"/>
      <c r="F73" s="230"/>
      <c r="G73" s="204"/>
      <c r="H73" s="188"/>
      <c r="I73" s="189"/>
      <c r="J73" s="4"/>
      <c r="K73" s="171"/>
      <c r="L73" s="4"/>
      <c r="M73" s="4"/>
      <c r="N73" s="4"/>
      <c r="O73" s="192" t="e">
        <f>IF(O72+1&lt;=MIN('Données projet'!$E$9:$E$18),O72+1,"STOP")</f>
        <v>#VALUE!</v>
      </c>
      <c r="P73" s="183" t="e">
        <f t="shared" si="5"/>
        <v>#VALUE!</v>
      </c>
      <c r="Q73" s="233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28"/>
      <c r="G74" s="204"/>
      <c r="H74" s="188"/>
      <c r="I74" s="189"/>
      <c r="J74" s="4"/>
      <c r="K74" s="171"/>
      <c r="L74" s="4"/>
      <c r="M74" s="4"/>
      <c r="N74" s="4"/>
      <c r="O74" s="192" t="e">
        <f>IF(O73+1&lt;=MIN('Données projet'!$E$9:$E$18),O73+1,"STOP")</f>
        <v>#VALUE!</v>
      </c>
      <c r="P74" s="183" t="e">
        <f t="shared" si="5"/>
        <v>#VALUE!</v>
      </c>
      <c r="Q74" s="233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28"/>
      <c r="G75" s="204"/>
      <c r="H75" s="188"/>
      <c r="I75" s="189"/>
      <c r="J75" s="4"/>
      <c r="K75" s="171"/>
      <c r="L75" s="4"/>
      <c r="M75" s="4"/>
      <c r="N75" s="4"/>
      <c r="O75" s="192" t="e">
        <f>IF(O74+1&lt;=MIN('Données projet'!$E$9:$E$18),O74+1,"STOP")</f>
        <v>#VALUE!</v>
      </c>
      <c r="P75" s="183" t="e">
        <f t="shared" si="5"/>
        <v>#VALUE!</v>
      </c>
      <c r="Q75" s="233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2" t="str">
        <f>IF('Données projet'!B11="","",'Données projet'!B11)</f>
        <v>Chêne chevelu</v>
      </c>
      <c r="C76" s="4"/>
      <c r="D76" s="4"/>
      <c r="E76" s="4"/>
      <c r="F76" s="228"/>
      <c r="G76" s="204"/>
      <c r="H76" s="188"/>
      <c r="I76" s="189"/>
      <c r="J76" s="4"/>
      <c r="K76" s="171"/>
      <c r="L76" s="4"/>
      <c r="M76" s="4"/>
      <c r="N76" s="4"/>
      <c r="O76" s="192" t="e">
        <f>IF(O75+1&lt;=MIN('Données projet'!$E$9:$E$18),O75+1,"STOP")</f>
        <v>#VALUE!</v>
      </c>
      <c r="P76" s="183" t="e">
        <f t="shared" si="5"/>
        <v>#VALUE!</v>
      </c>
      <c r="Q76" s="233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28"/>
      <c r="G77" s="204"/>
      <c r="H77" s="188"/>
      <c r="I77" s="189"/>
      <c r="J77" s="4"/>
      <c r="K77" s="171"/>
      <c r="L77" s="4"/>
      <c r="M77" s="4"/>
      <c r="N77" s="4"/>
      <c r="O77" s="192" t="e">
        <f>IF(O76+1&lt;=MIN('Données projet'!$E$9:$E$18),O76+1,"STOP")</f>
        <v>#VALUE!</v>
      </c>
      <c r="P77" s="183" t="e">
        <f t="shared" si="5"/>
        <v>#VALUE!</v>
      </c>
      <c r="Q77" s="233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29"/>
      <c r="G78" s="204"/>
      <c r="H78" s="188"/>
      <c r="I78" s="189"/>
      <c r="J78" s="4"/>
      <c r="K78" s="171"/>
      <c r="L78" s="4"/>
      <c r="M78" s="4"/>
      <c r="N78" s="4"/>
      <c r="O78" s="192" t="e">
        <f>IF(O77+1&lt;=MIN('Données projet'!$E$9:$E$18),O77+1,"STOP")</f>
        <v>#VALUE!</v>
      </c>
      <c r="P78" s="183" t="e">
        <f t="shared" si="5"/>
        <v>#VALUE!</v>
      </c>
      <c r="Q78" s="233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7" t="s">
        <v>132</v>
      </c>
      <c r="C79" s="196" t="s">
        <v>132</v>
      </c>
      <c r="D79" s="195" t="s">
        <v>132</v>
      </c>
      <c r="E79" s="191"/>
      <c r="F79" s="229"/>
      <c r="G79" s="204"/>
      <c r="H79" s="188"/>
      <c r="I79" s="189"/>
      <c r="J79" s="4"/>
      <c r="K79" s="171"/>
      <c r="L79" s="4"/>
      <c r="M79" s="4"/>
      <c r="N79" s="4"/>
      <c r="O79" s="192" t="e">
        <f>IF(O78+1&lt;=MIN('Données projet'!$E$9:$E$18),O78+1,"STOP")</f>
        <v>#VALUE!</v>
      </c>
      <c r="P79" s="183" t="e">
        <f t="shared" si="5"/>
        <v>#VALUE!</v>
      </c>
      <c r="Q79" s="233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7" t="s">
        <v>132</v>
      </c>
      <c r="C80" s="196" t="s">
        <v>132</v>
      </c>
      <c r="D80" s="195" t="s">
        <v>132</v>
      </c>
      <c r="E80" s="191"/>
      <c r="F80" s="229"/>
      <c r="G80" s="23"/>
      <c r="H80" s="188"/>
      <c r="I80" s="189"/>
      <c r="J80" s="4"/>
      <c r="K80" s="171"/>
      <c r="L80" s="4"/>
      <c r="M80" s="4"/>
      <c r="N80" s="4"/>
      <c r="O80" s="192" t="e">
        <f>IF(O79+1&lt;=MIN('Données projet'!$E$9:$E$18),O79+1,"STOP")</f>
        <v>#VALUE!</v>
      </c>
      <c r="P80" s="183" t="e">
        <f t="shared" si="5"/>
        <v>#VALUE!</v>
      </c>
      <c r="Q80" s="233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7" t="s">
        <v>132</v>
      </c>
      <c r="C81" s="196" t="s">
        <v>132</v>
      </c>
      <c r="D81" s="195" t="s">
        <v>132</v>
      </c>
      <c r="E81" s="191"/>
      <c r="F81" s="229"/>
      <c r="G81" s="23"/>
      <c r="H81" s="188"/>
      <c r="I81" s="189"/>
      <c r="J81" s="4"/>
      <c r="K81" s="171"/>
      <c r="L81" s="4"/>
      <c r="M81" s="4"/>
      <c r="N81" s="4"/>
      <c r="O81" s="192" t="e">
        <f>IF(O80+1&lt;=MIN('Données projet'!$E$9:$E$18),O80+1,"STOP")</f>
        <v>#VALUE!</v>
      </c>
      <c r="P81" s="183" t="e">
        <f t="shared" si="5"/>
        <v>#VALUE!</v>
      </c>
      <c r="Q81" s="233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7" t="s">
        <v>132</v>
      </c>
      <c r="C82" s="196" t="s">
        <v>132</v>
      </c>
      <c r="D82" s="195" t="s">
        <v>132</v>
      </c>
      <c r="E82" s="191"/>
      <c r="F82" s="229"/>
      <c r="G82" s="23"/>
      <c r="H82" s="188"/>
      <c r="I82" s="189"/>
      <c r="J82" s="4"/>
      <c r="K82" s="171"/>
      <c r="L82" s="4"/>
      <c r="M82" s="4"/>
      <c r="N82" s="4"/>
      <c r="O82" s="192" t="e">
        <f>IF(O81+1&lt;=MIN('Données projet'!$E$9:$E$18),O81+1,"STOP")</f>
        <v>#VALUE!</v>
      </c>
      <c r="P82" s="183" t="e">
        <f t="shared" si="5"/>
        <v>#VALUE!</v>
      </c>
      <c r="Q82" s="233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7" t="s">
        <v>132</v>
      </c>
      <c r="C83" s="196" t="s">
        <v>132</v>
      </c>
      <c r="D83" s="195" t="s">
        <v>132</v>
      </c>
      <c r="E83" s="191"/>
      <c r="F83" s="229"/>
      <c r="G83" s="23"/>
      <c r="H83" s="188"/>
      <c r="I83" s="189"/>
      <c r="J83" s="4"/>
      <c r="K83" s="171"/>
      <c r="L83" s="4"/>
      <c r="M83" s="4"/>
      <c r="N83" s="4"/>
      <c r="O83" s="192" t="e">
        <f>IF(O82+1&lt;=MIN('Données projet'!$E$9:$E$18),O82+1,"STOP")</f>
        <v>#VALUE!</v>
      </c>
      <c r="P83" s="183" t="e">
        <f t="shared" si="5"/>
        <v>#VALUE!</v>
      </c>
      <c r="Q83" s="233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7" t="s">
        <v>132</v>
      </c>
      <c r="C84" s="196" t="s">
        <v>132</v>
      </c>
      <c r="D84" s="195" t="s">
        <v>132</v>
      </c>
      <c r="E84" s="191"/>
      <c r="F84" s="229"/>
      <c r="G84" s="203"/>
      <c r="H84" s="188"/>
      <c r="I84" s="189"/>
      <c r="J84" s="4"/>
      <c r="K84" s="171"/>
      <c r="L84" s="4"/>
      <c r="M84" s="4"/>
      <c r="N84" s="4"/>
      <c r="O84" s="192" t="e">
        <f>IF(O83+1&lt;=MIN('Données projet'!$E$9:$E$18),O83+1,"STOP")</f>
        <v>#VALUE!</v>
      </c>
      <c r="P84" s="183" t="e">
        <f t="shared" si="5"/>
        <v>#VALUE!</v>
      </c>
      <c r="Q84" s="233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78">
        <f>'Données projet'!A88</f>
        <v>20</v>
      </c>
      <c r="B85" s="179">
        <f>'Données projet'!D88</f>
        <v>6</v>
      </c>
      <c r="C85" s="189"/>
      <c r="D85" s="177">
        <f>B85*C85</f>
        <v>0</v>
      </c>
      <c r="E85" s="191"/>
      <c r="F85" s="230"/>
      <c r="G85" s="203"/>
      <c r="H85" s="188"/>
      <c r="I85" s="189"/>
      <c r="J85" s="4"/>
      <c r="K85" s="171"/>
      <c r="L85" s="4"/>
      <c r="M85" s="4"/>
      <c r="N85" s="4"/>
      <c r="O85" s="192" t="e">
        <f>IF(O84+1&lt;=MIN('Données projet'!$E$9:$E$18),O84+1,"STOP")</f>
        <v>#VALUE!</v>
      </c>
      <c r="P85" s="183" t="e">
        <f t="shared" si="5"/>
        <v>#VALUE!</v>
      </c>
      <c r="Q85" s="233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78">
        <f>'Données projet'!A89</f>
        <v>30</v>
      </c>
      <c r="B86" s="179">
        <f>'Données projet'!D89</f>
        <v>56</v>
      </c>
      <c r="C86" s="189"/>
      <c r="D86" s="177">
        <f t="shared" ref="D86:D104" si="6">B86*C86</f>
        <v>0</v>
      </c>
      <c r="E86" s="191"/>
      <c r="F86" s="230"/>
      <c r="G86" s="203"/>
      <c r="H86" s="188"/>
      <c r="I86" s="189"/>
      <c r="J86" s="4"/>
      <c r="K86" s="171"/>
      <c r="L86" s="4"/>
      <c r="M86" s="4"/>
      <c r="N86" s="4"/>
      <c r="O86" s="192" t="e">
        <f>IF(O85+1&lt;=MIN('Données projet'!$E$9:$E$18),O85+1,"STOP")</f>
        <v>#VALUE!</v>
      </c>
      <c r="P86" s="183" t="e">
        <f t="shared" si="5"/>
        <v>#VALUE!</v>
      </c>
      <c r="Q86" s="233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78">
        <f>'Données projet'!A90</f>
        <v>40</v>
      </c>
      <c r="B87" s="179">
        <f>'Données projet'!D90</f>
        <v>56</v>
      </c>
      <c r="C87" s="189"/>
      <c r="D87" s="177">
        <f t="shared" si="6"/>
        <v>0</v>
      </c>
      <c r="E87" s="191"/>
      <c r="F87" s="230"/>
      <c r="G87" s="203"/>
      <c r="H87" s="188"/>
      <c r="I87" s="189"/>
      <c r="J87" s="4"/>
      <c r="K87" s="171"/>
      <c r="L87" s="4"/>
      <c r="M87" s="4"/>
      <c r="N87" s="4"/>
      <c r="O87" s="192" t="e">
        <f>IF(O86+1&lt;=MIN('Données projet'!$E$9:$E$18),O86+1,"STOP")</f>
        <v>#VALUE!</v>
      </c>
      <c r="P87" s="183" t="e">
        <f t="shared" si="5"/>
        <v>#VALUE!</v>
      </c>
      <c r="Q87" s="233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78">
        <f>'Données projet'!A91</f>
        <v>50</v>
      </c>
      <c r="B88" s="179">
        <f>'Données projet'!D91</f>
        <v>56</v>
      </c>
      <c r="C88" s="189"/>
      <c r="D88" s="177">
        <f t="shared" si="6"/>
        <v>0</v>
      </c>
      <c r="E88" s="191"/>
      <c r="F88" s="230"/>
      <c r="G88" s="203"/>
      <c r="H88" s="188"/>
      <c r="I88" s="189"/>
      <c r="J88" s="4"/>
      <c r="K88" s="171"/>
      <c r="L88" s="4"/>
      <c r="M88" s="4"/>
      <c r="N88" s="4"/>
      <c r="O88" s="192" t="e">
        <f>IF(O87+1&lt;=MIN('Données projet'!$E$9:$E$18),O87+1,"STOP")</f>
        <v>#VALUE!</v>
      </c>
      <c r="P88" s="183" t="e">
        <f t="shared" si="5"/>
        <v>#VALUE!</v>
      </c>
      <c r="Q88" s="233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78">
        <f>'Données projet'!A92</f>
        <v>60</v>
      </c>
      <c r="B89" s="179">
        <f>'Données projet'!D92</f>
        <v>56</v>
      </c>
      <c r="C89" s="189"/>
      <c r="D89" s="177">
        <f t="shared" si="6"/>
        <v>0</v>
      </c>
      <c r="E89" s="191"/>
      <c r="F89" s="230"/>
      <c r="G89" s="203"/>
      <c r="H89" s="188"/>
      <c r="I89" s="189"/>
      <c r="J89" s="4"/>
      <c r="K89" s="171"/>
      <c r="L89" s="4"/>
      <c r="M89" s="4"/>
      <c r="N89" s="4"/>
      <c r="O89" s="192" t="e">
        <f>IF(O88+1&lt;=MIN('Données projet'!$E$9:$E$18),O88+1,"STOP")</f>
        <v>#VALUE!</v>
      </c>
      <c r="P89" s="183" t="e">
        <f t="shared" si="5"/>
        <v>#VALUE!</v>
      </c>
      <c r="Q89" s="233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78">
        <f>'Données projet'!A93</f>
        <v>70</v>
      </c>
      <c r="B90" s="179">
        <f>'Données projet'!D93</f>
        <v>56</v>
      </c>
      <c r="C90" s="189"/>
      <c r="D90" s="177">
        <f t="shared" si="6"/>
        <v>0</v>
      </c>
      <c r="E90" s="191"/>
      <c r="F90" s="230"/>
      <c r="G90" s="203"/>
      <c r="H90" s="188"/>
      <c r="I90" s="189"/>
      <c r="J90" s="4"/>
      <c r="K90" s="171"/>
      <c r="L90" s="4"/>
      <c r="M90" s="4"/>
      <c r="N90" s="4"/>
      <c r="O90" s="192" t="e">
        <f>IF(O89+1&lt;=MIN('Données projet'!$E$9:$E$18),O89+1,"STOP")</f>
        <v>#VALUE!</v>
      </c>
      <c r="P90" s="183" t="e">
        <f t="shared" si="5"/>
        <v>#VALUE!</v>
      </c>
      <c r="Q90" s="233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78">
        <f>'Données projet'!A94</f>
        <v>80</v>
      </c>
      <c r="B91" s="179">
        <f>'Données projet'!D94</f>
        <v>56</v>
      </c>
      <c r="C91" s="189"/>
      <c r="D91" s="177">
        <f t="shared" si="6"/>
        <v>0</v>
      </c>
      <c r="E91" s="191"/>
      <c r="F91" s="230"/>
      <c r="G91" s="204"/>
      <c r="H91" s="188"/>
      <c r="I91" s="189"/>
      <c r="J91" s="4"/>
      <c r="K91" s="171"/>
      <c r="L91" s="4"/>
      <c r="M91" s="4"/>
      <c r="N91" s="4"/>
      <c r="O91" s="192" t="e">
        <f>IF(O90+1&lt;=MIN('Données projet'!$E$9:$E$18),O90+1,"STOP")</f>
        <v>#VALUE!</v>
      </c>
      <c r="P91" s="183" t="e">
        <f t="shared" si="5"/>
        <v>#VALUE!</v>
      </c>
      <c r="Q91" s="233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78">
        <f>'Données projet'!A95</f>
        <v>90</v>
      </c>
      <c r="B92" s="179">
        <f>'Données projet'!D95</f>
        <v>56</v>
      </c>
      <c r="C92" s="189"/>
      <c r="D92" s="177">
        <f t="shared" si="6"/>
        <v>0</v>
      </c>
      <c r="E92" s="191"/>
      <c r="F92" s="230"/>
      <c r="G92" s="204"/>
      <c r="H92" s="188"/>
      <c r="I92" s="189"/>
      <c r="J92" s="4"/>
      <c r="K92" s="171"/>
      <c r="L92" s="4"/>
      <c r="M92" s="4"/>
      <c r="N92" s="4"/>
      <c r="O92" s="192" t="e">
        <f>IF(O91+1&lt;=MIN('Données projet'!$E$9:$E$18),O91+1,"STOP")</f>
        <v>#VALUE!</v>
      </c>
      <c r="P92" s="183" t="e">
        <f t="shared" si="5"/>
        <v>#VALUE!</v>
      </c>
      <c r="Q92" s="233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78">
        <f>'Données projet'!A96</f>
        <v>100</v>
      </c>
      <c r="B93" s="179">
        <f>'Données projet'!D96</f>
        <v>55</v>
      </c>
      <c r="C93" s="189"/>
      <c r="D93" s="177">
        <f t="shared" si="6"/>
        <v>0</v>
      </c>
      <c r="E93" s="191"/>
      <c r="F93" s="230"/>
      <c r="G93" s="204"/>
      <c r="H93" s="188"/>
      <c r="I93" s="189"/>
      <c r="J93" s="4"/>
      <c r="K93" s="171"/>
      <c r="L93" s="4"/>
      <c r="M93" s="4"/>
      <c r="N93" s="4"/>
      <c r="O93" s="192" t="e">
        <f>IF(O92+1&lt;=MIN('Données projet'!$E$9:$E$18),O92+1,"STOP")</f>
        <v>#VALUE!</v>
      </c>
      <c r="P93" s="183" t="e">
        <f t="shared" si="5"/>
        <v>#VALUE!</v>
      </c>
      <c r="Q93" s="233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78">
        <f>'Données projet'!A97</f>
        <v>110</v>
      </c>
      <c r="B94" s="179">
        <f>'Données projet'!D97</f>
        <v>51</v>
      </c>
      <c r="C94" s="189"/>
      <c r="D94" s="177">
        <f t="shared" si="6"/>
        <v>0</v>
      </c>
      <c r="E94" s="191"/>
      <c r="F94" s="230"/>
      <c r="G94" s="204"/>
      <c r="H94" s="188"/>
      <c r="I94" s="189"/>
      <c r="J94" s="4"/>
      <c r="K94" s="171"/>
      <c r="L94" s="4"/>
      <c r="M94" s="4"/>
      <c r="N94" s="4"/>
      <c r="O94" s="192" t="e">
        <f>IF(O93+1&lt;=MIN('Données projet'!$E$9:$E$18),O93+1,"STOP")</f>
        <v>#VALUE!</v>
      </c>
      <c r="P94" s="183" t="e">
        <f t="shared" si="5"/>
        <v>#VALUE!</v>
      </c>
      <c r="Q94" s="233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78">
        <f>'Données projet'!A98</f>
        <v>120</v>
      </c>
      <c r="B95" s="179">
        <f>'Données projet'!D98</f>
        <v>47</v>
      </c>
      <c r="C95" s="189"/>
      <c r="D95" s="177">
        <f t="shared" si="6"/>
        <v>0</v>
      </c>
      <c r="E95" s="191"/>
      <c r="F95" s="230"/>
      <c r="G95" s="204"/>
      <c r="H95" s="188"/>
      <c r="I95" s="189"/>
      <c r="J95" s="4"/>
      <c r="K95" s="171"/>
      <c r="L95" s="4"/>
      <c r="M95" s="4"/>
      <c r="N95" s="4"/>
      <c r="O95" s="192" t="e">
        <f>IF(O94+1&lt;=MIN('Données projet'!$E$9:$E$18),O94+1,"STOP")</f>
        <v>#VALUE!</v>
      </c>
      <c r="P95" s="183" t="e">
        <f t="shared" si="5"/>
        <v>#VALUE!</v>
      </c>
      <c r="Q95" s="233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78">
        <f>'Données projet'!A99</f>
        <v>130</v>
      </c>
      <c r="B96" s="179">
        <f>'Données projet'!D99</f>
        <v>44</v>
      </c>
      <c r="C96" s="189"/>
      <c r="D96" s="177">
        <f t="shared" si="6"/>
        <v>0</v>
      </c>
      <c r="E96" s="191"/>
      <c r="F96" s="230"/>
      <c r="G96" s="204"/>
      <c r="H96" s="188"/>
      <c r="I96" s="189"/>
      <c r="J96" s="4"/>
      <c r="K96" s="171"/>
      <c r="L96" s="4"/>
      <c r="M96" s="4"/>
      <c r="N96" s="4"/>
      <c r="O96" s="192" t="e">
        <f>IF(O95+1&lt;=MIN('Données projet'!$E$9:$E$18),O95+1,"STOP")</f>
        <v>#VALUE!</v>
      </c>
      <c r="P96" s="183" t="e">
        <f t="shared" si="5"/>
        <v>#VALUE!</v>
      </c>
      <c r="Q96" s="233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78">
        <f>'Données projet'!A100</f>
        <v>140</v>
      </c>
      <c r="B97" s="179">
        <f>'Données projet'!D100</f>
        <v>41</v>
      </c>
      <c r="C97" s="189"/>
      <c r="D97" s="177">
        <f t="shared" si="6"/>
        <v>0</v>
      </c>
      <c r="E97" s="191"/>
      <c r="F97" s="230"/>
      <c r="G97" s="204"/>
      <c r="H97" s="188"/>
      <c r="I97" s="189"/>
      <c r="J97" s="4"/>
      <c r="K97" s="171"/>
      <c r="L97" s="4"/>
      <c r="M97" s="4"/>
      <c r="N97" s="4"/>
      <c r="O97" s="192" t="e">
        <f>IF(O96+1&lt;=MIN('Données projet'!$E$9:$E$18),O96+1,"STOP")</f>
        <v>#VALUE!</v>
      </c>
      <c r="P97" s="183" t="e">
        <f t="shared" ref="P97:P128" si="7">$P$25/(1+$M$4)^O97</f>
        <v>#VALUE!</v>
      </c>
      <c r="Q97" s="233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78">
        <f>'Données projet'!A101</f>
        <v>150</v>
      </c>
      <c r="B98" s="179">
        <f>'Données projet'!D101</f>
        <v>333</v>
      </c>
      <c r="C98" s="189"/>
      <c r="D98" s="177">
        <f t="shared" si="6"/>
        <v>0</v>
      </c>
      <c r="E98" s="191"/>
      <c r="F98" s="230"/>
      <c r="G98" s="204"/>
      <c r="H98" s="188"/>
      <c r="I98" s="189"/>
      <c r="J98" s="4"/>
      <c r="K98" s="171"/>
      <c r="L98" s="4"/>
      <c r="M98" s="4"/>
      <c r="N98" s="4"/>
      <c r="O98" s="192" t="e">
        <f>IF(O97+1&lt;=MIN('Données projet'!$E$9:$E$18),O97+1,"STOP")</f>
        <v>#VALUE!</v>
      </c>
      <c r="P98" s="183" t="e">
        <f t="shared" si="7"/>
        <v>#VALUE!</v>
      </c>
      <c r="Q98" s="233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78">
        <f>'Données projet'!A102</f>
        <v>0</v>
      </c>
      <c r="B99" s="179">
        <f>'Données projet'!D102</f>
        <v>0</v>
      </c>
      <c r="C99" s="189"/>
      <c r="D99" s="177">
        <f t="shared" si="6"/>
        <v>0</v>
      </c>
      <c r="E99" s="191"/>
      <c r="F99" s="230"/>
      <c r="G99" s="204"/>
      <c r="H99" s="188"/>
      <c r="I99" s="189"/>
      <c r="J99" s="4"/>
      <c r="K99" s="171"/>
      <c r="L99" s="4"/>
      <c r="M99" s="4"/>
      <c r="N99" s="4"/>
      <c r="O99" s="192" t="e">
        <f>IF(O98+1&lt;=MIN('Données projet'!$E$9:$E$18),O98+1,"STOP")</f>
        <v>#VALUE!</v>
      </c>
      <c r="P99" s="183" t="e">
        <f t="shared" si="7"/>
        <v>#VALUE!</v>
      </c>
      <c r="Q99" s="233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78">
        <f>'Données projet'!A103</f>
        <v>0</v>
      </c>
      <c r="B100" s="179">
        <f>'Données projet'!D103</f>
        <v>0</v>
      </c>
      <c r="C100" s="189"/>
      <c r="D100" s="177">
        <f t="shared" si="6"/>
        <v>0</v>
      </c>
      <c r="E100" s="191"/>
      <c r="F100" s="230"/>
      <c r="G100" s="204"/>
      <c r="H100" s="188"/>
      <c r="I100" s="189"/>
      <c r="J100" s="4"/>
      <c r="K100" s="171"/>
      <c r="L100" s="4"/>
      <c r="M100" s="4"/>
      <c r="N100" s="4"/>
      <c r="O100" s="192" t="e">
        <f>IF(O99+1&lt;=MIN('Données projet'!$E$9:$E$18),O99+1,"STOP")</f>
        <v>#VALUE!</v>
      </c>
      <c r="P100" s="183" t="e">
        <f t="shared" si="7"/>
        <v>#VALUE!</v>
      </c>
      <c r="Q100" s="233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78">
        <f>'Données projet'!A104</f>
        <v>0</v>
      </c>
      <c r="B101" s="179">
        <f>'Données projet'!D104</f>
        <v>0</v>
      </c>
      <c r="C101" s="189"/>
      <c r="D101" s="177">
        <f t="shared" si="6"/>
        <v>0</v>
      </c>
      <c r="E101" s="191"/>
      <c r="F101" s="230"/>
      <c r="G101" s="204"/>
      <c r="H101" s="188"/>
      <c r="I101" s="189"/>
      <c r="J101" s="4"/>
      <c r="K101" s="171"/>
      <c r="L101" s="4"/>
      <c r="M101" s="4"/>
      <c r="N101" s="4"/>
      <c r="O101" s="192" t="e">
        <f>IF(O100+1&lt;=MIN('Données projet'!$E$9:$E$18),O100+1,"STOP")</f>
        <v>#VALUE!</v>
      </c>
      <c r="P101" s="183" t="e">
        <f t="shared" si="7"/>
        <v>#VALUE!</v>
      </c>
      <c r="Q101" s="233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78">
        <f>'Données projet'!A105</f>
        <v>0</v>
      </c>
      <c r="B102" s="179">
        <f>'Données projet'!D105</f>
        <v>0</v>
      </c>
      <c r="C102" s="189"/>
      <c r="D102" s="177">
        <f t="shared" si="6"/>
        <v>0</v>
      </c>
      <c r="E102" s="191"/>
      <c r="F102" s="230"/>
      <c r="G102" s="204"/>
      <c r="H102" s="188"/>
      <c r="I102" s="189"/>
      <c r="J102" s="4"/>
      <c r="K102" s="171"/>
      <c r="L102" s="4"/>
      <c r="M102" s="4"/>
      <c r="N102" s="4"/>
      <c r="O102" s="192" t="e">
        <f>IF(O101+1&lt;=MIN('Données projet'!$E$9:$E$18),O101+1,"STOP")</f>
        <v>#VALUE!</v>
      </c>
      <c r="P102" s="183" t="e">
        <f t="shared" si="7"/>
        <v>#VALUE!</v>
      </c>
      <c r="Q102" s="233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78">
        <f>'Données projet'!A106</f>
        <v>0</v>
      </c>
      <c r="B103" s="179">
        <f>'Données projet'!D106</f>
        <v>0</v>
      </c>
      <c r="C103" s="189"/>
      <c r="D103" s="177">
        <f t="shared" si="6"/>
        <v>0</v>
      </c>
      <c r="E103" s="191"/>
      <c r="F103" s="230"/>
      <c r="G103" s="204"/>
      <c r="H103" s="188"/>
      <c r="I103" s="189"/>
      <c r="J103" s="4"/>
      <c r="K103" s="171"/>
      <c r="L103" s="4"/>
      <c r="M103" s="4"/>
      <c r="N103" s="4"/>
      <c r="O103" s="192" t="e">
        <f>IF(O102+1&lt;=MIN('Données projet'!$E$9:$E$18),O102+1,"STOP")</f>
        <v>#VALUE!</v>
      </c>
      <c r="P103" s="183" t="e">
        <f t="shared" si="7"/>
        <v>#VALUE!</v>
      </c>
      <c r="Q103" s="233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78">
        <f>'Données projet'!A107</f>
        <v>0</v>
      </c>
      <c r="B104" s="179">
        <f>'Données projet'!D107</f>
        <v>0</v>
      </c>
      <c r="C104" s="189"/>
      <c r="D104" s="177">
        <f t="shared" si="6"/>
        <v>0</v>
      </c>
      <c r="E104" s="191"/>
      <c r="F104" s="230"/>
      <c r="G104" s="204"/>
      <c r="H104" s="188"/>
      <c r="I104" s="189"/>
      <c r="J104" s="4"/>
      <c r="K104" s="171"/>
      <c r="L104" s="4"/>
      <c r="M104" s="4"/>
      <c r="N104" s="4"/>
      <c r="O104" s="192" t="e">
        <f>IF(O103+1&lt;=MIN('Données projet'!$E$9:$E$18),O103+1,"STOP")</f>
        <v>#VALUE!</v>
      </c>
      <c r="P104" s="183" t="e">
        <f t="shared" si="7"/>
        <v>#VALUE!</v>
      </c>
      <c r="Q104" s="233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28"/>
      <c r="G105" s="204"/>
      <c r="H105" s="188"/>
      <c r="I105" s="189"/>
      <c r="J105" s="4"/>
      <c r="K105" s="171"/>
      <c r="L105" s="4"/>
      <c r="M105" s="4"/>
      <c r="N105" s="4"/>
      <c r="O105" s="192" t="e">
        <f>IF(O104+1&lt;=MIN('Données projet'!$E$9:$E$18),O104+1,"STOP")</f>
        <v>#VALUE!</v>
      </c>
      <c r="P105" s="183" t="e">
        <f t="shared" si="7"/>
        <v>#VALUE!</v>
      </c>
      <c r="Q105" s="233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28"/>
      <c r="G106" s="204"/>
      <c r="H106" s="188"/>
      <c r="I106" s="189"/>
      <c r="J106" s="4"/>
      <c r="K106" s="171"/>
      <c r="L106" s="4"/>
      <c r="M106" s="4"/>
      <c r="N106" s="4"/>
      <c r="O106" s="192" t="e">
        <f>IF(O105+1&lt;=MIN('Données projet'!$E$9:$E$18),O105+1,"STOP")</f>
        <v>#VALUE!</v>
      </c>
      <c r="P106" s="183" t="e">
        <f t="shared" si="7"/>
        <v>#VALUE!</v>
      </c>
      <c r="Q106" s="233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2" t="str">
        <f>IF('Données projet'!B12="","",'Données projet'!B12)</f>
        <v>Chêne vert</v>
      </c>
      <c r="C107" s="4"/>
      <c r="D107" s="4"/>
      <c r="E107" s="4"/>
      <c r="F107" s="228"/>
      <c r="G107" s="204"/>
      <c r="H107" s="188"/>
      <c r="I107" s="189"/>
      <c r="J107" s="4"/>
      <c r="K107" s="171"/>
      <c r="L107" s="4"/>
      <c r="M107" s="4"/>
      <c r="N107" s="4"/>
      <c r="O107" s="192" t="e">
        <f>IF(O106+1&lt;=MIN('Données projet'!$E$9:$E$18),O106+1,"STOP")</f>
        <v>#VALUE!</v>
      </c>
      <c r="P107" s="183" t="e">
        <f t="shared" si="7"/>
        <v>#VALUE!</v>
      </c>
      <c r="Q107" s="233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28"/>
      <c r="G108" s="204"/>
      <c r="H108" s="188"/>
      <c r="I108" s="189"/>
      <c r="J108" s="4"/>
      <c r="K108" s="171"/>
      <c r="L108" s="4"/>
      <c r="M108" s="4"/>
      <c r="N108" s="4"/>
      <c r="O108" s="192" t="e">
        <f>IF(O107+1&lt;=MIN('Données projet'!$E$9:$E$18),O107+1,"STOP")</f>
        <v>#VALUE!</v>
      </c>
      <c r="P108" s="183" t="e">
        <f t="shared" si="7"/>
        <v>#VALUE!</v>
      </c>
      <c r="Q108" s="233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29"/>
      <c r="G109" s="204"/>
      <c r="H109" s="188"/>
      <c r="I109" s="189"/>
      <c r="J109" s="4"/>
      <c r="K109" s="171"/>
      <c r="L109" s="4"/>
      <c r="M109" s="4"/>
      <c r="N109" s="4"/>
      <c r="O109" s="192" t="e">
        <f>IF(O108+1&lt;=MIN('Données projet'!$E$9:$E$18),O108+1,"STOP")</f>
        <v>#VALUE!</v>
      </c>
      <c r="P109" s="183" t="e">
        <f t="shared" si="7"/>
        <v>#VALUE!</v>
      </c>
      <c r="Q109" s="233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7" t="s">
        <v>132</v>
      </c>
      <c r="C110" s="196" t="s">
        <v>132</v>
      </c>
      <c r="D110" s="195" t="s">
        <v>132</v>
      </c>
      <c r="E110" s="191"/>
      <c r="F110" s="229"/>
      <c r="G110" s="204"/>
      <c r="H110" s="188"/>
      <c r="I110" s="189"/>
      <c r="J110" s="4"/>
      <c r="K110" s="171"/>
      <c r="L110" s="4"/>
      <c r="M110" s="4"/>
      <c r="N110" s="4"/>
      <c r="O110" s="192" t="e">
        <f>IF(O109+1&lt;=MIN('Données projet'!$E$9:$E$18),O109+1,"STOP")</f>
        <v>#VALUE!</v>
      </c>
      <c r="P110" s="183" t="e">
        <f t="shared" si="7"/>
        <v>#VALUE!</v>
      </c>
      <c r="Q110" s="233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7" t="s">
        <v>132</v>
      </c>
      <c r="C111" s="196" t="s">
        <v>132</v>
      </c>
      <c r="D111" s="195" t="s">
        <v>132</v>
      </c>
      <c r="E111" s="191"/>
      <c r="F111" s="229"/>
      <c r="G111" s="23"/>
      <c r="H111" s="188"/>
      <c r="I111" s="189"/>
      <c r="J111" s="4"/>
      <c r="K111" s="171"/>
      <c r="L111" s="4"/>
      <c r="M111" s="4"/>
      <c r="N111" s="4"/>
      <c r="O111" s="192" t="e">
        <f>IF(O110+1&lt;=MIN('Données projet'!$E$9:$E$18),O110+1,"STOP")</f>
        <v>#VALUE!</v>
      </c>
      <c r="P111" s="183" t="e">
        <f t="shared" si="7"/>
        <v>#VALUE!</v>
      </c>
      <c r="Q111" s="233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7" t="s">
        <v>132</v>
      </c>
      <c r="C112" s="196" t="s">
        <v>132</v>
      </c>
      <c r="D112" s="195" t="s">
        <v>132</v>
      </c>
      <c r="E112" s="191"/>
      <c r="F112" s="229"/>
      <c r="G112" s="23"/>
      <c r="H112" s="188"/>
      <c r="I112" s="189"/>
      <c r="J112" s="4"/>
      <c r="K112" s="171"/>
      <c r="L112" s="4"/>
      <c r="M112" s="4"/>
      <c r="N112" s="4"/>
      <c r="O112" s="192" t="e">
        <f>IF(O111+1&lt;=MIN('Données projet'!$E$9:$E$18),O111+1,"STOP")</f>
        <v>#VALUE!</v>
      </c>
      <c r="P112" s="183" t="e">
        <f t="shared" si="7"/>
        <v>#VALUE!</v>
      </c>
      <c r="Q112" s="233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7" t="s">
        <v>132</v>
      </c>
      <c r="C113" s="196" t="s">
        <v>132</v>
      </c>
      <c r="D113" s="195" t="s">
        <v>132</v>
      </c>
      <c r="E113" s="191"/>
      <c r="F113" s="229"/>
      <c r="G113" s="23"/>
      <c r="H113" s="188"/>
      <c r="I113" s="189"/>
      <c r="J113" s="4"/>
      <c r="K113" s="171"/>
      <c r="L113" s="4"/>
      <c r="M113" s="4"/>
      <c r="N113" s="4"/>
      <c r="O113" s="192" t="e">
        <f>IF(O112+1&lt;=MIN('Données projet'!$E$9:$E$18),O112+1,"STOP")</f>
        <v>#VALUE!</v>
      </c>
      <c r="P113" s="183" t="e">
        <f t="shared" si="7"/>
        <v>#VALUE!</v>
      </c>
      <c r="Q113" s="233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7" t="s">
        <v>132</v>
      </c>
      <c r="C114" s="196" t="s">
        <v>132</v>
      </c>
      <c r="D114" s="195" t="s">
        <v>132</v>
      </c>
      <c r="E114" s="191"/>
      <c r="F114" s="229"/>
      <c r="G114" s="23"/>
      <c r="H114" s="188"/>
      <c r="I114" s="189"/>
      <c r="J114" s="4"/>
      <c r="K114" s="171"/>
      <c r="L114" s="4"/>
      <c r="M114" s="4"/>
      <c r="N114" s="4"/>
      <c r="O114" s="192" t="e">
        <f>IF(O113+1&lt;=MIN('Données projet'!$E$9:$E$18),O113+1,"STOP")</f>
        <v>#VALUE!</v>
      </c>
      <c r="P114" s="183" t="e">
        <f t="shared" si="7"/>
        <v>#VALUE!</v>
      </c>
      <c r="Q114" s="233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7" t="s">
        <v>132</v>
      </c>
      <c r="C115" s="196" t="s">
        <v>132</v>
      </c>
      <c r="D115" s="195" t="s">
        <v>132</v>
      </c>
      <c r="E115" s="191"/>
      <c r="F115" s="229"/>
      <c r="G115" s="203"/>
      <c r="H115" s="188"/>
      <c r="I115" s="189"/>
      <c r="J115" s="4"/>
      <c r="K115" s="171"/>
      <c r="L115" s="4"/>
      <c r="M115" s="4"/>
      <c r="N115" s="4"/>
      <c r="O115" s="192" t="e">
        <f>IF(O114+1&lt;=MIN('Données projet'!$E$9:$E$18),O114+1,"STOP")</f>
        <v>#VALUE!</v>
      </c>
      <c r="P115" s="183" t="e">
        <f t="shared" si="7"/>
        <v>#VALUE!</v>
      </c>
      <c r="Q115" s="233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78">
        <f>'Données projet'!A114</f>
        <v>20</v>
      </c>
      <c r="B116" s="179">
        <f>'Données projet'!D114</f>
        <v>6</v>
      </c>
      <c r="C116" s="189"/>
      <c r="D116" s="177">
        <f>B116*C116</f>
        <v>0</v>
      </c>
      <c r="E116" s="191"/>
      <c r="F116" s="230"/>
      <c r="G116" s="203"/>
      <c r="H116" s="188"/>
      <c r="I116" s="189"/>
      <c r="J116" s="4"/>
      <c r="K116" s="171"/>
      <c r="L116" s="4"/>
      <c r="M116" s="4"/>
      <c r="N116" s="4"/>
      <c r="O116" s="192" t="e">
        <f>IF(O115+1&lt;=MIN('Données projet'!$E$9:$E$18),O115+1,"STOP")</f>
        <v>#VALUE!</v>
      </c>
      <c r="P116" s="183" t="e">
        <f t="shared" si="7"/>
        <v>#VALUE!</v>
      </c>
      <c r="Q116" s="233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78">
        <f>'Données projet'!A115</f>
        <v>30</v>
      </c>
      <c r="B117" s="179">
        <f>'Données projet'!D115</f>
        <v>56</v>
      </c>
      <c r="C117" s="189"/>
      <c r="D117" s="177">
        <f t="shared" ref="D117:D135" si="8">B117*C117</f>
        <v>0</v>
      </c>
      <c r="E117" s="191"/>
      <c r="F117" s="230"/>
      <c r="G117" s="203"/>
      <c r="H117" s="188"/>
      <c r="I117" s="189"/>
      <c r="J117" s="4"/>
      <c r="K117" s="171"/>
      <c r="L117" s="4"/>
      <c r="M117" s="4"/>
      <c r="N117" s="4"/>
      <c r="O117" s="192" t="e">
        <f>IF(O116+1&lt;=MIN('Données projet'!$E$9:$E$18),O116+1,"STOP")</f>
        <v>#VALUE!</v>
      </c>
      <c r="P117" s="183" t="e">
        <f t="shared" si="7"/>
        <v>#VALUE!</v>
      </c>
      <c r="Q117" s="233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78">
        <f>'Données projet'!A116</f>
        <v>40</v>
      </c>
      <c r="B118" s="179">
        <f>'Données projet'!D116</f>
        <v>56</v>
      </c>
      <c r="C118" s="189"/>
      <c r="D118" s="177">
        <f t="shared" si="8"/>
        <v>0</v>
      </c>
      <c r="E118" s="191"/>
      <c r="F118" s="230"/>
      <c r="G118" s="203"/>
      <c r="H118" s="188"/>
      <c r="I118" s="189"/>
      <c r="J118" s="4"/>
      <c r="K118" s="171"/>
      <c r="L118" s="4"/>
      <c r="M118" s="4"/>
      <c r="N118" s="4"/>
      <c r="O118" s="192" t="e">
        <f>IF(O117+1&lt;=MIN('Données projet'!$E$9:$E$18),O117+1,"STOP")</f>
        <v>#VALUE!</v>
      </c>
      <c r="P118" s="183" t="e">
        <f t="shared" si="7"/>
        <v>#VALUE!</v>
      </c>
      <c r="Q118" s="233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78">
        <f>'Données projet'!A117</f>
        <v>50</v>
      </c>
      <c r="B119" s="179">
        <f>'Données projet'!D117</f>
        <v>56</v>
      </c>
      <c r="C119" s="189"/>
      <c r="D119" s="177">
        <f t="shared" si="8"/>
        <v>0</v>
      </c>
      <c r="E119" s="191"/>
      <c r="F119" s="230"/>
      <c r="G119" s="203"/>
      <c r="H119" s="188"/>
      <c r="I119" s="189"/>
      <c r="J119" s="4"/>
      <c r="K119" s="171"/>
      <c r="L119" s="4"/>
      <c r="M119" s="4"/>
      <c r="N119" s="4"/>
      <c r="O119" s="192" t="e">
        <f>IF(O118+1&lt;=MIN('Données projet'!$E$9:$E$18),O118+1,"STOP")</f>
        <v>#VALUE!</v>
      </c>
      <c r="P119" s="183" t="e">
        <f t="shared" si="7"/>
        <v>#VALUE!</v>
      </c>
      <c r="Q119" s="233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78">
        <f>'Données projet'!A118</f>
        <v>60</v>
      </c>
      <c r="B120" s="179">
        <f>'Données projet'!D118</f>
        <v>56</v>
      </c>
      <c r="C120" s="189"/>
      <c r="D120" s="177">
        <f t="shared" si="8"/>
        <v>0</v>
      </c>
      <c r="E120" s="191"/>
      <c r="F120" s="230"/>
      <c r="G120" s="203"/>
      <c r="H120" s="188"/>
      <c r="I120" s="189"/>
      <c r="J120" s="4"/>
      <c r="K120" s="171"/>
      <c r="L120" s="4"/>
      <c r="M120" s="4"/>
      <c r="N120" s="4"/>
      <c r="O120" s="192" t="e">
        <f>IF(O119+1&lt;=MIN('Données projet'!$E$9:$E$18),O119+1,"STOP")</f>
        <v>#VALUE!</v>
      </c>
      <c r="P120" s="183" t="e">
        <f t="shared" si="7"/>
        <v>#VALUE!</v>
      </c>
      <c r="Q120" s="233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78">
        <f>'Données projet'!A119</f>
        <v>70</v>
      </c>
      <c r="B121" s="179">
        <f>'Données projet'!D119</f>
        <v>56</v>
      </c>
      <c r="C121" s="189"/>
      <c r="D121" s="177">
        <f t="shared" si="8"/>
        <v>0</v>
      </c>
      <c r="E121" s="191"/>
      <c r="F121" s="230"/>
      <c r="G121" s="203"/>
      <c r="H121" s="188"/>
      <c r="I121" s="189"/>
      <c r="J121" s="4"/>
      <c r="K121" s="171"/>
      <c r="L121" s="4"/>
      <c r="M121" s="4"/>
      <c r="N121" s="4"/>
      <c r="O121" s="192" t="e">
        <f>IF(O120+1&lt;=MIN('Données projet'!$E$9:$E$18),O120+1,"STOP")</f>
        <v>#VALUE!</v>
      </c>
      <c r="P121" s="183" t="e">
        <f t="shared" si="7"/>
        <v>#VALUE!</v>
      </c>
      <c r="Q121" s="233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78">
        <f>'Données projet'!A120</f>
        <v>80</v>
      </c>
      <c r="B122" s="179">
        <f>'Données projet'!D120</f>
        <v>56</v>
      </c>
      <c r="C122" s="189"/>
      <c r="D122" s="177">
        <f t="shared" si="8"/>
        <v>0</v>
      </c>
      <c r="E122" s="191"/>
      <c r="F122" s="230"/>
      <c r="G122" s="204"/>
      <c r="H122" s="188"/>
      <c r="I122" s="189"/>
      <c r="J122" s="4"/>
      <c r="K122" s="171"/>
      <c r="L122" s="4"/>
      <c r="M122" s="4"/>
      <c r="N122" s="4"/>
      <c r="O122" s="192" t="e">
        <f>IF(O121+1&lt;=MIN('Données projet'!$E$9:$E$18),O121+1,"STOP")</f>
        <v>#VALUE!</v>
      </c>
      <c r="P122" s="183" t="e">
        <f t="shared" si="7"/>
        <v>#VALUE!</v>
      </c>
      <c r="Q122" s="233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78">
        <f>'Données projet'!A121</f>
        <v>90</v>
      </c>
      <c r="B123" s="179">
        <f>'Données projet'!D121</f>
        <v>56</v>
      </c>
      <c r="C123" s="189"/>
      <c r="D123" s="177">
        <f t="shared" si="8"/>
        <v>0</v>
      </c>
      <c r="E123" s="191"/>
      <c r="F123" s="230"/>
      <c r="G123" s="204"/>
      <c r="H123" s="188"/>
      <c r="I123" s="189"/>
      <c r="J123" s="4"/>
      <c r="K123" s="171"/>
      <c r="L123" s="4"/>
      <c r="M123" s="4"/>
      <c r="N123" s="4"/>
      <c r="O123" s="192" t="e">
        <f>IF(O122+1&lt;=MIN('Données projet'!$E$9:$E$18),O122+1,"STOP")</f>
        <v>#VALUE!</v>
      </c>
      <c r="P123" s="183" t="e">
        <f t="shared" si="7"/>
        <v>#VALUE!</v>
      </c>
      <c r="Q123" s="233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78">
        <f>'Données projet'!A122</f>
        <v>100</v>
      </c>
      <c r="B124" s="179">
        <f>'Données projet'!D122</f>
        <v>55</v>
      </c>
      <c r="C124" s="189"/>
      <c r="D124" s="177">
        <f t="shared" si="8"/>
        <v>0</v>
      </c>
      <c r="E124" s="191"/>
      <c r="F124" s="230"/>
      <c r="G124" s="204"/>
      <c r="H124" s="188"/>
      <c r="I124" s="189"/>
      <c r="J124" s="4"/>
      <c r="K124" s="171"/>
      <c r="L124" s="4"/>
      <c r="M124" s="4"/>
      <c r="N124" s="4"/>
      <c r="O124" s="192" t="e">
        <f>IF(O123+1&lt;=MIN('Données projet'!$E$9:$E$18),O123+1,"STOP")</f>
        <v>#VALUE!</v>
      </c>
      <c r="P124" s="183" t="e">
        <f t="shared" si="7"/>
        <v>#VALUE!</v>
      </c>
      <c r="Q124" s="233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78">
        <f>'Données projet'!A123</f>
        <v>110</v>
      </c>
      <c r="B125" s="179">
        <f>'Données projet'!D123</f>
        <v>51</v>
      </c>
      <c r="C125" s="189"/>
      <c r="D125" s="177">
        <f t="shared" si="8"/>
        <v>0</v>
      </c>
      <c r="E125" s="191"/>
      <c r="F125" s="230"/>
      <c r="G125" s="204"/>
      <c r="H125" s="188"/>
      <c r="I125" s="189"/>
      <c r="J125" s="4"/>
      <c r="K125" s="171"/>
      <c r="L125" s="4"/>
      <c r="M125" s="4"/>
      <c r="N125" s="4"/>
      <c r="O125" s="192" t="e">
        <f>IF(O124+1&lt;=MIN('Données projet'!$E$9:$E$18),O124+1,"STOP")</f>
        <v>#VALUE!</v>
      </c>
      <c r="P125" s="183" t="e">
        <f t="shared" si="7"/>
        <v>#VALUE!</v>
      </c>
      <c r="Q125" s="233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78">
        <f>'Données projet'!A124</f>
        <v>120</v>
      </c>
      <c r="B126" s="179">
        <f>'Données projet'!D124</f>
        <v>47</v>
      </c>
      <c r="C126" s="189"/>
      <c r="D126" s="177">
        <f t="shared" si="8"/>
        <v>0</v>
      </c>
      <c r="E126" s="191"/>
      <c r="F126" s="230"/>
      <c r="G126" s="204"/>
      <c r="H126" s="188"/>
      <c r="I126" s="189"/>
      <c r="J126" s="4"/>
      <c r="K126" s="171"/>
      <c r="L126" s="4"/>
      <c r="M126" s="4"/>
      <c r="N126" s="4"/>
      <c r="O126" s="192" t="e">
        <f>IF(O125+1&lt;=MIN('Données projet'!$E$9:$E$18),O125+1,"STOP")</f>
        <v>#VALUE!</v>
      </c>
      <c r="P126" s="183" t="e">
        <f t="shared" si="7"/>
        <v>#VALUE!</v>
      </c>
      <c r="Q126" s="233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78">
        <f>'Données projet'!A125</f>
        <v>130</v>
      </c>
      <c r="B127" s="179">
        <f>'Données projet'!D125</f>
        <v>44</v>
      </c>
      <c r="C127" s="189"/>
      <c r="D127" s="177">
        <f t="shared" si="8"/>
        <v>0</v>
      </c>
      <c r="E127" s="191"/>
      <c r="F127" s="230"/>
      <c r="G127" s="204"/>
      <c r="H127" s="188"/>
      <c r="I127" s="189"/>
      <c r="J127" s="4"/>
      <c r="K127" s="171"/>
      <c r="L127" s="4"/>
      <c r="M127" s="4"/>
      <c r="N127" s="4"/>
      <c r="O127" s="192" t="e">
        <f>IF(O126+1&lt;=MIN('Données projet'!$E$9:$E$18),O126+1,"STOP")</f>
        <v>#VALUE!</v>
      </c>
      <c r="P127" s="183" t="e">
        <f t="shared" si="7"/>
        <v>#VALUE!</v>
      </c>
      <c r="Q127" s="233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78">
        <f>'Données projet'!A126</f>
        <v>140</v>
      </c>
      <c r="B128" s="179">
        <f>'Données projet'!D126</f>
        <v>41</v>
      </c>
      <c r="C128" s="189"/>
      <c r="D128" s="177">
        <f t="shared" si="8"/>
        <v>0</v>
      </c>
      <c r="E128" s="191"/>
      <c r="F128" s="230"/>
      <c r="G128" s="204"/>
      <c r="H128" s="188"/>
      <c r="I128" s="189"/>
      <c r="J128" s="4"/>
      <c r="K128" s="171"/>
      <c r="L128" s="4"/>
      <c r="M128" s="4"/>
      <c r="N128" s="4"/>
      <c r="O128" s="192" t="e">
        <f>IF(O127+1&lt;=MIN('Données projet'!$E$9:$E$18),O127+1,"STOP")</f>
        <v>#VALUE!</v>
      </c>
      <c r="P128" s="183" t="e">
        <f t="shared" si="7"/>
        <v>#VALUE!</v>
      </c>
      <c r="Q128" s="233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78">
        <f>'Données projet'!A127</f>
        <v>150</v>
      </c>
      <c r="B129" s="179">
        <f>'Données projet'!D127</f>
        <v>333</v>
      </c>
      <c r="C129" s="189"/>
      <c r="D129" s="177">
        <f t="shared" si="8"/>
        <v>0</v>
      </c>
      <c r="E129" s="191"/>
      <c r="F129" s="230"/>
      <c r="G129" s="204"/>
      <c r="H129" s="188"/>
      <c r="I129" s="189"/>
      <c r="J129" s="4"/>
      <c r="K129" s="171"/>
      <c r="L129" s="4"/>
      <c r="M129" s="4"/>
      <c r="N129" s="4"/>
      <c r="O129" s="192" t="e">
        <f>IF(O128+1&lt;=MIN('Données projet'!$E$9:$E$18),O128+1,"STOP")</f>
        <v>#VALUE!</v>
      </c>
      <c r="P129" s="183" t="e">
        <f t="shared" ref="P129:P132" si="9">$P$25/(1+$M$4)^O129</f>
        <v>#VALUE!</v>
      </c>
      <c r="Q129" s="233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78">
        <f>'Données projet'!A128</f>
        <v>0</v>
      </c>
      <c r="B130" s="179">
        <f>'Données projet'!D128</f>
        <v>0</v>
      </c>
      <c r="C130" s="189"/>
      <c r="D130" s="177">
        <f t="shared" si="8"/>
        <v>0</v>
      </c>
      <c r="E130" s="191"/>
      <c r="F130" s="230"/>
      <c r="G130" s="204"/>
      <c r="H130" s="188"/>
      <c r="I130" s="189"/>
      <c r="J130" s="4"/>
      <c r="K130" s="171"/>
      <c r="L130" s="4"/>
      <c r="M130" s="4"/>
      <c r="N130" s="4"/>
      <c r="O130" s="192" t="e">
        <f>IF(O129+1&lt;=MIN('Données projet'!$E$9:$E$18),O129+1,"STOP")</f>
        <v>#VALUE!</v>
      </c>
      <c r="P130" s="183" t="e">
        <f t="shared" si="9"/>
        <v>#VALUE!</v>
      </c>
      <c r="Q130" s="233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78">
        <f>'Données projet'!A129</f>
        <v>0</v>
      </c>
      <c r="B131" s="179">
        <f>'Données projet'!D129</f>
        <v>0</v>
      </c>
      <c r="C131" s="189"/>
      <c r="D131" s="177">
        <f t="shared" si="8"/>
        <v>0</v>
      </c>
      <c r="E131" s="191"/>
      <c r="F131" s="230"/>
      <c r="G131" s="204"/>
      <c r="H131" s="188"/>
      <c r="I131" s="189"/>
      <c r="J131" s="4"/>
      <c r="K131" s="171"/>
      <c r="L131" s="4"/>
      <c r="M131" s="4"/>
      <c r="N131" s="4"/>
      <c r="O131" s="192" t="e">
        <f>IF(O130+1&lt;=MIN('Données projet'!$E$9:$E$18),O130+1,"STOP")</f>
        <v>#VALUE!</v>
      </c>
      <c r="P131" s="183" t="e">
        <f t="shared" si="9"/>
        <v>#VALUE!</v>
      </c>
      <c r="Q131" s="233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78">
        <f>'Données projet'!A130</f>
        <v>0</v>
      </c>
      <c r="B132" s="179">
        <f>'Données projet'!D130</f>
        <v>0</v>
      </c>
      <c r="C132" s="189"/>
      <c r="D132" s="177">
        <f t="shared" si="8"/>
        <v>0</v>
      </c>
      <c r="E132" s="191"/>
      <c r="F132" s="230"/>
      <c r="G132" s="204"/>
      <c r="H132" s="188"/>
      <c r="I132" s="189"/>
      <c r="J132" s="4"/>
      <c r="K132" s="171"/>
      <c r="L132" s="4"/>
      <c r="M132" s="4"/>
      <c r="N132" s="4"/>
      <c r="O132" s="192" t="e">
        <f>IF(O131+1&lt;=MIN('Données projet'!$E$9:$E$18),O131+1,"STOP")</f>
        <v>#VALUE!</v>
      </c>
      <c r="P132" s="183" t="e">
        <f t="shared" si="9"/>
        <v>#VALUE!</v>
      </c>
      <c r="Q132" s="233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78">
        <f>'Données projet'!A131</f>
        <v>0</v>
      </c>
      <c r="B133" s="179">
        <f>'Données projet'!D131</f>
        <v>0</v>
      </c>
      <c r="C133" s="189"/>
      <c r="D133" s="177">
        <f t="shared" si="8"/>
        <v>0</v>
      </c>
      <c r="E133" s="191"/>
      <c r="F133" s="230"/>
      <c r="G133" s="204"/>
      <c r="H133" s="188"/>
      <c r="I133" s="189"/>
      <c r="J133" s="4"/>
      <c r="K133" s="171"/>
      <c r="Q133" s="233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78">
        <f>'Données projet'!A132</f>
        <v>0</v>
      </c>
      <c r="B134" s="179">
        <f>'Données projet'!D132</f>
        <v>0</v>
      </c>
      <c r="C134" s="189"/>
      <c r="D134" s="177">
        <f t="shared" si="8"/>
        <v>0</v>
      </c>
      <c r="E134" s="191"/>
      <c r="F134" s="230"/>
      <c r="G134" s="204"/>
      <c r="H134" s="188"/>
      <c r="I134" s="189"/>
      <c r="J134" s="4"/>
      <c r="K134" s="171"/>
      <c r="Q134" s="233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78">
        <f>'Données projet'!A133</f>
        <v>0</v>
      </c>
      <c r="B135" s="179">
        <f>'Données projet'!D133</f>
        <v>0</v>
      </c>
      <c r="C135" s="189"/>
      <c r="D135" s="177">
        <f t="shared" si="8"/>
        <v>0</v>
      </c>
      <c r="E135" s="191"/>
      <c r="F135" s="230"/>
      <c r="G135" s="204"/>
      <c r="H135" s="188"/>
      <c r="I135" s="189"/>
      <c r="J135" s="4"/>
      <c r="K135" s="171"/>
      <c r="Q135" s="233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28"/>
      <c r="G136" s="204"/>
      <c r="H136" s="188"/>
      <c r="I136" s="189"/>
      <c r="J136" s="4"/>
      <c r="K136" s="171"/>
      <c r="L136" s="4"/>
      <c r="M136" s="4"/>
      <c r="N136" s="4"/>
      <c r="Q136" s="233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28"/>
      <c r="G137" s="204"/>
      <c r="H137" s="188"/>
      <c r="I137" s="189"/>
      <c r="J137" s="4"/>
      <c r="K137" s="171"/>
      <c r="L137" s="4"/>
      <c r="M137" s="4"/>
      <c r="N137" s="4"/>
      <c r="Q137" s="233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2" t="str">
        <f>IF('Données projet'!B13="","",'Données projet'!B13)</f>
        <v>Chêne pubescent</v>
      </c>
      <c r="C138" s="4"/>
      <c r="D138" s="4"/>
      <c r="E138" s="4"/>
      <c r="F138" s="228"/>
      <c r="G138" s="204"/>
      <c r="H138" s="188"/>
      <c r="I138" s="189"/>
      <c r="J138" s="4"/>
      <c r="K138" s="171"/>
      <c r="L138" s="4"/>
      <c r="M138" s="4"/>
      <c r="N138" s="4"/>
      <c r="Q138" s="233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28"/>
      <c r="G139" s="204"/>
      <c r="H139" s="188"/>
      <c r="I139" s="189"/>
      <c r="J139" s="4"/>
      <c r="K139" s="171"/>
      <c r="L139" s="4"/>
      <c r="M139" s="4"/>
      <c r="N139" s="4"/>
      <c r="Q139" s="233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29"/>
      <c r="G140" s="204"/>
      <c r="H140" s="188"/>
      <c r="I140" s="189"/>
      <c r="J140" s="4"/>
      <c r="K140" s="171"/>
      <c r="L140" s="4"/>
      <c r="M140" s="4"/>
      <c r="N140" s="4"/>
      <c r="Q140" s="233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7" t="s">
        <v>132</v>
      </c>
      <c r="C141" s="196" t="s">
        <v>132</v>
      </c>
      <c r="D141" s="195" t="s">
        <v>132</v>
      </c>
      <c r="E141" s="191"/>
      <c r="F141" s="229"/>
      <c r="G141" s="204"/>
      <c r="H141" s="188"/>
      <c r="I141" s="189"/>
      <c r="J141" s="4"/>
      <c r="K141" s="171"/>
      <c r="L141" s="4"/>
      <c r="M141" s="4"/>
      <c r="N141" s="4"/>
      <c r="Q141" s="233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7" t="s">
        <v>132</v>
      </c>
      <c r="C142" s="196" t="s">
        <v>132</v>
      </c>
      <c r="D142" s="195" t="s">
        <v>132</v>
      </c>
      <c r="E142" s="191"/>
      <c r="F142" s="229"/>
      <c r="G142" s="23"/>
      <c r="H142" s="188"/>
      <c r="I142" s="189"/>
      <c r="J142" s="4"/>
      <c r="K142" s="171"/>
      <c r="L142" s="4"/>
      <c r="M142" s="4"/>
      <c r="N142" s="4"/>
      <c r="Q142" s="233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7" t="s">
        <v>132</v>
      </c>
      <c r="C143" s="196" t="s">
        <v>132</v>
      </c>
      <c r="D143" s="195" t="s">
        <v>132</v>
      </c>
      <c r="E143" s="191"/>
      <c r="F143" s="229"/>
      <c r="G143" s="23"/>
      <c r="H143" s="188"/>
      <c r="I143" s="189"/>
      <c r="J143" s="4"/>
      <c r="K143" s="171"/>
      <c r="L143" s="4"/>
      <c r="M143" s="4"/>
      <c r="N143" s="4"/>
      <c r="Q143" s="233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7" t="s">
        <v>132</v>
      </c>
      <c r="C144" s="196" t="s">
        <v>132</v>
      </c>
      <c r="D144" s="195" t="s">
        <v>132</v>
      </c>
      <c r="E144" s="191"/>
      <c r="F144" s="229"/>
      <c r="G144" s="23"/>
      <c r="H144" s="188"/>
      <c r="I144" s="189"/>
      <c r="J144" s="4"/>
      <c r="K144" s="171"/>
      <c r="L144" s="4"/>
      <c r="M144" s="4"/>
      <c r="N144" s="4"/>
      <c r="Q144" s="233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7" t="s">
        <v>132</v>
      </c>
      <c r="C145" s="196" t="s">
        <v>132</v>
      </c>
      <c r="D145" s="195" t="s">
        <v>132</v>
      </c>
      <c r="E145" s="191"/>
      <c r="F145" s="229"/>
      <c r="G145" s="23"/>
      <c r="H145" s="188"/>
      <c r="I145" s="189"/>
      <c r="J145" s="4"/>
      <c r="K145" s="171"/>
      <c r="L145" s="4"/>
      <c r="M145" s="4"/>
      <c r="N145" s="4"/>
      <c r="Q145" s="233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7" t="s">
        <v>132</v>
      </c>
      <c r="C146" s="196" t="s">
        <v>132</v>
      </c>
      <c r="D146" s="195" t="s">
        <v>132</v>
      </c>
      <c r="E146" s="191"/>
      <c r="F146" s="229"/>
      <c r="G146" s="203"/>
      <c r="H146" s="188"/>
      <c r="I146" s="189"/>
      <c r="J146" s="4"/>
      <c r="K146" s="171"/>
      <c r="L146" s="4"/>
      <c r="M146" s="4"/>
      <c r="N146" s="4"/>
      <c r="Q146" s="233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3">
        <f>'Données projet'!D140</f>
        <v>6</v>
      </c>
      <c r="C147" s="189"/>
      <c r="D147" s="180">
        <f>B147*C147</f>
        <v>0</v>
      </c>
      <c r="E147" s="191"/>
      <c r="F147" s="231"/>
      <c r="G147" s="203"/>
      <c r="H147" s="188"/>
      <c r="I147" s="189"/>
      <c r="J147" s="4"/>
      <c r="K147" s="171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3">
        <f>'Données projet'!D141</f>
        <v>56</v>
      </c>
      <c r="C148" s="189"/>
      <c r="D148" s="180">
        <f t="shared" ref="D148:D166" si="10">B148*C148</f>
        <v>0</v>
      </c>
      <c r="E148" s="191"/>
      <c r="F148" s="231"/>
      <c r="G148" s="203"/>
      <c r="H148" s="188"/>
      <c r="I148" s="189"/>
      <c r="J148" s="4"/>
      <c r="K148" s="171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3">
        <f>'Données projet'!D142</f>
        <v>56</v>
      </c>
      <c r="C149" s="189"/>
      <c r="D149" s="180">
        <f t="shared" si="10"/>
        <v>0</v>
      </c>
      <c r="E149" s="191"/>
      <c r="F149" s="231"/>
      <c r="G149" s="203"/>
      <c r="H149" s="188"/>
      <c r="I149" s="189"/>
      <c r="J149" s="4"/>
      <c r="K149" s="171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3">
        <f>'Données projet'!D143</f>
        <v>56</v>
      </c>
      <c r="C150" s="189"/>
      <c r="D150" s="180">
        <f t="shared" si="10"/>
        <v>0</v>
      </c>
      <c r="E150" s="191"/>
      <c r="F150" s="231"/>
      <c r="G150" s="203"/>
      <c r="H150" s="188"/>
      <c r="I150" s="189"/>
      <c r="J150" s="4"/>
      <c r="K150" s="171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3">
        <f>'Données projet'!D144</f>
        <v>56</v>
      </c>
      <c r="C151" s="189"/>
      <c r="D151" s="180">
        <f t="shared" si="10"/>
        <v>0</v>
      </c>
      <c r="E151" s="191"/>
      <c r="F151" s="231"/>
      <c r="G151" s="203"/>
      <c r="H151" s="188"/>
      <c r="I151" s="189"/>
      <c r="J151" s="4"/>
      <c r="K151" s="171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3">
        <f>'Données projet'!D145</f>
        <v>56</v>
      </c>
      <c r="C152" s="189"/>
      <c r="D152" s="180">
        <f t="shared" si="10"/>
        <v>0</v>
      </c>
      <c r="E152" s="191"/>
      <c r="F152" s="231"/>
      <c r="G152" s="203"/>
      <c r="H152" s="188"/>
      <c r="I152" s="189"/>
      <c r="J152" s="4"/>
      <c r="K152" s="171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3">
        <f>'Données projet'!D146</f>
        <v>56</v>
      </c>
      <c r="C153" s="189"/>
      <c r="D153" s="180">
        <f t="shared" si="10"/>
        <v>0</v>
      </c>
      <c r="E153" s="191"/>
      <c r="F153" s="231"/>
      <c r="G153" s="201"/>
      <c r="H153" s="188"/>
      <c r="I153" s="189"/>
      <c r="J153" s="4"/>
      <c r="K153" s="171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90</v>
      </c>
      <c r="B154" s="173">
        <f>'Données projet'!D147</f>
        <v>56</v>
      </c>
      <c r="C154" s="189"/>
      <c r="D154" s="180">
        <f t="shared" si="10"/>
        <v>0</v>
      </c>
      <c r="E154" s="191"/>
      <c r="F154" s="231"/>
      <c r="G154" s="201"/>
      <c r="H154" s="188"/>
      <c r="I154" s="189"/>
      <c r="J154" s="4"/>
      <c r="K154" s="171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100</v>
      </c>
      <c r="B155" s="173">
        <f>'Données projet'!D148</f>
        <v>55</v>
      </c>
      <c r="C155" s="189"/>
      <c r="D155" s="180">
        <f t="shared" si="10"/>
        <v>0</v>
      </c>
      <c r="E155" s="191"/>
      <c r="F155" s="231"/>
      <c r="G155" s="201"/>
      <c r="H155" s="188"/>
      <c r="I155" s="189"/>
      <c r="J155" s="4"/>
      <c r="K155" s="171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110</v>
      </c>
      <c r="B156" s="173">
        <f>'Données projet'!D149</f>
        <v>51</v>
      </c>
      <c r="C156" s="189"/>
      <c r="D156" s="180">
        <f t="shared" si="10"/>
        <v>0</v>
      </c>
      <c r="E156" s="191"/>
      <c r="F156" s="231"/>
      <c r="G156" s="201"/>
      <c r="H156" s="188"/>
      <c r="I156" s="189"/>
      <c r="J156" s="4"/>
      <c r="K156" s="171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120</v>
      </c>
      <c r="B157" s="173">
        <f>'Données projet'!D150</f>
        <v>47</v>
      </c>
      <c r="C157" s="189"/>
      <c r="D157" s="180">
        <f t="shared" si="10"/>
        <v>0</v>
      </c>
      <c r="E157" s="191"/>
      <c r="F157" s="231"/>
      <c r="G157" s="201"/>
      <c r="H157" s="188"/>
      <c r="I157" s="189"/>
      <c r="J157" s="4"/>
      <c r="K157" s="171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130</v>
      </c>
      <c r="B158" s="173">
        <f>'Données projet'!D151</f>
        <v>44</v>
      </c>
      <c r="C158" s="189"/>
      <c r="D158" s="180">
        <f t="shared" si="10"/>
        <v>0</v>
      </c>
      <c r="E158" s="191"/>
      <c r="F158" s="231"/>
      <c r="G158" s="201"/>
      <c r="H158" s="188"/>
      <c r="I158" s="189"/>
      <c r="J158" s="4"/>
      <c r="K158" s="171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140</v>
      </c>
      <c r="B159" s="173">
        <f>'Données projet'!D152</f>
        <v>41</v>
      </c>
      <c r="C159" s="189"/>
      <c r="D159" s="180">
        <f t="shared" si="10"/>
        <v>0</v>
      </c>
      <c r="E159" s="191"/>
      <c r="F159" s="231"/>
      <c r="G159" s="201"/>
      <c r="H159" s="188"/>
      <c r="I159" s="189"/>
      <c r="J159" s="4"/>
      <c r="K159" s="171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150</v>
      </c>
      <c r="B160" s="173">
        <f>'Données projet'!D153</f>
        <v>333</v>
      </c>
      <c r="C160" s="189"/>
      <c r="D160" s="180">
        <f t="shared" si="10"/>
        <v>0</v>
      </c>
      <c r="E160" s="191"/>
      <c r="F160" s="231"/>
      <c r="G160" s="201"/>
      <c r="H160" s="188"/>
      <c r="I160" s="189"/>
      <c r="J160" s="4"/>
      <c r="K160" s="17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3">
        <f>'Données projet'!D154</f>
        <v>0</v>
      </c>
      <c r="C161" s="189"/>
      <c r="D161" s="180">
        <f t="shared" si="10"/>
        <v>0</v>
      </c>
      <c r="E161" s="191"/>
      <c r="F161" s="231"/>
      <c r="G161" s="201"/>
      <c r="H161" s="188"/>
      <c r="I161" s="189"/>
      <c r="J161" s="4"/>
      <c r="K161" s="17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3">
        <f>'Données projet'!D155</f>
        <v>0</v>
      </c>
      <c r="C162" s="189"/>
      <c r="D162" s="180">
        <f t="shared" si="10"/>
        <v>0</v>
      </c>
      <c r="E162" s="191"/>
      <c r="F162" s="231"/>
      <c r="G162" s="201"/>
      <c r="H162" s="188"/>
      <c r="I162" s="189"/>
      <c r="J162" s="4"/>
      <c r="K162" s="17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3">
        <f>'Données projet'!D156</f>
        <v>0</v>
      </c>
      <c r="C163" s="189"/>
      <c r="D163" s="180">
        <f t="shared" si="10"/>
        <v>0</v>
      </c>
      <c r="E163" s="191"/>
      <c r="F163" s="231"/>
      <c r="G163" s="201"/>
      <c r="H163" s="188"/>
      <c r="I163" s="189"/>
      <c r="J163" s="4"/>
      <c r="K163" s="17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3">
        <f>'Données projet'!D157</f>
        <v>0</v>
      </c>
      <c r="C164" s="189"/>
      <c r="D164" s="180">
        <f t="shared" si="10"/>
        <v>0</v>
      </c>
      <c r="E164" s="191"/>
      <c r="F164" s="231"/>
      <c r="G164" s="201"/>
      <c r="H164" s="188"/>
      <c r="I164" s="189"/>
      <c r="J164" s="4"/>
      <c r="K164" s="17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3">
        <f>'Données projet'!D158</f>
        <v>0</v>
      </c>
      <c r="C165" s="189"/>
      <c r="D165" s="180">
        <f t="shared" si="10"/>
        <v>0</v>
      </c>
      <c r="E165" s="191"/>
      <c r="F165" s="231"/>
      <c r="G165" s="201"/>
      <c r="H165" s="188"/>
      <c r="I165" s="189"/>
      <c r="J165" s="4"/>
      <c r="K165" s="17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3">
        <f>'Données projet'!D159</f>
        <v>0</v>
      </c>
      <c r="C166" s="189"/>
      <c r="D166" s="180">
        <f t="shared" si="10"/>
        <v>0</v>
      </c>
      <c r="E166" s="191"/>
      <c r="F166" s="231"/>
      <c r="G166" s="201"/>
      <c r="H166" s="188"/>
      <c r="I166" s="189"/>
      <c r="J166" s="4"/>
      <c r="K166" s="17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28"/>
      <c r="G167" s="201"/>
      <c r="H167" s="188"/>
      <c r="I167" s="189"/>
      <c r="J167" s="4"/>
      <c r="K167" s="17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28"/>
      <c r="G168" s="201"/>
      <c r="H168" s="188"/>
      <c r="I168" s="189"/>
      <c r="J168" s="4"/>
      <c r="K168" s="17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2" t="str">
        <f>IF('Données projet'!B14="","",'Données projet'!B14)</f>
        <v>Charme</v>
      </c>
      <c r="C169" s="4"/>
      <c r="D169" s="4"/>
      <c r="E169" s="4"/>
      <c r="F169" s="228"/>
      <c r="G169" s="201"/>
      <c r="H169" s="188"/>
      <c r="I169" s="189"/>
      <c r="J169" s="4"/>
      <c r="K169" s="17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28"/>
      <c r="G170" s="201"/>
      <c r="H170" s="188"/>
      <c r="I170" s="189"/>
      <c r="J170" s="4"/>
      <c r="K170" s="17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29"/>
      <c r="G171" s="201"/>
      <c r="H171" s="188"/>
      <c r="I171" s="189"/>
      <c r="J171" s="4"/>
      <c r="K171" s="17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7" t="s">
        <v>132</v>
      </c>
      <c r="C172" s="196" t="s">
        <v>132</v>
      </c>
      <c r="D172" s="195" t="s">
        <v>132</v>
      </c>
      <c r="E172" s="191"/>
      <c r="F172" s="229"/>
      <c r="G172" s="201"/>
      <c r="H172" s="188"/>
      <c r="I172" s="189"/>
      <c r="J172" s="4"/>
      <c r="K172" s="17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7" t="s">
        <v>132</v>
      </c>
      <c r="C173" s="196" t="s">
        <v>132</v>
      </c>
      <c r="D173" s="195" t="s">
        <v>132</v>
      </c>
      <c r="E173" s="191"/>
      <c r="F173" s="229"/>
      <c r="G173" s="23"/>
      <c r="H173" s="188"/>
      <c r="I173" s="189"/>
      <c r="J173" s="4"/>
      <c r="K173" s="17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7" t="s">
        <v>132</v>
      </c>
      <c r="C174" s="196" t="s">
        <v>132</v>
      </c>
      <c r="D174" s="195" t="s">
        <v>132</v>
      </c>
      <c r="E174" s="191"/>
      <c r="F174" s="229"/>
      <c r="G174" s="23"/>
      <c r="H174" s="188"/>
      <c r="I174" s="189"/>
      <c r="J174" s="4"/>
      <c r="K174" s="17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7" t="s">
        <v>132</v>
      </c>
      <c r="C175" s="196" t="s">
        <v>132</v>
      </c>
      <c r="D175" s="195" t="s">
        <v>132</v>
      </c>
      <c r="E175" s="191"/>
      <c r="F175" s="229"/>
      <c r="G175" s="23"/>
      <c r="H175" s="188"/>
      <c r="I175" s="189"/>
      <c r="J175" s="4"/>
      <c r="K175" s="17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7" t="s">
        <v>132</v>
      </c>
      <c r="C176" s="196" t="s">
        <v>132</v>
      </c>
      <c r="D176" s="195" t="s">
        <v>132</v>
      </c>
      <c r="E176" s="191"/>
      <c r="F176" s="229"/>
      <c r="G176" s="23"/>
      <c r="H176" s="188"/>
      <c r="I176" s="189"/>
      <c r="J176" s="4"/>
      <c r="K176" s="17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7" t="s">
        <v>132</v>
      </c>
      <c r="C177" s="196" t="s">
        <v>132</v>
      </c>
      <c r="D177" s="195" t="s">
        <v>132</v>
      </c>
      <c r="E177" s="191"/>
      <c r="F177" s="229"/>
      <c r="G177" s="203"/>
      <c r="H177" s="188"/>
      <c r="I177" s="189"/>
      <c r="J177" s="4"/>
      <c r="K177" s="17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78">
        <f>'Données projet'!A166</f>
        <v>20</v>
      </c>
      <c r="B178" s="179">
        <f>'Données projet'!D166</f>
        <v>6</v>
      </c>
      <c r="C178" s="191"/>
      <c r="D178" s="177">
        <f>B178*C178</f>
        <v>0</v>
      </c>
      <c r="E178" s="191"/>
      <c r="F178" s="230"/>
      <c r="G178" s="203"/>
      <c r="H178" s="188"/>
      <c r="I178" s="189"/>
      <c r="J178" s="4"/>
      <c r="K178" s="17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78">
        <f>'Données projet'!A167</f>
        <v>30</v>
      </c>
      <c r="B179" s="179">
        <f>'Données projet'!D167</f>
        <v>56</v>
      </c>
      <c r="C179" s="191"/>
      <c r="D179" s="177">
        <f t="shared" ref="D179:D197" si="11">B179*C179</f>
        <v>0</v>
      </c>
      <c r="E179" s="191"/>
      <c r="F179" s="230"/>
      <c r="G179" s="203"/>
      <c r="H179" s="188"/>
      <c r="I179" s="189"/>
      <c r="J179" s="4"/>
      <c r="K179" s="17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78">
        <f>'Données projet'!A168</f>
        <v>40</v>
      </c>
      <c r="B180" s="179">
        <f>'Données projet'!D168</f>
        <v>56</v>
      </c>
      <c r="C180" s="191"/>
      <c r="D180" s="177">
        <f t="shared" si="11"/>
        <v>0</v>
      </c>
      <c r="E180" s="191"/>
      <c r="F180" s="230"/>
      <c r="G180" s="203"/>
      <c r="H180" s="188"/>
      <c r="I180" s="189"/>
      <c r="J180" s="4"/>
      <c r="K180" s="17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78">
        <f>'Données projet'!A169</f>
        <v>50</v>
      </c>
      <c r="B181" s="179">
        <f>'Données projet'!D169</f>
        <v>56</v>
      </c>
      <c r="C181" s="191"/>
      <c r="D181" s="177">
        <f t="shared" si="11"/>
        <v>0</v>
      </c>
      <c r="E181" s="191"/>
      <c r="F181" s="230"/>
      <c r="G181" s="203"/>
      <c r="H181" s="188"/>
      <c r="I181" s="189"/>
      <c r="J181" s="4"/>
      <c r="K181" s="17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78">
        <f>'Données projet'!A170</f>
        <v>60</v>
      </c>
      <c r="B182" s="179">
        <f>'Données projet'!D170</f>
        <v>56</v>
      </c>
      <c r="C182" s="191"/>
      <c r="D182" s="177">
        <f t="shared" si="11"/>
        <v>0</v>
      </c>
      <c r="E182" s="191"/>
      <c r="F182" s="230"/>
      <c r="G182" s="203"/>
      <c r="H182" s="188"/>
      <c r="I182" s="189"/>
      <c r="J182" s="4"/>
      <c r="K182" s="17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78">
        <f>'Données projet'!A171</f>
        <v>70</v>
      </c>
      <c r="B183" s="179">
        <f>'Données projet'!D171</f>
        <v>56</v>
      </c>
      <c r="C183" s="191"/>
      <c r="D183" s="177">
        <f t="shared" si="11"/>
        <v>0</v>
      </c>
      <c r="E183" s="191"/>
      <c r="F183" s="230"/>
      <c r="G183" s="203"/>
      <c r="H183" s="188"/>
      <c r="I183" s="189"/>
      <c r="J183" s="4"/>
      <c r="K183" s="17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78">
        <f>'Données projet'!A172</f>
        <v>80</v>
      </c>
      <c r="B184" s="179">
        <f>'Données projet'!D172</f>
        <v>56</v>
      </c>
      <c r="C184" s="191"/>
      <c r="D184" s="177">
        <f t="shared" si="11"/>
        <v>0</v>
      </c>
      <c r="E184" s="191"/>
      <c r="F184" s="230"/>
      <c r="G184" s="204"/>
      <c r="H184" s="188"/>
      <c r="I184" s="189"/>
      <c r="J184" s="4"/>
      <c r="K184" s="17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78">
        <f>'Données projet'!A173</f>
        <v>90</v>
      </c>
      <c r="B185" s="179">
        <f>'Données projet'!D173</f>
        <v>56</v>
      </c>
      <c r="C185" s="191"/>
      <c r="D185" s="177">
        <f t="shared" si="11"/>
        <v>0</v>
      </c>
      <c r="E185" s="191"/>
      <c r="F185" s="230"/>
      <c r="G185" s="204"/>
      <c r="H185" s="188"/>
      <c r="I185" s="189"/>
      <c r="J185" s="4"/>
      <c r="K185" s="17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78">
        <f>'Données projet'!A174</f>
        <v>100</v>
      </c>
      <c r="B186" s="179">
        <f>'Données projet'!D174</f>
        <v>55</v>
      </c>
      <c r="C186" s="191"/>
      <c r="D186" s="177">
        <f t="shared" si="11"/>
        <v>0</v>
      </c>
      <c r="E186" s="191"/>
      <c r="F186" s="230"/>
      <c r="G186" s="204"/>
      <c r="H186" s="188"/>
      <c r="I186" s="189"/>
      <c r="J186" s="4"/>
      <c r="K186" s="17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78">
        <f>'Données projet'!A175</f>
        <v>110</v>
      </c>
      <c r="B187" s="179">
        <f>'Données projet'!D175</f>
        <v>51</v>
      </c>
      <c r="C187" s="191"/>
      <c r="D187" s="177">
        <f t="shared" si="11"/>
        <v>0</v>
      </c>
      <c r="E187" s="191"/>
      <c r="F187" s="230"/>
      <c r="G187" s="204"/>
      <c r="H187" s="188"/>
      <c r="I187" s="189"/>
      <c r="J187" s="4"/>
      <c r="K187" s="17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78">
        <f>'Données projet'!A176</f>
        <v>120</v>
      </c>
      <c r="B188" s="179">
        <f>'Données projet'!D176</f>
        <v>47</v>
      </c>
      <c r="C188" s="191"/>
      <c r="D188" s="177">
        <f t="shared" si="11"/>
        <v>0</v>
      </c>
      <c r="E188" s="191"/>
      <c r="F188" s="230"/>
      <c r="G188" s="204"/>
      <c r="H188" s="188"/>
      <c r="I188" s="189"/>
      <c r="J188" s="4"/>
      <c r="K188" s="17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78">
        <f>'Données projet'!A177</f>
        <v>130</v>
      </c>
      <c r="B189" s="179">
        <f>'Données projet'!D177</f>
        <v>44</v>
      </c>
      <c r="C189" s="191"/>
      <c r="D189" s="177">
        <f t="shared" si="11"/>
        <v>0</v>
      </c>
      <c r="E189" s="191"/>
      <c r="F189" s="230"/>
      <c r="G189" s="204"/>
      <c r="H189" s="188"/>
      <c r="I189" s="189"/>
      <c r="J189" s="4"/>
      <c r="K189" s="17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78">
        <f>'Données projet'!A178</f>
        <v>140</v>
      </c>
      <c r="B190" s="179">
        <f>'Données projet'!D178</f>
        <v>41</v>
      </c>
      <c r="C190" s="191"/>
      <c r="D190" s="177">
        <f t="shared" si="11"/>
        <v>0</v>
      </c>
      <c r="E190" s="191"/>
      <c r="F190" s="230"/>
      <c r="G190" s="204"/>
      <c r="H190" s="188"/>
      <c r="I190" s="189"/>
      <c r="J190" s="4"/>
      <c r="K190" s="17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78">
        <f>'Données projet'!A179</f>
        <v>150</v>
      </c>
      <c r="B191" s="179">
        <f>'Données projet'!D179</f>
        <v>333</v>
      </c>
      <c r="C191" s="191"/>
      <c r="D191" s="177">
        <f t="shared" si="11"/>
        <v>0</v>
      </c>
      <c r="E191" s="191"/>
      <c r="F191" s="230"/>
      <c r="G191" s="204"/>
      <c r="H191" s="188"/>
      <c r="I191" s="189"/>
      <c r="J191" s="4"/>
      <c r="K191" s="17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78">
        <f>'Données projet'!A180</f>
        <v>0</v>
      </c>
      <c r="B192" s="179">
        <f>'Données projet'!D180</f>
        <v>0</v>
      </c>
      <c r="C192" s="191"/>
      <c r="D192" s="177">
        <f t="shared" si="11"/>
        <v>0</v>
      </c>
      <c r="E192" s="191"/>
      <c r="F192" s="230"/>
      <c r="G192" s="204"/>
      <c r="H192" s="188"/>
      <c r="I192" s="189"/>
      <c r="J192" s="4"/>
      <c r="K192" s="17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78">
        <f>'Données projet'!A181</f>
        <v>0</v>
      </c>
      <c r="B193" s="179">
        <f>'Données projet'!D181</f>
        <v>0</v>
      </c>
      <c r="C193" s="191"/>
      <c r="D193" s="177">
        <f t="shared" si="11"/>
        <v>0</v>
      </c>
      <c r="E193" s="191"/>
      <c r="F193" s="230"/>
      <c r="G193" s="204"/>
      <c r="H193" s="188"/>
      <c r="I193" s="189"/>
      <c r="J193" s="4"/>
      <c r="K193" s="17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78">
        <f>'Données projet'!A182</f>
        <v>0</v>
      </c>
      <c r="B194" s="179">
        <f>'Données projet'!D182</f>
        <v>0</v>
      </c>
      <c r="C194" s="191"/>
      <c r="D194" s="177">
        <f t="shared" si="11"/>
        <v>0</v>
      </c>
      <c r="E194" s="191"/>
      <c r="F194" s="230"/>
      <c r="G194" s="204"/>
      <c r="H194" s="188"/>
      <c r="I194" s="189"/>
      <c r="J194" s="4"/>
      <c r="K194" s="17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78">
        <f>'Données projet'!A183</f>
        <v>0</v>
      </c>
      <c r="B195" s="179">
        <f>'Données projet'!D183</f>
        <v>0</v>
      </c>
      <c r="C195" s="191"/>
      <c r="D195" s="177">
        <f t="shared" si="11"/>
        <v>0</v>
      </c>
      <c r="E195" s="191"/>
      <c r="F195" s="230"/>
      <c r="G195" s="204"/>
      <c r="H195" s="188"/>
      <c r="I195" s="189"/>
      <c r="J195" s="4"/>
      <c r="K195" s="17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78">
        <f>'Données projet'!A184</f>
        <v>0</v>
      </c>
      <c r="B196" s="179">
        <f>'Données projet'!D184</f>
        <v>0</v>
      </c>
      <c r="C196" s="191"/>
      <c r="D196" s="177">
        <f t="shared" si="11"/>
        <v>0</v>
      </c>
      <c r="E196" s="191"/>
      <c r="F196" s="230"/>
      <c r="G196" s="204"/>
      <c r="H196" s="188"/>
      <c r="I196" s="189"/>
      <c r="J196" s="4"/>
      <c r="K196" s="17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78">
        <f>'Données projet'!A185</f>
        <v>0</v>
      </c>
      <c r="B197" s="179">
        <f>'Données projet'!D185</f>
        <v>0</v>
      </c>
      <c r="C197" s="191"/>
      <c r="D197" s="177">
        <f t="shared" si="11"/>
        <v>0</v>
      </c>
      <c r="E197" s="191"/>
      <c r="F197" s="230"/>
      <c r="G197" s="204"/>
      <c r="H197" s="188"/>
      <c r="I197" s="189"/>
      <c r="J197" s="4"/>
      <c r="K197" s="17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28"/>
      <c r="G198" s="204"/>
      <c r="H198" s="188"/>
      <c r="I198" s="189"/>
      <c r="J198" s="4"/>
      <c r="K198" s="17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28"/>
      <c r="G199" s="204"/>
      <c r="H199" s="188"/>
      <c r="I199" s="189"/>
      <c r="J199" s="4"/>
      <c r="K199" s="17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2" t="str">
        <f>IF('Données projet'!$B$15="","",'Données projet'!$B$15)</f>
        <v/>
      </c>
      <c r="C200" s="4"/>
      <c r="D200" s="4"/>
      <c r="E200" s="4"/>
      <c r="F200" s="228"/>
      <c r="G200" s="204"/>
      <c r="H200" s="188"/>
      <c r="I200" s="189"/>
      <c r="J200" s="4"/>
      <c r="K200" s="17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28"/>
      <c r="G201" s="204"/>
      <c r="H201" s="188"/>
      <c r="I201" s="189"/>
      <c r="J201" s="4"/>
      <c r="K201" s="17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29"/>
      <c r="G202" s="204"/>
      <c r="H202" s="188"/>
      <c r="I202" s="189"/>
      <c r="J202" s="4"/>
      <c r="K202" s="17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7" t="s">
        <v>132</v>
      </c>
      <c r="C203" s="196" t="s">
        <v>132</v>
      </c>
      <c r="D203" s="195" t="s">
        <v>132</v>
      </c>
      <c r="E203" s="191"/>
      <c r="F203" s="229"/>
      <c r="G203" s="204"/>
      <c r="H203" s="188"/>
      <c r="I203" s="189"/>
      <c r="J203" s="4"/>
      <c r="K203" s="17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7" t="s">
        <v>132</v>
      </c>
      <c r="C204" s="196" t="s">
        <v>132</v>
      </c>
      <c r="D204" s="195" t="s">
        <v>132</v>
      </c>
      <c r="E204" s="191"/>
      <c r="F204" s="229"/>
      <c r="G204" s="23"/>
      <c r="H204" s="188"/>
      <c r="I204" s="189"/>
      <c r="J204" s="4"/>
      <c r="K204" s="17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7" t="s">
        <v>132</v>
      </c>
      <c r="C205" s="196" t="s">
        <v>132</v>
      </c>
      <c r="D205" s="195" t="s">
        <v>132</v>
      </c>
      <c r="E205" s="191"/>
      <c r="F205" s="229"/>
      <c r="G205" s="23"/>
      <c r="H205" s="188"/>
      <c r="I205" s="189"/>
      <c r="J205" s="4"/>
      <c r="K205" s="17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7" t="s">
        <v>132</v>
      </c>
      <c r="C206" s="196" t="s">
        <v>132</v>
      </c>
      <c r="D206" s="195" t="s">
        <v>132</v>
      </c>
      <c r="E206" s="191"/>
      <c r="F206" s="229"/>
      <c r="G206" s="23"/>
      <c r="H206" s="188"/>
      <c r="I206" s="189"/>
      <c r="J206" s="4"/>
      <c r="K206" s="17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7" t="s">
        <v>132</v>
      </c>
      <c r="C207" s="196" t="s">
        <v>132</v>
      </c>
      <c r="D207" s="195" t="s">
        <v>132</v>
      </c>
      <c r="E207" s="191"/>
      <c r="F207" s="229"/>
      <c r="G207" s="23"/>
      <c r="H207" s="188"/>
      <c r="I207" s="189"/>
      <c r="J207" s="4"/>
      <c r="K207" s="17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7" t="s">
        <v>132</v>
      </c>
      <c r="C208" s="196" t="s">
        <v>132</v>
      </c>
      <c r="D208" s="195" t="s">
        <v>132</v>
      </c>
      <c r="E208" s="191"/>
      <c r="F208" s="229"/>
      <c r="G208" s="203"/>
      <c r="H208" s="188"/>
      <c r="I208" s="189"/>
      <c r="J208" s="4"/>
      <c r="K208" s="17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78">
        <f>'Données projet'!A192</f>
        <v>0</v>
      </c>
      <c r="B209" s="179">
        <f>'Données projet'!D192</f>
        <v>0</v>
      </c>
      <c r="C209" s="191"/>
      <c r="D209" s="177">
        <f>B209*C209</f>
        <v>0</v>
      </c>
      <c r="E209" s="191"/>
      <c r="F209" s="230"/>
      <c r="G209" s="203"/>
      <c r="H209" s="188"/>
      <c r="I209" s="189"/>
      <c r="J209" s="4"/>
      <c r="K209" s="17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78">
        <f>'Données projet'!A193</f>
        <v>0</v>
      </c>
      <c r="B210" s="179">
        <f>'Données projet'!D193</f>
        <v>0</v>
      </c>
      <c r="C210" s="191"/>
      <c r="D210" s="177">
        <f t="shared" ref="D210:D228" si="12">B210*C210</f>
        <v>0</v>
      </c>
      <c r="E210" s="191"/>
      <c r="F210" s="230"/>
      <c r="G210" s="203"/>
      <c r="H210" s="188"/>
      <c r="I210" s="189"/>
      <c r="J210" s="4"/>
      <c r="K210" s="17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78">
        <f>'Données projet'!A194</f>
        <v>0</v>
      </c>
      <c r="B211" s="179">
        <f>'Données projet'!D194</f>
        <v>0</v>
      </c>
      <c r="C211" s="191"/>
      <c r="D211" s="177">
        <f t="shared" si="12"/>
        <v>0</v>
      </c>
      <c r="E211" s="191"/>
      <c r="F211" s="230"/>
      <c r="G211" s="203"/>
      <c r="H211" s="188"/>
      <c r="I211" s="189"/>
      <c r="J211" s="4"/>
      <c r="K211" s="17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78">
        <f>'Données projet'!A195</f>
        <v>0</v>
      </c>
      <c r="B212" s="179">
        <f>'Données projet'!D195</f>
        <v>0</v>
      </c>
      <c r="C212" s="191"/>
      <c r="D212" s="177">
        <f t="shared" si="12"/>
        <v>0</v>
      </c>
      <c r="E212" s="191"/>
      <c r="F212" s="230"/>
      <c r="G212" s="203"/>
      <c r="H212" s="188"/>
      <c r="I212" s="189"/>
      <c r="J212" s="4"/>
      <c r="K212" s="17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78">
        <f>'Données projet'!A196</f>
        <v>0</v>
      </c>
      <c r="B213" s="179">
        <f>'Données projet'!D196</f>
        <v>0</v>
      </c>
      <c r="C213" s="191"/>
      <c r="D213" s="177">
        <f t="shared" si="12"/>
        <v>0</v>
      </c>
      <c r="E213" s="191"/>
      <c r="F213" s="230"/>
      <c r="G213" s="203"/>
      <c r="H213" s="188"/>
      <c r="I213" s="189"/>
      <c r="J213" s="4"/>
      <c r="K213" s="17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78">
        <f>'Données projet'!A197</f>
        <v>0</v>
      </c>
      <c r="B214" s="179">
        <f>'Données projet'!D197</f>
        <v>0</v>
      </c>
      <c r="C214" s="191"/>
      <c r="D214" s="177">
        <f t="shared" si="12"/>
        <v>0</v>
      </c>
      <c r="E214" s="191"/>
      <c r="F214" s="230"/>
      <c r="G214" s="203"/>
      <c r="H214" s="188"/>
      <c r="I214" s="189"/>
      <c r="J214" s="4"/>
      <c r="K214" s="17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78">
        <f>'Données projet'!A198</f>
        <v>0</v>
      </c>
      <c r="B215" s="179">
        <f>'Données projet'!D198</f>
        <v>0</v>
      </c>
      <c r="C215" s="191"/>
      <c r="D215" s="177">
        <f t="shared" si="12"/>
        <v>0</v>
      </c>
      <c r="E215" s="191"/>
      <c r="F215" s="230"/>
      <c r="G215" s="204"/>
      <c r="H215" s="188"/>
      <c r="I215" s="189"/>
      <c r="J215" s="4"/>
      <c r="K215" s="17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78">
        <f>'Données projet'!A199</f>
        <v>0</v>
      </c>
      <c r="B216" s="179">
        <f>'Données projet'!D199</f>
        <v>0</v>
      </c>
      <c r="C216" s="191"/>
      <c r="D216" s="177">
        <f t="shared" si="12"/>
        <v>0</v>
      </c>
      <c r="E216" s="191"/>
      <c r="F216" s="230"/>
      <c r="G216" s="204"/>
      <c r="H216" s="188"/>
      <c r="I216" s="189"/>
      <c r="J216" s="4"/>
      <c r="K216" s="17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78">
        <f>'Données projet'!A200</f>
        <v>0</v>
      </c>
      <c r="B217" s="179">
        <f>'Données projet'!D200</f>
        <v>0</v>
      </c>
      <c r="C217" s="191"/>
      <c r="D217" s="177">
        <f t="shared" si="12"/>
        <v>0</v>
      </c>
      <c r="E217" s="191"/>
      <c r="F217" s="230"/>
      <c r="G217" s="204"/>
      <c r="H217" s="188"/>
      <c r="I217" s="189"/>
      <c r="J217" s="4"/>
      <c r="K217" s="17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78">
        <f>'Données projet'!A201</f>
        <v>0</v>
      </c>
      <c r="B218" s="179">
        <f>'Données projet'!D201</f>
        <v>0</v>
      </c>
      <c r="C218" s="191"/>
      <c r="D218" s="177">
        <f t="shared" si="12"/>
        <v>0</v>
      </c>
      <c r="E218" s="191"/>
      <c r="F218" s="230"/>
      <c r="G218" s="204"/>
      <c r="H218" s="188"/>
      <c r="I218" s="189"/>
      <c r="J218" s="4"/>
      <c r="K218" s="17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78">
        <f>'Données projet'!A202</f>
        <v>0</v>
      </c>
      <c r="B219" s="179">
        <f>'Données projet'!D202</f>
        <v>0</v>
      </c>
      <c r="C219" s="191"/>
      <c r="D219" s="177">
        <f t="shared" si="12"/>
        <v>0</v>
      </c>
      <c r="E219" s="191"/>
      <c r="F219" s="230"/>
      <c r="G219" s="204"/>
      <c r="H219" s="188"/>
      <c r="I219" s="189"/>
      <c r="J219" s="4"/>
      <c r="K219" s="17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78">
        <f>'Données projet'!A203</f>
        <v>0</v>
      </c>
      <c r="B220" s="179">
        <f>'Données projet'!D203</f>
        <v>0</v>
      </c>
      <c r="C220" s="191"/>
      <c r="D220" s="177">
        <f t="shared" si="12"/>
        <v>0</v>
      </c>
      <c r="E220" s="191"/>
      <c r="F220" s="230"/>
      <c r="G220" s="204"/>
      <c r="H220" s="4"/>
      <c r="I220" s="4"/>
      <c r="J220" s="4"/>
      <c r="K220" s="17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78">
        <f>'Données projet'!A204</f>
        <v>0</v>
      </c>
      <c r="B221" s="179">
        <f>'Données projet'!D204</f>
        <v>0</v>
      </c>
      <c r="C221" s="191"/>
      <c r="D221" s="177">
        <f t="shared" si="12"/>
        <v>0</v>
      </c>
      <c r="E221" s="191"/>
      <c r="F221" s="230"/>
      <c r="G221" s="204"/>
      <c r="H221" s="4"/>
      <c r="I221" s="4"/>
      <c r="J221" s="4"/>
      <c r="K221" s="17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78">
        <f>'Données projet'!A205</f>
        <v>0</v>
      </c>
      <c r="B222" s="179">
        <f>'Données projet'!D205</f>
        <v>0</v>
      </c>
      <c r="C222" s="191"/>
      <c r="D222" s="177">
        <f t="shared" si="12"/>
        <v>0</v>
      </c>
      <c r="E222" s="191"/>
      <c r="F222" s="230"/>
      <c r="G222" s="204"/>
      <c r="H222" s="4"/>
      <c r="I222" s="4"/>
      <c r="J222" s="4"/>
      <c r="K222" s="17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78">
        <f>'Données projet'!A206</f>
        <v>0</v>
      </c>
      <c r="B223" s="179">
        <f>'Données projet'!D206</f>
        <v>0</v>
      </c>
      <c r="C223" s="191"/>
      <c r="D223" s="177">
        <f t="shared" si="12"/>
        <v>0</v>
      </c>
      <c r="E223" s="191"/>
      <c r="F223" s="230"/>
      <c r="G223" s="204"/>
      <c r="H223" s="4"/>
      <c r="I223" s="4"/>
      <c r="J223" s="4"/>
      <c r="K223" s="17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78">
        <f>'Données projet'!A207</f>
        <v>0</v>
      </c>
      <c r="B224" s="179">
        <f>'Données projet'!D207</f>
        <v>0</v>
      </c>
      <c r="C224" s="191"/>
      <c r="D224" s="177">
        <f t="shared" si="12"/>
        <v>0</v>
      </c>
      <c r="E224" s="191"/>
      <c r="F224" s="230"/>
      <c r="G224" s="204"/>
      <c r="H224" s="4"/>
      <c r="I224" s="4"/>
      <c r="J224" s="4"/>
      <c r="K224" s="17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78">
        <f>'Données projet'!A208</f>
        <v>0</v>
      </c>
      <c r="B225" s="179">
        <f>'Données projet'!D208</f>
        <v>0</v>
      </c>
      <c r="C225" s="191"/>
      <c r="D225" s="177">
        <f t="shared" si="12"/>
        <v>0</v>
      </c>
      <c r="E225" s="191"/>
      <c r="F225" s="230"/>
      <c r="G225" s="204"/>
      <c r="H225" s="4"/>
      <c r="I225" s="4"/>
      <c r="J225" s="4"/>
      <c r="K225" s="17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78">
        <f>'Données projet'!A209</f>
        <v>0</v>
      </c>
      <c r="B226" s="179">
        <f>'Données projet'!D209</f>
        <v>0</v>
      </c>
      <c r="C226" s="191"/>
      <c r="D226" s="177">
        <f t="shared" si="12"/>
        <v>0</v>
      </c>
      <c r="E226" s="191"/>
      <c r="F226" s="230"/>
      <c r="G226" s="204"/>
      <c r="H226" s="4"/>
      <c r="I226" s="4"/>
      <c r="J226" s="4"/>
      <c r="K226" s="17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78">
        <f>'Données projet'!A210</f>
        <v>0</v>
      </c>
      <c r="B227" s="179">
        <f>'Données projet'!D210</f>
        <v>0</v>
      </c>
      <c r="C227" s="191"/>
      <c r="D227" s="177">
        <f t="shared" si="12"/>
        <v>0</v>
      </c>
      <c r="E227" s="191"/>
      <c r="F227" s="230"/>
      <c r="G227" s="204"/>
      <c r="H227" s="4"/>
      <c r="I227" s="4"/>
      <c r="J227" s="4"/>
      <c r="K227" s="17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78">
        <f>'Données projet'!A211</f>
        <v>0</v>
      </c>
      <c r="B228" s="179">
        <f>'Données projet'!D211</f>
        <v>0</v>
      </c>
      <c r="C228" s="191"/>
      <c r="D228" s="177">
        <f t="shared" si="12"/>
        <v>0</v>
      </c>
      <c r="E228" s="191"/>
      <c r="F228" s="230"/>
      <c r="G228" s="204"/>
      <c r="H228" s="4"/>
      <c r="I228" s="4"/>
      <c r="J228" s="4"/>
      <c r="K228" s="17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28"/>
      <c r="G229" s="204"/>
      <c r="H229" s="4"/>
      <c r="I229" s="4"/>
      <c r="J229" s="4"/>
      <c r="K229" s="17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28"/>
      <c r="G230" s="204"/>
      <c r="H230" s="4"/>
      <c r="I230" s="4"/>
      <c r="J230" s="4"/>
      <c r="K230" s="17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2" t="str">
        <f>IF('Données projet'!$B$16="","",'Données projet'!$B$16)</f>
        <v/>
      </c>
      <c r="C231" s="4"/>
      <c r="D231" s="4"/>
      <c r="E231" s="4"/>
      <c r="F231" s="228"/>
      <c r="G231" s="204"/>
      <c r="H231" s="4"/>
      <c r="I231" s="4"/>
      <c r="J231" s="4"/>
      <c r="K231" s="17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28"/>
      <c r="G232" s="204"/>
      <c r="H232" s="4"/>
      <c r="I232" s="4"/>
      <c r="J232" s="4"/>
      <c r="K232" s="17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29"/>
      <c r="G233" s="204"/>
      <c r="H233" s="4"/>
      <c r="I233" s="4"/>
      <c r="J233" s="4"/>
      <c r="K233" s="17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7" t="s">
        <v>132</v>
      </c>
      <c r="C234" s="196" t="s">
        <v>132</v>
      </c>
      <c r="D234" s="195" t="s">
        <v>132</v>
      </c>
      <c r="E234" s="191"/>
      <c r="F234" s="229"/>
      <c r="G234" s="204"/>
      <c r="H234" s="4"/>
      <c r="I234" s="4"/>
      <c r="J234" s="4"/>
      <c r="K234" s="17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7" t="s">
        <v>132</v>
      </c>
      <c r="C235" s="196" t="s">
        <v>132</v>
      </c>
      <c r="D235" s="195" t="s">
        <v>132</v>
      </c>
      <c r="E235" s="191"/>
      <c r="F235" s="229"/>
      <c r="G235" s="23"/>
      <c r="H235" s="4"/>
      <c r="I235" s="4"/>
      <c r="J235" s="4"/>
      <c r="K235" s="17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7" t="s">
        <v>132</v>
      </c>
      <c r="C236" s="196" t="s">
        <v>132</v>
      </c>
      <c r="D236" s="195" t="s">
        <v>132</v>
      </c>
      <c r="E236" s="191"/>
      <c r="F236" s="229"/>
      <c r="G236" s="23"/>
      <c r="H236" s="4"/>
      <c r="I236" s="4"/>
      <c r="J236" s="4"/>
      <c r="K236" s="17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7" t="s">
        <v>132</v>
      </c>
      <c r="C237" s="196" t="s">
        <v>132</v>
      </c>
      <c r="D237" s="195" t="s">
        <v>132</v>
      </c>
      <c r="E237" s="191"/>
      <c r="F237" s="229"/>
      <c r="G237" s="23"/>
      <c r="H237" s="4"/>
      <c r="I237" s="4"/>
      <c r="J237" s="4"/>
      <c r="K237" s="17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7" t="s">
        <v>132</v>
      </c>
      <c r="C238" s="196" t="s">
        <v>132</v>
      </c>
      <c r="D238" s="195" t="s">
        <v>132</v>
      </c>
      <c r="E238" s="191"/>
      <c r="F238" s="229"/>
      <c r="G238" s="23"/>
      <c r="H238" s="4"/>
      <c r="I238" s="4"/>
      <c r="J238" s="4"/>
      <c r="K238" s="17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7" t="s">
        <v>132</v>
      </c>
      <c r="C239" s="196" t="s">
        <v>132</v>
      </c>
      <c r="D239" s="195" t="s">
        <v>132</v>
      </c>
      <c r="E239" s="191"/>
      <c r="F239" s="229"/>
      <c r="G239" s="203"/>
      <c r="H239" s="4"/>
      <c r="I239" s="4"/>
      <c r="J239" s="4"/>
      <c r="K239" s="17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78">
        <f>'Données projet'!A218</f>
        <v>0</v>
      </c>
      <c r="B240" s="179">
        <f>'Données projet'!D218</f>
        <v>0</v>
      </c>
      <c r="C240" s="191"/>
      <c r="D240" s="177">
        <f>B240*C240</f>
        <v>0</v>
      </c>
      <c r="E240" s="191"/>
      <c r="F240" s="230"/>
      <c r="G240" s="203"/>
      <c r="H240" s="4"/>
      <c r="I240" s="4"/>
      <c r="J240" s="4"/>
      <c r="K240" s="17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78">
        <f>'Données projet'!A219</f>
        <v>0</v>
      </c>
      <c r="B241" s="179">
        <f>'Données projet'!D219</f>
        <v>0</v>
      </c>
      <c r="C241" s="191"/>
      <c r="D241" s="177">
        <f t="shared" ref="D241:D259" si="13">B241*C241</f>
        <v>0</v>
      </c>
      <c r="E241" s="191"/>
      <c r="F241" s="230"/>
      <c r="G241" s="203"/>
      <c r="H241" s="4"/>
      <c r="I241" s="4"/>
      <c r="J241" s="4"/>
      <c r="K241" s="17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78">
        <f>'Données projet'!A220</f>
        <v>0</v>
      </c>
      <c r="B242" s="179">
        <f>'Données projet'!D220</f>
        <v>0</v>
      </c>
      <c r="C242" s="191"/>
      <c r="D242" s="177">
        <f t="shared" si="13"/>
        <v>0</v>
      </c>
      <c r="E242" s="191"/>
      <c r="F242" s="230"/>
      <c r="G242" s="203"/>
      <c r="H242" s="4"/>
      <c r="I242" s="4"/>
      <c r="J242" s="4"/>
      <c r="K242" s="17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78">
        <f>'Données projet'!A221</f>
        <v>0</v>
      </c>
      <c r="B243" s="179">
        <f>'Données projet'!D221</f>
        <v>0</v>
      </c>
      <c r="C243" s="191"/>
      <c r="D243" s="177">
        <f t="shared" si="13"/>
        <v>0</v>
      </c>
      <c r="E243" s="191"/>
      <c r="F243" s="230"/>
      <c r="G243" s="203"/>
      <c r="H243" s="4"/>
      <c r="I243" s="4"/>
      <c r="J243" s="4"/>
      <c r="K243" s="17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78">
        <f>'Données projet'!A222</f>
        <v>0</v>
      </c>
      <c r="B244" s="179">
        <f>'Données projet'!D222</f>
        <v>0</v>
      </c>
      <c r="C244" s="191"/>
      <c r="D244" s="177">
        <f t="shared" si="13"/>
        <v>0</v>
      </c>
      <c r="E244" s="191"/>
      <c r="F244" s="230"/>
      <c r="G244" s="203"/>
      <c r="H244" s="4"/>
      <c r="I244" s="4"/>
      <c r="J244" s="4"/>
      <c r="K244" s="17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78">
        <f>'Données projet'!A223</f>
        <v>0</v>
      </c>
      <c r="B245" s="179">
        <f>'Données projet'!D223</f>
        <v>0</v>
      </c>
      <c r="C245" s="191"/>
      <c r="D245" s="177">
        <f t="shared" si="13"/>
        <v>0</v>
      </c>
      <c r="E245" s="191"/>
      <c r="F245" s="230"/>
      <c r="G245" s="203"/>
      <c r="H245" s="4"/>
      <c r="I245" s="4"/>
      <c r="J245" s="4"/>
      <c r="K245" s="17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78">
        <f>'Données projet'!A224</f>
        <v>0</v>
      </c>
      <c r="B246" s="179">
        <f>'Données projet'!D224</f>
        <v>0</v>
      </c>
      <c r="C246" s="191"/>
      <c r="D246" s="177">
        <f t="shared" si="13"/>
        <v>0</v>
      </c>
      <c r="E246" s="191"/>
      <c r="F246" s="230"/>
      <c r="G246" s="204"/>
      <c r="H246" s="4"/>
      <c r="I246" s="4"/>
      <c r="J246" s="4"/>
      <c r="K246" s="17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78">
        <f>'Données projet'!A225</f>
        <v>0</v>
      </c>
      <c r="B247" s="179">
        <f>'Données projet'!D225</f>
        <v>0</v>
      </c>
      <c r="C247" s="191"/>
      <c r="D247" s="177">
        <f t="shared" si="13"/>
        <v>0</v>
      </c>
      <c r="E247" s="191"/>
      <c r="F247" s="230"/>
      <c r="G247" s="204"/>
      <c r="H247" s="4"/>
      <c r="I247" s="4"/>
      <c r="J247" s="4"/>
      <c r="K247" s="17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78">
        <f>'Données projet'!A226</f>
        <v>0</v>
      </c>
      <c r="B248" s="179">
        <f>'Données projet'!D226</f>
        <v>0</v>
      </c>
      <c r="C248" s="191"/>
      <c r="D248" s="177">
        <f t="shared" si="13"/>
        <v>0</v>
      </c>
      <c r="E248" s="191"/>
      <c r="F248" s="230"/>
      <c r="G248" s="204"/>
      <c r="H248" s="4"/>
      <c r="I248" s="4"/>
      <c r="J248" s="4"/>
      <c r="K248" s="17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78">
        <f>'Données projet'!A227</f>
        <v>0</v>
      </c>
      <c r="B249" s="179">
        <f>'Données projet'!D227</f>
        <v>0</v>
      </c>
      <c r="C249" s="191"/>
      <c r="D249" s="177">
        <f t="shared" si="13"/>
        <v>0</v>
      </c>
      <c r="E249" s="191"/>
      <c r="F249" s="230"/>
      <c r="G249" s="204"/>
      <c r="H249" s="4"/>
      <c r="I249" s="4"/>
      <c r="J249" s="4"/>
      <c r="K249" s="17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78">
        <f>'Données projet'!A228</f>
        <v>0</v>
      </c>
      <c r="B250" s="179">
        <f>'Données projet'!D228</f>
        <v>0</v>
      </c>
      <c r="C250" s="191"/>
      <c r="D250" s="177">
        <f t="shared" si="13"/>
        <v>0</v>
      </c>
      <c r="E250" s="191"/>
      <c r="F250" s="230"/>
      <c r="G250" s="204"/>
      <c r="H250" s="4"/>
      <c r="I250" s="4"/>
      <c r="J250" s="4"/>
      <c r="K250" s="17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78">
        <f>'Données projet'!A229</f>
        <v>0</v>
      </c>
      <c r="B251" s="179">
        <f>'Données projet'!D229</f>
        <v>0</v>
      </c>
      <c r="C251" s="191"/>
      <c r="D251" s="177">
        <f t="shared" si="13"/>
        <v>0</v>
      </c>
      <c r="E251" s="191"/>
      <c r="F251" s="230"/>
      <c r="G251" s="204"/>
      <c r="H251" s="4"/>
      <c r="I251" s="4"/>
      <c r="J251" s="4"/>
      <c r="K251" s="17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78">
        <f>'Données projet'!A230</f>
        <v>0</v>
      </c>
      <c r="B252" s="179">
        <f>'Données projet'!D230</f>
        <v>0</v>
      </c>
      <c r="C252" s="191"/>
      <c r="D252" s="177">
        <f t="shared" si="13"/>
        <v>0</v>
      </c>
      <c r="E252" s="191"/>
      <c r="F252" s="230"/>
      <c r="G252" s="204"/>
      <c r="H252" s="4"/>
      <c r="I252" s="4"/>
      <c r="J252" s="4"/>
      <c r="K252" s="17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78">
        <f>'Données projet'!A231</f>
        <v>0</v>
      </c>
      <c r="B253" s="179">
        <f>'Données projet'!D231</f>
        <v>0</v>
      </c>
      <c r="C253" s="191"/>
      <c r="D253" s="177">
        <f t="shared" si="13"/>
        <v>0</v>
      </c>
      <c r="E253" s="191"/>
      <c r="F253" s="230"/>
      <c r="G253" s="204"/>
      <c r="H253" s="4"/>
      <c r="I253" s="4"/>
      <c r="J253" s="4"/>
      <c r="K253" s="17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78">
        <f>'Données projet'!A232</f>
        <v>0</v>
      </c>
      <c r="B254" s="179">
        <f>'Données projet'!D232</f>
        <v>0</v>
      </c>
      <c r="C254" s="191"/>
      <c r="D254" s="177">
        <f t="shared" si="13"/>
        <v>0</v>
      </c>
      <c r="E254" s="191"/>
      <c r="F254" s="230"/>
      <c r="G254" s="204"/>
      <c r="H254" s="4"/>
      <c r="I254" s="4"/>
      <c r="J254" s="4"/>
      <c r="K254" s="17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78">
        <f>'Données projet'!A233</f>
        <v>0</v>
      </c>
      <c r="B255" s="179">
        <f>'Données projet'!D233</f>
        <v>0</v>
      </c>
      <c r="C255" s="191"/>
      <c r="D255" s="177">
        <f t="shared" si="13"/>
        <v>0</v>
      </c>
      <c r="E255" s="191"/>
      <c r="F255" s="230"/>
      <c r="G255" s="204"/>
      <c r="H255" s="4"/>
      <c r="I255" s="4"/>
      <c r="J255" s="4"/>
      <c r="K255" s="17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78">
        <f>'Données projet'!A234</f>
        <v>0</v>
      </c>
      <c r="B256" s="179">
        <f>'Données projet'!D234</f>
        <v>0</v>
      </c>
      <c r="C256" s="191"/>
      <c r="D256" s="177">
        <f t="shared" si="13"/>
        <v>0</v>
      </c>
      <c r="E256" s="191"/>
      <c r="F256" s="230"/>
      <c r="G256" s="204"/>
      <c r="H256" s="4"/>
      <c r="I256" s="4"/>
      <c r="J256" s="4"/>
      <c r="K256" s="17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78">
        <f>'Données projet'!A235</f>
        <v>0</v>
      </c>
      <c r="B257" s="179">
        <f>'Données projet'!D235</f>
        <v>0</v>
      </c>
      <c r="C257" s="191"/>
      <c r="D257" s="177">
        <f t="shared" si="13"/>
        <v>0</v>
      </c>
      <c r="E257" s="191"/>
      <c r="F257" s="230"/>
      <c r="G257" s="204"/>
      <c r="H257" s="4"/>
      <c r="I257" s="4"/>
      <c r="J257" s="4"/>
      <c r="K257" s="17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78">
        <f>'Données projet'!A236</f>
        <v>0</v>
      </c>
      <c r="B258" s="179">
        <f>'Données projet'!D236</f>
        <v>0</v>
      </c>
      <c r="C258" s="191"/>
      <c r="D258" s="177">
        <f t="shared" si="13"/>
        <v>0</v>
      </c>
      <c r="E258" s="191"/>
      <c r="F258" s="230"/>
      <c r="G258" s="204"/>
      <c r="H258" s="4"/>
      <c r="I258" s="4"/>
      <c r="J258" s="4"/>
      <c r="K258" s="17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78">
        <f>'Données projet'!A237</f>
        <v>0</v>
      </c>
      <c r="B259" s="179">
        <f>'Données projet'!D237</f>
        <v>0</v>
      </c>
      <c r="C259" s="191"/>
      <c r="D259" s="177">
        <f t="shared" si="13"/>
        <v>0</v>
      </c>
      <c r="E259" s="191"/>
      <c r="F259" s="230"/>
      <c r="G259" s="204"/>
      <c r="H259" s="4"/>
      <c r="I259" s="4"/>
      <c r="J259" s="4"/>
      <c r="K259" s="17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28"/>
      <c r="G260" s="204"/>
      <c r="H260" s="4"/>
      <c r="I260" s="4"/>
      <c r="J260" s="4"/>
      <c r="K260" s="17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28"/>
      <c r="G261" s="204"/>
      <c r="H261" s="4"/>
      <c r="I261" s="4"/>
      <c r="J261" s="4"/>
      <c r="K261" s="17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2" t="str">
        <f>IF('Données projet'!$B$17="","",'Données projet'!$B$17)</f>
        <v/>
      </c>
      <c r="C262" s="4"/>
      <c r="D262" s="4"/>
      <c r="E262" s="4"/>
      <c r="F262" s="228"/>
      <c r="G262" s="204"/>
      <c r="H262" s="4"/>
      <c r="I262" s="4"/>
      <c r="J262" s="4"/>
      <c r="K262" s="17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28"/>
      <c r="G263" s="204"/>
      <c r="H263" s="4"/>
      <c r="I263" s="4"/>
      <c r="J263" s="4"/>
      <c r="K263" s="17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29"/>
      <c r="G264" s="204"/>
      <c r="H264" s="4"/>
      <c r="I264" s="4"/>
      <c r="J264" s="4"/>
      <c r="K264" s="17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7" t="s">
        <v>132</v>
      </c>
      <c r="C265" s="196" t="s">
        <v>132</v>
      </c>
      <c r="D265" s="195" t="s">
        <v>132</v>
      </c>
      <c r="E265" s="191"/>
      <c r="F265" s="229"/>
      <c r="G265" s="204"/>
      <c r="H265" s="4"/>
      <c r="I265" s="4"/>
      <c r="J265" s="4"/>
      <c r="K265" s="17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7" t="s">
        <v>132</v>
      </c>
      <c r="C266" s="196" t="s">
        <v>132</v>
      </c>
      <c r="D266" s="195" t="s">
        <v>132</v>
      </c>
      <c r="E266" s="191"/>
      <c r="F266" s="229"/>
      <c r="G266" s="23"/>
      <c r="H266" s="4"/>
      <c r="I266" s="4"/>
      <c r="J266" s="4"/>
      <c r="K266" s="17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7" t="s">
        <v>132</v>
      </c>
      <c r="C267" s="196" t="s">
        <v>132</v>
      </c>
      <c r="D267" s="195" t="s">
        <v>132</v>
      </c>
      <c r="E267" s="191"/>
      <c r="F267" s="229"/>
      <c r="G267" s="23"/>
      <c r="H267" s="4"/>
      <c r="I267" s="4"/>
      <c r="J267" s="4"/>
      <c r="K267" s="17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7" t="s">
        <v>132</v>
      </c>
      <c r="C268" s="196" t="s">
        <v>132</v>
      </c>
      <c r="D268" s="195" t="s">
        <v>132</v>
      </c>
      <c r="E268" s="191"/>
      <c r="F268" s="229"/>
      <c r="G268" s="23"/>
      <c r="H268" s="4"/>
      <c r="I268" s="4"/>
      <c r="J268" s="4"/>
      <c r="K268" s="17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7" t="s">
        <v>132</v>
      </c>
      <c r="C269" s="196" t="s">
        <v>132</v>
      </c>
      <c r="D269" s="195" t="s">
        <v>132</v>
      </c>
      <c r="E269" s="191"/>
      <c r="F269" s="229"/>
      <c r="G269" s="23"/>
      <c r="H269" s="4"/>
      <c r="I269" s="4"/>
      <c r="J269" s="4"/>
      <c r="K269" s="17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7" t="s">
        <v>132</v>
      </c>
      <c r="C270" s="196" t="s">
        <v>132</v>
      </c>
      <c r="D270" s="195" t="s">
        <v>132</v>
      </c>
      <c r="E270" s="191"/>
      <c r="F270" s="229"/>
      <c r="G270" s="203"/>
      <c r="H270" s="4"/>
      <c r="I270" s="4"/>
      <c r="J270" s="4"/>
      <c r="K270" s="17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78">
        <f>'Données projet'!A244</f>
        <v>0</v>
      </c>
      <c r="B271" s="179">
        <f>'Données projet'!D244</f>
        <v>0</v>
      </c>
      <c r="C271" s="191"/>
      <c r="D271" s="177">
        <f>B271*C271</f>
        <v>0</v>
      </c>
      <c r="E271" s="191"/>
      <c r="F271" s="230"/>
      <c r="G271" s="203"/>
      <c r="H271" s="4"/>
      <c r="I271" s="4"/>
      <c r="J271" s="4"/>
      <c r="K271" s="17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78">
        <f>'Données projet'!A245</f>
        <v>0</v>
      </c>
      <c r="B272" s="179">
        <f>'Données projet'!D245</f>
        <v>0</v>
      </c>
      <c r="C272" s="191"/>
      <c r="D272" s="177">
        <f t="shared" ref="D272:D290" si="14">B272*C272</f>
        <v>0</v>
      </c>
      <c r="E272" s="191"/>
      <c r="F272" s="230"/>
      <c r="G272" s="203"/>
      <c r="H272" s="4"/>
      <c r="I272" s="4"/>
      <c r="J272" s="4"/>
      <c r="K272" s="17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78">
        <f>'Données projet'!A246</f>
        <v>0</v>
      </c>
      <c r="B273" s="179">
        <f>'Données projet'!D246</f>
        <v>0</v>
      </c>
      <c r="C273" s="191"/>
      <c r="D273" s="177">
        <f t="shared" si="14"/>
        <v>0</v>
      </c>
      <c r="E273" s="191"/>
      <c r="F273" s="230"/>
      <c r="G273" s="203"/>
      <c r="H273" s="4"/>
      <c r="I273" s="4"/>
      <c r="J273" s="4"/>
      <c r="K273" s="17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78">
        <f>'Données projet'!A247</f>
        <v>0</v>
      </c>
      <c r="B274" s="179">
        <f>'Données projet'!D247</f>
        <v>0</v>
      </c>
      <c r="C274" s="191"/>
      <c r="D274" s="177">
        <f t="shared" si="14"/>
        <v>0</v>
      </c>
      <c r="E274" s="191"/>
      <c r="F274" s="230"/>
      <c r="G274" s="203"/>
      <c r="H274" s="4"/>
      <c r="I274" s="4"/>
      <c r="J274" s="4"/>
      <c r="K274" s="17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78">
        <f>'Données projet'!A248</f>
        <v>0</v>
      </c>
      <c r="B275" s="179">
        <f>'Données projet'!D248</f>
        <v>0</v>
      </c>
      <c r="C275" s="191"/>
      <c r="D275" s="177">
        <f t="shared" si="14"/>
        <v>0</v>
      </c>
      <c r="E275" s="191"/>
      <c r="F275" s="230"/>
      <c r="G275" s="203"/>
      <c r="H275" s="4"/>
      <c r="I275" s="4"/>
      <c r="J275" s="4"/>
      <c r="K275" s="17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78">
        <f>'Données projet'!A249</f>
        <v>0</v>
      </c>
      <c r="B276" s="179">
        <f>'Données projet'!D249</f>
        <v>0</v>
      </c>
      <c r="C276" s="191"/>
      <c r="D276" s="177">
        <f t="shared" si="14"/>
        <v>0</v>
      </c>
      <c r="E276" s="191"/>
      <c r="F276" s="230"/>
      <c r="G276" s="203"/>
      <c r="H276" s="4"/>
      <c r="I276" s="4"/>
      <c r="J276" s="4"/>
      <c r="K276" s="17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78">
        <f>'Données projet'!A250</f>
        <v>0</v>
      </c>
      <c r="B277" s="179">
        <f>'Données projet'!D250</f>
        <v>0</v>
      </c>
      <c r="C277" s="191"/>
      <c r="D277" s="177">
        <f t="shared" si="14"/>
        <v>0</v>
      </c>
      <c r="E277" s="191"/>
      <c r="F277" s="230"/>
      <c r="G277" s="204"/>
      <c r="H277" s="4"/>
      <c r="I277" s="4"/>
      <c r="J277" s="4"/>
      <c r="K277" s="17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78">
        <f>'Données projet'!A251</f>
        <v>0</v>
      </c>
      <c r="B278" s="179">
        <f>'Données projet'!D251</f>
        <v>0</v>
      </c>
      <c r="C278" s="191"/>
      <c r="D278" s="177">
        <f t="shared" si="14"/>
        <v>0</v>
      </c>
      <c r="E278" s="191"/>
      <c r="F278" s="230"/>
      <c r="G278" s="204"/>
      <c r="H278" s="4"/>
      <c r="I278" s="4"/>
      <c r="J278" s="4"/>
      <c r="K278" s="17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78">
        <f>'Données projet'!A252</f>
        <v>0</v>
      </c>
      <c r="B279" s="179">
        <f>'Données projet'!D252</f>
        <v>0</v>
      </c>
      <c r="C279" s="191"/>
      <c r="D279" s="177">
        <f t="shared" si="14"/>
        <v>0</v>
      </c>
      <c r="E279" s="191"/>
      <c r="F279" s="230"/>
      <c r="G279" s="204"/>
      <c r="H279" s="4"/>
      <c r="I279" s="4"/>
      <c r="J279" s="4"/>
      <c r="K279" s="17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78">
        <f>'Données projet'!A253</f>
        <v>0</v>
      </c>
      <c r="B280" s="179">
        <f>'Données projet'!D253</f>
        <v>0</v>
      </c>
      <c r="C280" s="191"/>
      <c r="D280" s="177">
        <f t="shared" si="14"/>
        <v>0</v>
      </c>
      <c r="E280" s="191"/>
      <c r="F280" s="230"/>
      <c r="G280" s="204"/>
      <c r="H280" s="4"/>
      <c r="I280" s="4"/>
      <c r="J280" s="4"/>
      <c r="K280" s="17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78">
        <f>'Données projet'!A254</f>
        <v>0</v>
      </c>
      <c r="B281" s="179">
        <f>'Données projet'!D254</f>
        <v>0</v>
      </c>
      <c r="C281" s="191"/>
      <c r="D281" s="177">
        <f t="shared" si="14"/>
        <v>0</v>
      </c>
      <c r="E281" s="191"/>
      <c r="F281" s="230"/>
      <c r="G281" s="204"/>
      <c r="H281" s="4"/>
      <c r="I281" s="4"/>
      <c r="J281" s="4"/>
      <c r="K281" s="17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78">
        <f>'Données projet'!A255</f>
        <v>0</v>
      </c>
      <c r="B282" s="179">
        <f>'Données projet'!D255</f>
        <v>0</v>
      </c>
      <c r="C282" s="191"/>
      <c r="D282" s="177">
        <f t="shared" si="14"/>
        <v>0</v>
      </c>
      <c r="E282" s="191"/>
      <c r="F282" s="230"/>
      <c r="G282" s="204"/>
      <c r="H282" s="4"/>
      <c r="I282" s="4"/>
      <c r="J282" s="4"/>
      <c r="K282" s="17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78">
        <f>'Données projet'!A256</f>
        <v>0</v>
      </c>
      <c r="B283" s="179">
        <f>'Données projet'!D256</f>
        <v>0</v>
      </c>
      <c r="C283" s="191"/>
      <c r="D283" s="177">
        <f t="shared" si="14"/>
        <v>0</v>
      </c>
      <c r="E283" s="191"/>
      <c r="F283" s="230"/>
      <c r="G283" s="204"/>
      <c r="H283" s="4"/>
      <c r="I283" s="4"/>
      <c r="J283" s="4"/>
      <c r="K283" s="17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78">
        <f>'Données projet'!A257</f>
        <v>0</v>
      </c>
      <c r="B284" s="179">
        <f>'Données projet'!D257</f>
        <v>0</v>
      </c>
      <c r="C284" s="191"/>
      <c r="D284" s="177">
        <f t="shared" si="14"/>
        <v>0</v>
      </c>
      <c r="E284" s="191"/>
      <c r="F284" s="230"/>
      <c r="G284" s="204"/>
      <c r="H284" s="4"/>
      <c r="I284" s="4"/>
      <c r="J284" s="4"/>
      <c r="K284" s="17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78">
        <f>'Données projet'!A258</f>
        <v>0</v>
      </c>
      <c r="B285" s="179">
        <f>'Données projet'!D258</f>
        <v>0</v>
      </c>
      <c r="C285" s="191"/>
      <c r="D285" s="177">
        <f t="shared" si="14"/>
        <v>0</v>
      </c>
      <c r="E285" s="191"/>
      <c r="F285" s="230"/>
      <c r="G285" s="204"/>
      <c r="H285" s="4"/>
      <c r="I285" s="4"/>
      <c r="J285" s="4"/>
      <c r="K285" s="17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78">
        <f>'Données projet'!A259</f>
        <v>0</v>
      </c>
      <c r="B286" s="179">
        <f>'Données projet'!D259</f>
        <v>0</v>
      </c>
      <c r="C286" s="191"/>
      <c r="D286" s="177">
        <f t="shared" si="14"/>
        <v>0</v>
      </c>
      <c r="E286" s="191"/>
      <c r="F286" s="230"/>
      <c r="G286" s="204"/>
      <c r="H286" s="4"/>
      <c r="I286" s="4"/>
      <c r="J286" s="4"/>
      <c r="K286" s="17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78">
        <f>'Données projet'!A260</f>
        <v>0</v>
      </c>
      <c r="B287" s="179">
        <f>'Données projet'!D260</f>
        <v>0</v>
      </c>
      <c r="C287" s="191"/>
      <c r="D287" s="177">
        <f t="shared" si="14"/>
        <v>0</v>
      </c>
      <c r="E287" s="191"/>
      <c r="F287" s="230"/>
      <c r="G287" s="204"/>
      <c r="H287" s="4"/>
      <c r="I287" s="4"/>
      <c r="J287" s="4"/>
      <c r="K287" s="17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78">
        <f>'Données projet'!A261</f>
        <v>0</v>
      </c>
      <c r="B288" s="179">
        <f>'Données projet'!D261</f>
        <v>0</v>
      </c>
      <c r="C288" s="191"/>
      <c r="D288" s="177">
        <f t="shared" si="14"/>
        <v>0</v>
      </c>
      <c r="E288" s="191"/>
      <c r="F288" s="230"/>
      <c r="G288" s="204"/>
      <c r="H288" s="4"/>
      <c r="I288" s="4"/>
      <c r="J288" s="4"/>
      <c r="K288" s="17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78">
        <f>'Données projet'!A262</f>
        <v>0</v>
      </c>
      <c r="B289" s="179">
        <f>'Données projet'!D262</f>
        <v>0</v>
      </c>
      <c r="C289" s="191"/>
      <c r="D289" s="177">
        <f t="shared" si="14"/>
        <v>0</v>
      </c>
      <c r="E289" s="191"/>
      <c r="F289" s="230"/>
      <c r="G289" s="204"/>
      <c r="H289" s="4"/>
      <c r="I289" s="4"/>
      <c r="J289" s="4"/>
      <c r="K289" s="17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78">
        <f>'Données projet'!A263</f>
        <v>0</v>
      </c>
      <c r="B290" s="179">
        <f>'Données projet'!D263</f>
        <v>0</v>
      </c>
      <c r="C290" s="191"/>
      <c r="D290" s="177">
        <f t="shared" si="14"/>
        <v>0</v>
      </c>
      <c r="E290" s="191"/>
      <c r="F290" s="230"/>
      <c r="G290" s="204"/>
      <c r="H290" s="4"/>
      <c r="I290" s="4"/>
      <c r="J290" s="4"/>
      <c r="K290" s="17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28"/>
      <c r="G291" s="204"/>
      <c r="H291" s="4"/>
      <c r="I291" s="4"/>
      <c r="J291" s="4"/>
      <c r="K291" s="17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28"/>
      <c r="G292" s="204"/>
      <c r="H292" s="4"/>
      <c r="I292" s="4"/>
      <c r="J292" s="4"/>
      <c r="K292" s="17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2" t="str">
        <f>IF('Données projet'!$B$18="","",'Données projet'!$B$18)</f>
        <v/>
      </c>
      <c r="C293" s="4"/>
      <c r="D293" s="4"/>
      <c r="E293" s="4"/>
      <c r="F293" s="228"/>
      <c r="G293" s="204"/>
      <c r="H293" s="4"/>
      <c r="I293" s="4"/>
      <c r="J293" s="4"/>
      <c r="K293" s="17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28"/>
      <c r="G294" s="204"/>
      <c r="H294" s="4"/>
      <c r="I294" s="4"/>
      <c r="J294" s="4"/>
      <c r="K294" s="17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29"/>
      <c r="G295" s="204"/>
      <c r="H295" s="4"/>
      <c r="I295" s="4"/>
      <c r="J295" s="4"/>
      <c r="K295" s="17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7" t="s">
        <v>132</v>
      </c>
      <c r="C296" s="196" t="s">
        <v>132</v>
      </c>
      <c r="D296" s="195" t="s">
        <v>132</v>
      </c>
      <c r="E296" s="191"/>
      <c r="F296" s="229"/>
      <c r="G296" s="204"/>
      <c r="H296" s="4"/>
      <c r="I296" s="4"/>
      <c r="J296" s="4"/>
      <c r="K296" s="17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7" t="s">
        <v>132</v>
      </c>
      <c r="C297" s="196" t="s">
        <v>132</v>
      </c>
      <c r="D297" s="195" t="s">
        <v>132</v>
      </c>
      <c r="E297" s="191"/>
      <c r="F297" s="229"/>
      <c r="G297" s="23"/>
      <c r="H297" s="4"/>
      <c r="I297" s="4"/>
      <c r="J297" s="4"/>
      <c r="K297" s="17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7" t="s">
        <v>132</v>
      </c>
      <c r="C298" s="196" t="s">
        <v>132</v>
      </c>
      <c r="D298" s="195" t="s">
        <v>132</v>
      </c>
      <c r="E298" s="191"/>
      <c r="F298" s="229"/>
      <c r="G298" s="23"/>
      <c r="H298" s="4"/>
      <c r="I298" s="4"/>
      <c r="J298" s="4"/>
      <c r="K298" s="17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7" t="s">
        <v>132</v>
      </c>
      <c r="C299" s="196" t="s">
        <v>132</v>
      </c>
      <c r="D299" s="195" t="s">
        <v>132</v>
      </c>
      <c r="E299" s="191"/>
      <c r="F299" s="229"/>
      <c r="G299" s="23"/>
      <c r="H299" s="4"/>
      <c r="I299" s="4"/>
      <c r="J299" s="4"/>
      <c r="K299" s="17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7" t="s">
        <v>132</v>
      </c>
      <c r="C300" s="196" t="s">
        <v>132</v>
      </c>
      <c r="D300" s="195" t="s">
        <v>132</v>
      </c>
      <c r="E300" s="191"/>
      <c r="F300" s="229"/>
      <c r="G300" s="23"/>
      <c r="H300" s="4"/>
      <c r="I300" s="4"/>
      <c r="J300" s="4"/>
      <c r="K300" s="17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7" t="s">
        <v>132</v>
      </c>
      <c r="C301" s="196" t="s">
        <v>132</v>
      </c>
      <c r="D301" s="195" t="s">
        <v>132</v>
      </c>
      <c r="E301" s="191"/>
      <c r="F301" s="229"/>
      <c r="G301" s="203"/>
      <c r="H301" s="4"/>
      <c r="I301" s="4"/>
      <c r="J301" s="4"/>
      <c r="K301" s="17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78">
        <f>'Données projet'!A270</f>
        <v>0</v>
      </c>
      <c r="B302" s="179">
        <f>'Données projet'!D270</f>
        <v>0</v>
      </c>
      <c r="C302" s="189"/>
      <c r="D302" s="180">
        <f>B302*C302</f>
        <v>0</v>
      </c>
      <c r="E302" s="191"/>
      <c r="F302" s="231"/>
      <c r="G302" s="203"/>
      <c r="H302" s="4"/>
      <c r="I302" s="4"/>
      <c r="J302" s="4"/>
      <c r="K302" s="17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78">
        <f>'Données projet'!A271</f>
        <v>0</v>
      </c>
      <c r="B303" s="179">
        <f>'Données projet'!D271</f>
        <v>0</v>
      </c>
      <c r="C303" s="189"/>
      <c r="D303" s="180">
        <f t="shared" ref="D303:D321" si="15">B303*C303</f>
        <v>0</v>
      </c>
      <c r="E303" s="191"/>
      <c r="F303" s="231"/>
      <c r="G303" s="203"/>
      <c r="H303" s="4"/>
      <c r="I303" s="4"/>
      <c r="J303" s="4"/>
      <c r="K303" s="17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78">
        <f>'Données projet'!A272</f>
        <v>0</v>
      </c>
      <c r="B304" s="179">
        <f>'Données projet'!D272</f>
        <v>0</v>
      </c>
      <c r="C304" s="189"/>
      <c r="D304" s="180">
        <f t="shared" si="15"/>
        <v>0</v>
      </c>
      <c r="E304" s="191"/>
      <c r="F304" s="231"/>
      <c r="G304" s="203"/>
      <c r="H304" s="4"/>
      <c r="I304" s="4"/>
      <c r="J304" s="4"/>
      <c r="K304" s="17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78">
        <f>'Données projet'!A273</f>
        <v>0</v>
      </c>
      <c r="B305" s="179">
        <f>'Données projet'!D273</f>
        <v>0</v>
      </c>
      <c r="C305" s="189"/>
      <c r="D305" s="180">
        <f t="shared" si="15"/>
        <v>0</v>
      </c>
      <c r="E305" s="191"/>
      <c r="F305" s="231"/>
      <c r="G305" s="203"/>
      <c r="H305" s="4"/>
      <c r="I305" s="4"/>
      <c r="J305" s="4"/>
      <c r="K305" s="17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78">
        <f>'Données projet'!A274</f>
        <v>0</v>
      </c>
      <c r="B306" s="179">
        <f>'Données projet'!D274</f>
        <v>0</v>
      </c>
      <c r="C306" s="189"/>
      <c r="D306" s="180">
        <f t="shared" si="15"/>
        <v>0</v>
      </c>
      <c r="E306" s="191"/>
      <c r="F306" s="231"/>
      <c r="G306" s="203"/>
      <c r="H306" s="4"/>
      <c r="I306" s="4"/>
      <c r="J306" s="4"/>
      <c r="K306" s="17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78">
        <f>'Données projet'!A275</f>
        <v>0</v>
      </c>
      <c r="B307" s="179">
        <f>'Données projet'!D275</f>
        <v>0</v>
      </c>
      <c r="C307" s="189"/>
      <c r="D307" s="180">
        <f t="shared" si="15"/>
        <v>0</v>
      </c>
      <c r="E307" s="191"/>
      <c r="F307" s="231"/>
      <c r="G307" s="203"/>
      <c r="H307" s="4"/>
      <c r="I307" s="4"/>
      <c r="J307" s="4"/>
      <c r="K307" s="17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78">
        <f>'Données projet'!A276</f>
        <v>0</v>
      </c>
      <c r="B308" s="179">
        <f>'Données projet'!D276</f>
        <v>0</v>
      </c>
      <c r="C308" s="189"/>
      <c r="D308" s="180">
        <f t="shared" si="15"/>
        <v>0</v>
      </c>
      <c r="E308" s="191"/>
      <c r="F308" s="231"/>
      <c r="G308" s="201"/>
      <c r="H308" s="4"/>
      <c r="I308" s="4"/>
      <c r="J308" s="4"/>
      <c r="K308" s="17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78">
        <f>'Données projet'!A277</f>
        <v>0</v>
      </c>
      <c r="B309" s="179">
        <f>'Données projet'!D277</f>
        <v>0</v>
      </c>
      <c r="C309" s="189"/>
      <c r="D309" s="180">
        <f t="shared" si="15"/>
        <v>0</v>
      </c>
      <c r="E309" s="191"/>
      <c r="F309" s="231"/>
      <c r="G309" s="201"/>
      <c r="H309" s="4"/>
      <c r="I309" s="4"/>
      <c r="J309" s="4"/>
      <c r="K309" s="17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78">
        <f>'Données projet'!A278</f>
        <v>0</v>
      </c>
      <c r="B310" s="179">
        <f>'Données projet'!D278</f>
        <v>0</v>
      </c>
      <c r="C310" s="189"/>
      <c r="D310" s="180">
        <f t="shared" si="15"/>
        <v>0</v>
      </c>
      <c r="E310" s="191"/>
      <c r="F310" s="231"/>
      <c r="G310" s="201"/>
      <c r="H310" s="4"/>
      <c r="I310" s="4"/>
      <c r="J310" s="4"/>
      <c r="K310" s="17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78">
        <f>'Données projet'!A279</f>
        <v>0</v>
      </c>
      <c r="B311" s="179">
        <f>'Données projet'!D279</f>
        <v>0</v>
      </c>
      <c r="C311" s="189"/>
      <c r="D311" s="180">
        <f t="shared" si="15"/>
        <v>0</v>
      </c>
      <c r="E311" s="191"/>
      <c r="F311" s="231"/>
      <c r="G311" s="201"/>
      <c r="H311" s="4"/>
      <c r="I311" s="4"/>
      <c r="J311" s="4"/>
      <c r="K311" s="17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78">
        <f>'Données projet'!A280</f>
        <v>0</v>
      </c>
      <c r="B312" s="179">
        <f>'Données projet'!D280</f>
        <v>0</v>
      </c>
      <c r="C312" s="189"/>
      <c r="D312" s="180">
        <f t="shared" si="15"/>
        <v>0</v>
      </c>
      <c r="E312" s="191"/>
      <c r="F312" s="231"/>
      <c r="G312" s="201"/>
      <c r="H312" s="4"/>
      <c r="I312" s="4"/>
      <c r="J312" s="4"/>
      <c r="K312" s="17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78">
        <f>'Données projet'!A281</f>
        <v>0</v>
      </c>
      <c r="B313" s="179">
        <f>'Données projet'!D281</f>
        <v>0</v>
      </c>
      <c r="C313" s="189"/>
      <c r="D313" s="180">
        <f t="shared" si="15"/>
        <v>0</v>
      </c>
      <c r="E313" s="191"/>
      <c r="F313" s="231"/>
      <c r="G313" s="201"/>
      <c r="H313" s="4"/>
      <c r="I313" s="4"/>
      <c r="J313" s="4"/>
      <c r="K313" s="17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78">
        <f>'Données projet'!A282</f>
        <v>0</v>
      </c>
      <c r="B314" s="179">
        <f>'Données projet'!D282</f>
        <v>0</v>
      </c>
      <c r="C314" s="189"/>
      <c r="D314" s="180">
        <f t="shared" si="15"/>
        <v>0</v>
      </c>
      <c r="E314" s="191"/>
      <c r="F314" s="231"/>
      <c r="G314" s="201"/>
      <c r="H314" s="4"/>
      <c r="I314" s="4"/>
      <c r="J314" s="4"/>
      <c r="K314" s="17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78">
        <f>'Données projet'!A283</f>
        <v>0</v>
      </c>
      <c r="B315" s="179">
        <f>'Données projet'!D283</f>
        <v>0</v>
      </c>
      <c r="C315" s="189"/>
      <c r="D315" s="180">
        <f t="shared" si="15"/>
        <v>0</v>
      </c>
      <c r="E315" s="191"/>
      <c r="F315" s="231"/>
      <c r="G315" s="201"/>
      <c r="H315" s="4"/>
      <c r="I315" s="4"/>
      <c r="J315" s="4"/>
      <c r="K315" s="17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78">
        <f>'Données projet'!A284</f>
        <v>0</v>
      </c>
      <c r="B316" s="179">
        <f>'Données projet'!D284</f>
        <v>0</v>
      </c>
      <c r="C316" s="189"/>
      <c r="D316" s="180">
        <f t="shared" si="15"/>
        <v>0</v>
      </c>
      <c r="E316" s="191"/>
      <c r="F316" s="231"/>
      <c r="G316" s="201"/>
      <c r="H316" s="4"/>
      <c r="I316" s="4"/>
      <c r="J316" s="4"/>
      <c r="K316" s="17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78">
        <f>'Données projet'!A285</f>
        <v>0</v>
      </c>
      <c r="B317" s="179">
        <f>'Données projet'!D285</f>
        <v>0</v>
      </c>
      <c r="C317" s="189"/>
      <c r="D317" s="180">
        <f t="shared" si="15"/>
        <v>0</v>
      </c>
      <c r="E317" s="191"/>
      <c r="F317" s="231"/>
      <c r="G317" s="201"/>
      <c r="H317" s="4"/>
      <c r="I317" s="4"/>
      <c r="J317" s="4"/>
      <c r="K317" s="17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78">
        <f>'Données projet'!A286</f>
        <v>0</v>
      </c>
      <c r="B318" s="179">
        <f>'Données projet'!D286</f>
        <v>0</v>
      </c>
      <c r="C318" s="189"/>
      <c r="D318" s="180">
        <f t="shared" si="15"/>
        <v>0</v>
      </c>
      <c r="E318" s="191"/>
      <c r="F318" s="231"/>
      <c r="G318" s="201"/>
      <c r="H318" s="4"/>
      <c r="I318" s="4"/>
      <c r="J318" s="4"/>
      <c r="K318" s="17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78">
        <f>'Données projet'!A287</f>
        <v>0</v>
      </c>
      <c r="B319" s="179">
        <f>'Données projet'!D287</f>
        <v>0</v>
      </c>
      <c r="C319" s="189"/>
      <c r="D319" s="180">
        <f t="shared" si="15"/>
        <v>0</v>
      </c>
      <c r="E319" s="191"/>
      <c r="F319" s="231"/>
      <c r="G319" s="201"/>
      <c r="H319" s="4"/>
      <c r="I319" s="4"/>
      <c r="J319" s="4"/>
      <c r="K319" s="17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78">
        <f>'Données projet'!A288</f>
        <v>0</v>
      </c>
      <c r="B320" s="179">
        <f>'Données projet'!D288</f>
        <v>0</v>
      </c>
      <c r="C320" s="189"/>
      <c r="D320" s="180">
        <f t="shared" si="15"/>
        <v>0</v>
      </c>
      <c r="E320" s="191"/>
      <c r="F320" s="231"/>
      <c r="G320" s="201"/>
      <c r="H320" s="4"/>
      <c r="I320" s="4"/>
      <c r="J320" s="4"/>
      <c r="K320" s="17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78">
        <f>'Données projet'!A289</f>
        <v>0</v>
      </c>
      <c r="B321" s="179">
        <f>'Données projet'!D289</f>
        <v>0</v>
      </c>
      <c r="C321" s="194"/>
      <c r="D321" s="180">
        <f t="shared" si="15"/>
        <v>0</v>
      </c>
      <c r="E321" s="191"/>
      <c r="F321" s="231"/>
      <c r="G321" s="201"/>
      <c r="H321" s="4"/>
      <c r="I321" s="4"/>
      <c r="J321" s="4"/>
      <c r="K321" s="17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1"/>
      <c r="H322" s="4"/>
      <c r="I322" s="4"/>
      <c r="J322" s="4"/>
      <c r="K322" s="17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1"/>
      <c r="H323" s="4"/>
      <c r="I323" s="4"/>
      <c r="J323" s="4"/>
      <c r="K323" s="17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1"/>
      <c r="H324" s="4"/>
      <c r="I324" s="4"/>
      <c r="J324" s="4"/>
      <c r="K324" s="17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1"/>
      <c r="H325" s="4"/>
      <c r="I325" s="4"/>
      <c r="J325" s="4"/>
      <c r="K325" s="17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1"/>
      <c r="H326" s="4"/>
      <c r="I326" s="4"/>
      <c r="J326" s="4"/>
      <c r="K326" s="17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1"/>
      <c r="H327" s="4"/>
      <c r="I327" s="4"/>
      <c r="J327" s="4"/>
      <c r="K327" s="17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Morgane PICHELIN</cp:lastModifiedBy>
  <cp:lastPrinted>2024-07-10T05:55:54Z</cp:lastPrinted>
  <dcterms:created xsi:type="dcterms:W3CDTF">2021-02-01T08:22:39Z</dcterms:created>
  <dcterms:modified xsi:type="dcterms:W3CDTF">2024-07-10T05:57:39Z</dcterms:modified>
</cp:coreProperties>
</file>