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Banque Populaire ARA\63_Durmignat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D168" i="1" l="1"/>
  <c r="B146" i="1" l="1"/>
  <c r="D146" i="1" s="1"/>
  <c r="D145" i="1"/>
  <c r="B145" i="1"/>
  <c r="D144" i="1"/>
  <c r="B144" i="1"/>
  <c r="B143" i="1"/>
  <c r="D143" i="1" s="1"/>
  <c r="D142" i="1"/>
  <c r="B142" i="1"/>
  <c r="D141" i="1"/>
  <c r="B141" i="1"/>
  <c r="B140" i="1"/>
  <c r="D122" i="1"/>
  <c r="D116" i="1"/>
  <c r="B116" i="1"/>
  <c r="B115" i="1"/>
  <c r="D93" i="1"/>
  <c r="D91" i="1"/>
  <c r="D89" i="1"/>
  <c r="D67" i="1"/>
  <c r="D65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D160" i="2"/>
  <c r="E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<sst xmlns="http://schemas.openxmlformats.org/spreadsheetml/2006/main" count="1175" uniqueCount="324">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</sst>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598112"/>
        <c:axId val="1353598656"/>
      </c:scatterChart>
      <c:valAx>
        <c:axId val="1353598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598656"/>
        <c:crosses val="autoZero"/>
        <c:crossBetween val="midCat"/>
      </c:valAx>
      <c:valAx>
        <c:axId val="13535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598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1552832"/>
        <c:axId val="1011547936"/>
      </c:scatterChart>
      <c:valAx>
        <c:axId val="1011552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1547936"/>
        <c:crosses val="autoZero"/>
        <c:crossBetween val="midCat"/>
      </c:valAx>
      <c:valAx>
        <c:axId val="10115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1552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82.357003551703173</c:v>
                </c:pt>
                <c:pt idx="17">
                  <c:v>97.435579235164482</c:v>
                </c:pt>
                <c:pt idx="18">
                  <c:v>112.45603690749546</c:v>
                </c:pt>
                <c:pt idx="19">
                  <c:v>127.42725117721011</c:v>
                </c:pt>
                <c:pt idx="20">
                  <c:v>142.35583160682572</c:v>
                </c:pt>
                <c:pt idx="21">
                  <c:v>94.63497747993533</c:v>
                </c:pt>
                <c:pt idx="22">
                  <c:v>121.86186167582692</c:v>
                </c:pt>
                <c:pt idx="23">
                  <c:v>148.93996563525323</c:v>
                </c:pt>
                <c:pt idx="24">
                  <c:v>175.90027726143936</c:v>
                </c:pt>
                <c:pt idx="25">
                  <c:v>202.76343275622807</c:v>
                </c:pt>
                <c:pt idx="26">
                  <c:v>213.75966826195815</c:v>
                </c:pt>
                <c:pt idx="27">
                  <c:v>224.74287942627927</c:v>
                </c:pt>
                <c:pt idx="28">
                  <c:v>235.71379290964839</c:v>
                </c:pt>
                <c:pt idx="29">
                  <c:v>246.67306214732389</c:v>
                </c:pt>
                <c:pt idx="30">
                  <c:v>257.62127772428227</c:v>
                </c:pt>
                <c:pt idx="31">
                  <c:v>189.34297444965307</c:v>
                </c:pt>
                <c:pt idx="32">
                  <c:v>217.19328512238812</c:v>
                </c:pt>
                <c:pt idx="33">
                  <c:v>244.96141929271744</c:v>
                </c:pt>
                <c:pt idx="34">
                  <c:v>272.6580023613389</c:v>
                </c:pt>
                <c:pt idx="35">
                  <c:v>300.2913216340458</c:v>
                </c:pt>
                <c:pt idx="36">
                  <c:v>307.10541864100418</c:v>
                </c:pt>
                <c:pt idx="37">
                  <c:v>313.91615631143895</c:v>
                </c:pt>
                <c:pt idx="38">
                  <c:v>320.7236178929042</c:v>
                </c:pt>
                <c:pt idx="39">
                  <c:v>327.52788280677856</c:v>
                </c:pt>
                <c:pt idx="40">
                  <c:v>334.32902690172892</c:v>
                </c:pt>
                <c:pt idx="41">
                  <c:v>262.40778495948558</c:v>
                </c:pt>
                <c:pt idx="42">
                  <c:v>285.97038929413475</c:v>
                </c:pt>
                <c:pt idx="43">
                  <c:v>309.48955460516714</c:v>
                </c:pt>
                <c:pt idx="44">
                  <c:v>332.96904422153949</c:v>
                </c:pt>
                <c:pt idx="45">
                  <c:v>356.41204743833867</c:v>
                </c:pt>
                <c:pt idx="46">
                  <c:v>360.82499034748622</c:v>
                </c:pt>
                <c:pt idx="47">
                  <c:v>365.2367529708078</c:v>
                </c:pt>
                <c:pt idx="48">
                  <c:v>369.64735159591169</c:v>
                </c:pt>
                <c:pt idx="49">
                  <c:v>374.05680208950554</c:v>
                </c:pt>
                <c:pt idx="50">
                  <c:v>378.46511991321876</c:v>
                </c:pt>
                <c:pt idx="51">
                  <c:v>330.58877943904662</c:v>
                </c:pt>
                <c:pt idx="52">
                  <c:v>348.94125427596026</c:v>
                </c:pt>
                <c:pt idx="53">
                  <c:v>367.2725575433945</c:v>
                </c:pt>
                <c:pt idx="54">
                  <c:v>385.58389424489491</c:v>
                </c:pt>
                <c:pt idx="55">
                  <c:v>403.87634562786894</c:v>
                </c:pt>
                <c:pt idx="56">
                  <c:v>407.93887014257706</c:v>
                </c:pt>
                <c:pt idx="57">
                  <c:v>412.00052062729009</c:v>
                </c:pt>
                <c:pt idx="58">
                  <c:v>416.06130692450489</c:v>
                </c:pt>
                <c:pt idx="59">
                  <c:v>420.12123866869621</c:v>
                </c:pt>
                <c:pt idx="60">
                  <c:v>424.18032529272637</c:v>
                </c:pt>
                <c:pt idx="61">
                  <c:v>393.71614391217787</c:v>
                </c:pt>
                <c:pt idx="62">
                  <c:v>405.56917103469499</c:v>
                </c:pt>
                <c:pt idx="63">
                  <c:v>417.41471198632934</c:v>
                </c:pt>
                <c:pt idx="64">
                  <c:v>429.25300917701105</c:v>
                </c:pt>
                <c:pt idx="65">
                  <c:v>441.08429055375791</c:v>
                </c:pt>
                <c:pt idx="66">
                  <c:v>443.7876210096145</c:v>
                </c:pt>
                <c:pt idx="67">
                  <c:v>446.49059866524152</c:v>
                </c:pt>
                <c:pt idx="68">
                  <c:v>449.19322596047977</c:v>
                </c:pt>
                <c:pt idx="69">
                  <c:v>451.89550530337857</c:v>
                </c:pt>
                <c:pt idx="70">
                  <c:v>454.59743907080457</c:v>
                </c:pt>
                <c:pt idx="71">
                  <c:v>428.57672614990469</c:v>
                </c:pt>
                <c:pt idx="72">
                  <c:v>438.04261900487001</c:v>
                </c:pt>
                <c:pt idx="73">
                  <c:v>447.50412482878806</c:v>
                </c:pt>
                <c:pt idx="74">
                  <c:v>456.96134948264512</c:v>
                </c:pt>
                <c:pt idx="75">
                  <c:v>466.41439408694424</c:v>
                </c:pt>
                <c:pt idx="76">
                  <c:v>456.28597323169151</c:v>
                </c:pt>
                <c:pt idx="77">
                  <c:v>461.35077692036316</c:v>
                </c:pt>
                <c:pt idx="78">
                  <c:v>466.41439408694424</c:v>
                </c:pt>
                <c:pt idx="79">
                  <c:v>471.47683944067677</c:v>
                </c:pt>
                <c:pt idx="80">
                  <c:v>476.5381273489059</c:v>
                </c:pt>
                <c:pt idx="81">
                  <c:v>4.7326673552561798E-12</c:v>
                </c:pt>
                <c:pt idx="82">
                  <c:v>4.7326673552561798E-12</c:v>
                </c:pt>
                <c:pt idx="83">
                  <c:v>4.7326673552561798E-12</c:v>
                </c:pt>
                <c:pt idx="84">
                  <c:v>4.7326673552561798E-12</c:v>
                </c:pt>
                <c:pt idx="85">
                  <c:v>4.7326673552561798E-12</c:v>
                </c:pt>
                <c:pt idx="86">
                  <c:v>4.7326673552561798E-12</c:v>
                </c:pt>
                <c:pt idx="87">
                  <c:v>4.7326673552561798E-12</c:v>
                </c:pt>
                <c:pt idx="88">
                  <c:v>4.7326673552561798E-12</c:v>
                </c:pt>
                <c:pt idx="89">
                  <c:v>4.7326673552561798E-12</c:v>
                </c:pt>
                <c:pt idx="90">
                  <c:v>4.7326673552561798E-12</c:v>
                </c:pt>
                <c:pt idx="91">
                  <c:v>4.7326673552561798E-12</c:v>
                </c:pt>
                <c:pt idx="92">
                  <c:v>4.7326673552561798E-12</c:v>
                </c:pt>
                <c:pt idx="93">
                  <c:v>4.7326673552561798E-12</c:v>
                </c:pt>
                <c:pt idx="94">
                  <c:v>4.7326673552561798E-12</c:v>
                </c:pt>
                <c:pt idx="95">
                  <c:v>4.7326673552561798E-12</c:v>
                </c:pt>
                <c:pt idx="96">
                  <c:v>4.7326673552561798E-12</c:v>
                </c:pt>
                <c:pt idx="97">
                  <c:v>4.7326673552561798E-12</c:v>
                </c:pt>
                <c:pt idx="98">
                  <c:v>4.7326673552561798E-12</c:v>
                </c:pt>
                <c:pt idx="99">
                  <c:v>4.7326673552561798E-12</c:v>
                </c:pt>
                <c:pt idx="100">
                  <c:v>4.7326673552561798E-12</c:v>
                </c:pt>
                <c:pt idx="101">
                  <c:v>4.7326673552561798E-12</c:v>
                </c:pt>
                <c:pt idx="102">
                  <c:v>4.7326673552561798E-12</c:v>
                </c:pt>
                <c:pt idx="103">
                  <c:v>4.7326673552561798E-12</c:v>
                </c:pt>
                <c:pt idx="104">
                  <c:v>4.7326673552561798E-12</c:v>
                </c:pt>
                <c:pt idx="105">
                  <c:v>4.7326673552561798E-12</c:v>
                </c:pt>
                <c:pt idx="106">
                  <c:v>4.7326673552561798E-12</c:v>
                </c:pt>
                <c:pt idx="107">
                  <c:v>4.7326673552561798E-12</c:v>
                </c:pt>
                <c:pt idx="108">
                  <c:v>4.7326673552561798E-12</c:v>
                </c:pt>
                <c:pt idx="109">
                  <c:v>4.7326673552561798E-12</c:v>
                </c:pt>
                <c:pt idx="110">
                  <c:v>4.7326673552561798E-12</c:v>
                </c:pt>
                <c:pt idx="111">
                  <c:v>4.7326673552561798E-12</c:v>
                </c:pt>
                <c:pt idx="112">
                  <c:v>4.7326673552561798E-12</c:v>
                </c:pt>
                <c:pt idx="113">
                  <c:v>4.7326673552561798E-12</c:v>
                </c:pt>
                <c:pt idx="114">
                  <c:v>4.7326673552561798E-12</c:v>
                </c:pt>
                <c:pt idx="115">
                  <c:v>4.7326673552561798E-12</c:v>
                </c:pt>
                <c:pt idx="116">
                  <c:v>4.7326673552561798E-12</c:v>
                </c:pt>
                <c:pt idx="117">
                  <c:v>4.7326673552561798E-12</c:v>
                </c:pt>
                <c:pt idx="118">
                  <c:v>4.7326673552561798E-12</c:v>
                </c:pt>
                <c:pt idx="119">
                  <c:v>4.7326673552561798E-12</c:v>
                </c:pt>
                <c:pt idx="120">
                  <c:v>4.7326673552561798E-12</c:v>
                </c:pt>
                <c:pt idx="121">
                  <c:v>4.7326673552561798E-12</c:v>
                </c:pt>
                <c:pt idx="122">
                  <c:v>4.7326673552561798E-12</c:v>
                </c:pt>
                <c:pt idx="123">
                  <c:v>4.7326673552561798E-12</c:v>
                </c:pt>
                <c:pt idx="124">
                  <c:v>4.7326673552561798E-12</c:v>
                </c:pt>
                <c:pt idx="125">
                  <c:v>4.7326673552561798E-12</c:v>
                </c:pt>
                <c:pt idx="126">
                  <c:v>4.7326673552561798E-12</c:v>
                </c:pt>
                <c:pt idx="127">
                  <c:v>4.7326673552561798E-12</c:v>
                </c:pt>
                <c:pt idx="128">
                  <c:v>4.7326673552561798E-12</c:v>
                </c:pt>
                <c:pt idx="129">
                  <c:v>4.7326673552561798E-12</c:v>
                </c:pt>
                <c:pt idx="130">
                  <c:v>4.7326673552561798E-12</c:v>
                </c:pt>
                <c:pt idx="131">
                  <c:v>4.7326673552561798E-12</c:v>
                </c:pt>
                <c:pt idx="132">
                  <c:v>4.7326673552561798E-12</c:v>
                </c:pt>
                <c:pt idx="133">
                  <c:v>4.7326673552561798E-12</c:v>
                </c:pt>
                <c:pt idx="134">
                  <c:v>4.7326673552561798E-12</c:v>
                </c:pt>
                <c:pt idx="135">
                  <c:v>4.7326673552561798E-12</c:v>
                </c:pt>
                <c:pt idx="136">
                  <c:v>4.7326673552561798E-12</c:v>
                </c:pt>
                <c:pt idx="137">
                  <c:v>4.7326673552561798E-12</c:v>
                </c:pt>
                <c:pt idx="138">
                  <c:v>4.7326673552561798E-12</c:v>
                </c:pt>
                <c:pt idx="139">
                  <c:v>4.7326673552561798E-12</c:v>
                </c:pt>
                <c:pt idx="140">
                  <c:v>4.7326673552561798E-12</c:v>
                </c:pt>
                <c:pt idx="141">
                  <c:v>4.7326673552561798E-12</c:v>
                </c:pt>
                <c:pt idx="142">
                  <c:v>4.7326673552561798E-12</c:v>
                </c:pt>
                <c:pt idx="143">
                  <c:v>4.7326673552561798E-12</c:v>
                </c:pt>
                <c:pt idx="144">
                  <c:v>4.7326673552561798E-12</c:v>
                </c:pt>
                <c:pt idx="145">
                  <c:v>4.7326673552561798E-12</c:v>
                </c:pt>
                <c:pt idx="146">
                  <c:v>4.7326673552561798E-12</c:v>
                </c:pt>
                <c:pt idx="147">
                  <c:v>4.7326673552561798E-12</c:v>
                </c:pt>
                <c:pt idx="148">
                  <c:v>4.7326673552561798E-12</c:v>
                </c:pt>
                <c:pt idx="149">
                  <c:v>4.7326673552561798E-12</c:v>
                </c:pt>
                <c:pt idx="150">
                  <c:v>4.7326673552561798E-12</c:v>
                </c:pt>
                <c:pt idx="151">
                  <c:v>4.7326673552561798E-12</c:v>
                </c:pt>
                <c:pt idx="152">
                  <c:v>4.7326673552561798E-12</c:v>
                </c:pt>
                <c:pt idx="153">
                  <c:v>4.7326673552561798E-12</c:v>
                </c:pt>
                <c:pt idx="154">
                  <c:v>4.7326673552561798E-12</c:v>
                </c:pt>
                <c:pt idx="155">
                  <c:v>4.7326673552561798E-12</c:v>
                </c:pt>
                <c:pt idx="156">
                  <c:v>4.7326673552561798E-12</c:v>
                </c:pt>
                <c:pt idx="157">
                  <c:v>4.7326673552561798E-12</c:v>
                </c:pt>
                <c:pt idx="158">
                  <c:v>4.7326673552561798E-12</c:v>
                </c:pt>
                <c:pt idx="159">
                  <c:v>4.7326673552561798E-12</c:v>
                </c:pt>
                <c:pt idx="160">
                  <c:v>4.7326673552561798E-12</c:v>
                </c:pt>
                <c:pt idx="161">
                  <c:v>4.7326673552561798E-12</c:v>
                </c:pt>
                <c:pt idx="162">
                  <c:v>4.7326673552561798E-12</c:v>
                </c:pt>
                <c:pt idx="163">
                  <c:v>4.7326673552561798E-12</c:v>
                </c:pt>
                <c:pt idx="164">
                  <c:v>4.7326673552561798E-12</c:v>
                </c:pt>
                <c:pt idx="165">
                  <c:v>4.7326673552561798E-12</c:v>
                </c:pt>
                <c:pt idx="166">
                  <c:v>4.7326673552561798E-12</c:v>
                </c:pt>
                <c:pt idx="167">
                  <c:v>4.7326673552561798E-12</c:v>
                </c:pt>
                <c:pt idx="168">
                  <c:v>4.7326673552561798E-12</c:v>
                </c:pt>
                <c:pt idx="169">
                  <c:v>4.7326673552561798E-12</c:v>
                </c:pt>
                <c:pt idx="170">
                  <c:v>4.7326673552561798E-12</c:v>
                </c:pt>
                <c:pt idx="171">
                  <c:v>4.7326673552561798E-12</c:v>
                </c:pt>
                <c:pt idx="172">
                  <c:v>4.7326673552561798E-12</c:v>
                </c:pt>
                <c:pt idx="173">
                  <c:v>4.7326673552561798E-12</c:v>
                </c:pt>
                <c:pt idx="174">
                  <c:v>4.7326673552561798E-12</c:v>
                </c:pt>
                <c:pt idx="175">
                  <c:v>4.7326673552561798E-12</c:v>
                </c:pt>
                <c:pt idx="176">
                  <c:v>4.7326673552561798E-12</c:v>
                </c:pt>
                <c:pt idx="177">
                  <c:v>4.7326673552561798E-12</c:v>
                </c:pt>
                <c:pt idx="178">
                  <c:v>4.7326673552561798E-12</c:v>
                </c:pt>
                <c:pt idx="179">
                  <c:v>4.7326673552561798E-12</c:v>
                </c:pt>
                <c:pt idx="180">
                  <c:v>4.7326673552561798E-12</c:v>
                </c:pt>
                <c:pt idx="181">
                  <c:v>4.7326673552561798E-12</c:v>
                </c:pt>
                <c:pt idx="182">
                  <c:v>4.7326673552561798E-12</c:v>
                </c:pt>
                <c:pt idx="183">
                  <c:v>4.7326673552561798E-12</c:v>
                </c:pt>
                <c:pt idx="184">
                  <c:v>4.7326673552561798E-12</c:v>
                </c:pt>
                <c:pt idx="185">
                  <c:v>4.7326673552561798E-12</c:v>
                </c:pt>
                <c:pt idx="186">
                  <c:v>4.7326673552561798E-12</c:v>
                </c:pt>
                <c:pt idx="187">
                  <c:v>4.7326673552561798E-12</c:v>
                </c:pt>
                <c:pt idx="188">
                  <c:v>4.7326673552561798E-12</c:v>
                </c:pt>
                <c:pt idx="189">
                  <c:v>4.7326673552561798E-12</c:v>
                </c:pt>
                <c:pt idx="190">
                  <c:v>4.7326673552561798E-12</c:v>
                </c:pt>
                <c:pt idx="191">
                  <c:v>4.7326673552561798E-12</c:v>
                </c:pt>
                <c:pt idx="192">
                  <c:v>4.7326673552561798E-12</c:v>
                </c:pt>
                <c:pt idx="193">
                  <c:v>4.7326673552561798E-12</c:v>
                </c:pt>
                <c:pt idx="194">
                  <c:v>4.7326673552561798E-12</c:v>
                </c:pt>
                <c:pt idx="195">
                  <c:v>4.7326673552561798E-12</c:v>
                </c:pt>
                <c:pt idx="196">
                  <c:v>4.7326673552561798E-12</c:v>
                </c:pt>
                <c:pt idx="197">
                  <c:v>4.7326673552561798E-12</c:v>
                </c:pt>
                <c:pt idx="198">
                  <c:v>4.7326673552561798E-12</c:v>
                </c:pt>
                <c:pt idx="199">
                  <c:v>4.7326673552561798E-12</c:v>
                </c:pt>
                <c:pt idx="200">
                  <c:v>4.7326673552561798E-12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599200"/>
        <c:axId val="1390316160"/>
      </c:scatterChart>
      <c:valAx>
        <c:axId val="1353599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6160"/>
        <c:crosses val="autoZero"/>
        <c:crossBetween val="midCat"/>
      </c:valAx>
      <c:valAx>
        <c:axId val="139031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359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76.066396503410189</c:v>
                </c:pt>
                <c:pt idx="17">
                  <c:v>89.990173613778268</c:v>
                </c:pt>
                <c:pt idx="18">
                  <c:v>103.85987935040144</c:v>
                </c:pt>
                <c:pt idx="19">
                  <c:v>117.68377040108562</c:v>
                </c:pt>
                <c:pt idx="20">
                  <c:v>131.46799611812642</c:v>
                </c:pt>
                <c:pt idx="21">
                  <c:v>87.404089833269822</c:v>
                </c:pt>
                <c:pt idx="22">
                  <c:v>112.54492319347281</c:v>
                </c:pt>
                <c:pt idx="23">
                  <c:v>137.54733557857185</c:v>
                </c:pt>
                <c:pt idx="24">
                  <c:v>162.44015726792901</c:v>
                </c:pt>
                <c:pt idx="25">
                  <c:v>187.24258760716546</c:v>
                </c:pt>
                <c:pt idx="26">
                  <c:v>197.39510651187894</c:v>
                </c:pt>
                <c:pt idx="27">
                  <c:v>207.53550793324425</c:v>
                </c:pt>
                <c:pt idx="28">
                  <c:v>217.66446793584763</c:v>
                </c:pt>
                <c:pt idx="29">
                  <c:v>227.7825944575965</c:v>
                </c:pt>
                <c:pt idx="30">
                  <c:v>237.89043696225227</c:v>
                </c:pt>
                <c:pt idx="31">
                  <c:v>174.85171765460962</c:v>
                </c:pt>
                <c:pt idx="32">
                  <c:v>200.56525039888083</c:v>
                </c:pt>
                <c:pt idx="33">
                  <c:v>226.20232842131611</c:v>
                </c:pt>
                <c:pt idx="34">
                  <c:v>251.77283729785225</c:v>
                </c:pt>
                <c:pt idx="35">
                  <c:v>277.28448730625303</c:v>
                </c:pt>
                <c:pt idx="36">
                  <c:v>283.57533816627671</c:v>
                </c:pt>
                <c:pt idx="37">
                  <c:v>289.86306359345832</c:v>
                </c:pt>
                <c:pt idx="38">
                  <c:v>296.14774103899612</c:v>
                </c:pt>
                <c:pt idx="39">
                  <c:v>302.4294443943221</c:v>
                </c:pt>
                <c:pt idx="40">
                  <c:v>308.70824422691641</c:v>
                </c:pt>
                <c:pt idx="41">
                  <c:v>242.30951333230917</c:v>
                </c:pt>
                <c:pt idx="42">
                  <c:v>264.06316066374637</c:v>
                </c:pt>
                <c:pt idx="43">
                  <c:v>285.77639354129207</c:v>
                </c:pt>
                <c:pt idx="44">
                  <c:v>307.45271326106052</c:v>
                </c:pt>
                <c:pt idx="45">
                  <c:v>329.09508705409206</c:v>
                </c:pt>
                <c:pt idx="46">
                  <c:v>333.16904934303915</c:v>
                </c:pt>
                <c:pt idx="47">
                  <c:v>337.24191352703087</c:v>
                </c:pt>
                <c:pt idx="48">
                  <c:v>341.31369475960292</c:v>
                </c:pt>
                <c:pt idx="49">
                  <c:v>345.38440780269661</c:v>
                </c:pt>
                <c:pt idx="50">
                  <c:v>349.45406704138003</c:v>
                </c:pt>
                <c:pt idx="51">
                  <c:v>305.25525952531069</c:v>
                </c:pt>
                <c:pt idx="52">
                  <c:v>322.19814390009697</c:v>
                </c:pt>
                <c:pt idx="53">
                  <c:v>339.12133083817082</c:v>
                </c:pt>
                <c:pt idx="54">
                  <c:v>356.02594144116352</c:v>
                </c:pt>
                <c:pt idx="55">
                  <c:v>372.91298167145311</c:v>
                </c:pt>
                <c:pt idx="56">
                  <c:v>376.66336420737179</c:v>
                </c:pt>
                <c:pt idx="57">
                  <c:v>380.41293357020317</c:v>
                </c:pt>
                <c:pt idx="58">
                  <c:v>384.16169891713162</c:v>
                </c:pt>
                <c:pt idx="59">
                  <c:v>387.90966921180319</c:v>
                </c:pt>
                <c:pt idx="60">
                  <c:v>391.65685323028919</c:v>
                </c:pt>
                <c:pt idx="61">
                  <c:v>363.53340578528702</c:v>
                </c:pt>
                <c:pt idx="62">
                  <c:v>374.47574048007596</c:v>
                </c:pt>
                <c:pt idx="63">
                  <c:v>385.41111025063856</c:v>
                </c:pt>
                <c:pt idx="64">
                  <c:v>396.33974062840053</c:v>
                </c:pt>
                <c:pt idx="65">
                  <c:v>407.26184368889881</c:v>
                </c:pt>
                <c:pt idx="66">
                  <c:v>409.75742897022025</c:v>
                </c:pt>
                <c:pt idx="67">
                  <c:v>412.25268601606558</c:v>
                </c:pt>
                <c:pt idx="68">
                  <c:v>414.74761709639392</c:v>
                </c:pt>
                <c:pt idx="69">
                  <c:v>417.24222445158756</c:v>
                </c:pt>
                <c:pt idx="70">
                  <c:v>419.73651029301664</c:v>
                </c:pt>
                <c:pt idx="71">
                  <c:v>395.71542525626728</c:v>
                </c:pt>
                <c:pt idx="72">
                  <c:v>404.45391503834031</c:v>
                </c:pt>
                <c:pt idx="73">
                  <c:v>413.18832324930037</c:v>
                </c:pt>
                <c:pt idx="74">
                  <c:v>421.91874837925076</c:v>
                </c:pt>
                <c:pt idx="75">
                  <c:v>430.64528450788265</c:v>
                </c:pt>
                <c:pt idx="76">
                  <c:v>421.29527664631456</c:v>
                </c:pt>
                <c:pt idx="77">
                  <c:v>425.97083253059947</c:v>
                </c:pt>
                <c:pt idx="78">
                  <c:v>430.64528450788265</c:v>
                </c:pt>
                <c:pt idx="79">
                  <c:v>435.31864626323181</c:v>
                </c:pt>
                <c:pt idx="80">
                  <c:v>439.99093116362383</c:v>
                </c:pt>
                <c:pt idx="81">
                  <c:v>4.400367824666284E-12</c:v>
                </c:pt>
                <c:pt idx="82">
                  <c:v>4.400367824666284E-12</c:v>
                </c:pt>
                <c:pt idx="83">
                  <c:v>4.400367824666284E-12</c:v>
                </c:pt>
                <c:pt idx="84">
                  <c:v>4.400367824666284E-12</c:v>
                </c:pt>
                <c:pt idx="85">
                  <c:v>4.400367824666284E-12</c:v>
                </c:pt>
                <c:pt idx="86">
                  <c:v>4.400367824666284E-12</c:v>
                </c:pt>
                <c:pt idx="87">
                  <c:v>4.400367824666284E-12</c:v>
                </c:pt>
                <c:pt idx="88">
                  <c:v>4.400367824666284E-12</c:v>
                </c:pt>
                <c:pt idx="89">
                  <c:v>4.400367824666284E-12</c:v>
                </c:pt>
                <c:pt idx="90">
                  <c:v>4.400367824666284E-12</c:v>
                </c:pt>
                <c:pt idx="91">
                  <c:v>4.400367824666284E-12</c:v>
                </c:pt>
                <c:pt idx="92">
                  <c:v>4.400367824666284E-12</c:v>
                </c:pt>
                <c:pt idx="93">
                  <c:v>4.400367824666284E-12</c:v>
                </c:pt>
                <c:pt idx="94">
                  <c:v>4.400367824666284E-12</c:v>
                </c:pt>
                <c:pt idx="95">
                  <c:v>4.400367824666284E-12</c:v>
                </c:pt>
                <c:pt idx="96">
                  <c:v>4.400367824666284E-12</c:v>
                </c:pt>
                <c:pt idx="97">
                  <c:v>4.400367824666284E-12</c:v>
                </c:pt>
                <c:pt idx="98">
                  <c:v>4.400367824666284E-12</c:v>
                </c:pt>
                <c:pt idx="99">
                  <c:v>4.400367824666284E-12</c:v>
                </c:pt>
                <c:pt idx="100">
                  <c:v>4.400367824666284E-12</c:v>
                </c:pt>
                <c:pt idx="101">
                  <c:v>4.400367824666284E-12</c:v>
                </c:pt>
                <c:pt idx="102">
                  <c:v>4.400367824666284E-12</c:v>
                </c:pt>
                <c:pt idx="103">
                  <c:v>4.400367824666284E-12</c:v>
                </c:pt>
                <c:pt idx="104">
                  <c:v>4.400367824666284E-12</c:v>
                </c:pt>
                <c:pt idx="105">
                  <c:v>4.400367824666284E-12</c:v>
                </c:pt>
                <c:pt idx="106">
                  <c:v>4.400367824666284E-12</c:v>
                </c:pt>
                <c:pt idx="107">
                  <c:v>4.400367824666284E-12</c:v>
                </c:pt>
                <c:pt idx="108">
                  <c:v>4.400367824666284E-12</c:v>
                </c:pt>
                <c:pt idx="109">
                  <c:v>4.400367824666284E-12</c:v>
                </c:pt>
                <c:pt idx="110">
                  <c:v>4.400367824666284E-12</c:v>
                </c:pt>
                <c:pt idx="111">
                  <c:v>4.400367824666284E-12</c:v>
                </c:pt>
                <c:pt idx="112">
                  <c:v>4.400367824666284E-12</c:v>
                </c:pt>
                <c:pt idx="113">
                  <c:v>4.400367824666284E-12</c:v>
                </c:pt>
                <c:pt idx="114">
                  <c:v>4.400367824666284E-12</c:v>
                </c:pt>
                <c:pt idx="115">
                  <c:v>4.400367824666284E-12</c:v>
                </c:pt>
                <c:pt idx="116">
                  <c:v>4.400367824666284E-12</c:v>
                </c:pt>
                <c:pt idx="117">
                  <c:v>4.400367824666284E-12</c:v>
                </c:pt>
                <c:pt idx="118">
                  <c:v>4.400367824666284E-12</c:v>
                </c:pt>
                <c:pt idx="119">
                  <c:v>4.400367824666284E-12</c:v>
                </c:pt>
                <c:pt idx="120">
                  <c:v>4.400367824666284E-12</c:v>
                </c:pt>
                <c:pt idx="121">
                  <c:v>4.400367824666284E-12</c:v>
                </c:pt>
                <c:pt idx="122">
                  <c:v>4.400367824666284E-12</c:v>
                </c:pt>
                <c:pt idx="123">
                  <c:v>4.400367824666284E-12</c:v>
                </c:pt>
                <c:pt idx="124">
                  <c:v>4.400367824666284E-12</c:v>
                </c:pt>
                <c:pt idx="125">
                  <c:v>4.400367824666284E-12</c:v>
                </c:pt>
                <c:pt idx="126">
                  <c:v>4.400367824666284E-12</c:v>
                </c:pt>
                <c:pt idx="127">
                  <c:v>4.400367824666284E-12</c:v>
                </c:pt>
                <c:pt idx="128">
                  <c:v>4.400367824666284E-12</c:v>
                </c:pt>
                <c:pt idx="129">
                  <c:v>4.400367824666284E-12</c:v>
                </c:pt>
                <c:pt idx="130">
                  <c:v>4.400367824666284E-12</c:v>
                </c:pt>
                <c:pt idx="131">
                  <c:v>4.400367824666284E-12</c:v>
                </c:pt>
                <c:pt idx="132">
                  <c:v>4.400367824666284E-12</c:v>
                </c:pt>
                <c:pt idx="133">
                  <c:v>4.400367824666284E-12</c:v>
                </c:pt>
                <c:pt idx="134">
                  <c:v>4.400367824666284E-12</c:v>
                </c:pt>
                <c:pt idx="135">
                  <c:v>4.400367824666284E-12</c:v>
                </c:pt>
                <c:pt idx="136">
                  <c:v>4.400367824666284E-12</c:v>
                </c:pt>
                <c:pt idx="137">
                  <c:v>4.400367824666284E-12</c:v>
                </c:pt>
                <c:pt idx="138">
                  <c:v>4.400367824666284E-12</c:v>
                </c:pt>
                <c:pt idx="139">
                  <c:v>4.400367824666284E-12</c:v>
                </c:pt>
                <c:pt idx="140">
                  <c:v>4.400367824666284E-12</c:v>
                </c:pt>
                <c:pt idx="141">
                  <c:v>4.400367824666284E-12</c:v>
                </c:pt>
                <c:pt idx="142">
                  <c:v>4.400367824666284E-12</c:v>
                </c:pt>
                <c:pt idx="143">
                  <c:v>4.400367824666284E-12</c:v>
                </c:pt>
                <c:pt idx="144">
                  <c:v>4.400367824666284E-12</c:v>
                </c:pt>
                <c:pt idx="145">
                  <c:v>4.400367824666284E-12</c:v>
                </c:pt>
                <c:pt idx="146">
                  <c:v>4.400367824666284E-12</c:v>
                </c:pt>
                <c:pt idx="147">
                  <c:v>4.400367824666284E-12</c:v>
                </c:pt>
                <c:pt idx="148">
                  <c:v>4.400367824666284E-12</c:v>
                </c:pt>
                <c:pt idx="149">
                  <c:v>4.400367824666284E-12</c:v>
                </c:pt>
                <c:pt idx="150">
                  <c:v>4.400367824666284E-12</c:v>
                </c:pt>
                <c:pt idx="151">
                  <c:v>4.400367824666284E-12</c:v>
                </c:pt>
                <c:pt idx="152">
                  <c:v>4.400367824666284E-12</c:v>
                </c:pt>
                <c:pt idx="153">
                  <c:v>4.400367824666284E-12</c:v>
                </c:pt>
                <c:pt idx="154">
                  <c:v>4.400367824666284E-12</c:v>
                </c:pt>
                <c:pt idx="155">
                  <c:v>4.400367824666284E-12</c:v>
                </c:pt>
                <c:pt idx="156">
                  <c:v>4.400367824666284E-12</c:v>
                </c:pt>
                <c:pt idx="157">
                  <c:v>4.400367824666284E-12</c:v>
                </c:pt>
                <c:pt idx="158">
                  <c:v>4.400367824666284E-12</c:v>
                </c:pt>
                <c:pt idx="159">
                  <c:v>4.400367824666284E-12</c:v>
                </c:pt>
                <c:pt idx="160">
                  <c:v>4.400367824666284E-12</c:v>
                </c:pt>
                <c:pt idx="161">
                  <c:v>4.400367824666284E-12</c:v>
                </c:pt>
                <c:pt idx="162">
                  <c:v>4.400367824666284E-12</c:v>
                </c:pt>
                <c:pt idx="163">
                  <c:v>4.400367824666284E-12</c:v>
                </c:pt>
                <c:pt idx="164">
                  <c:v>4.400367824666284E-12</c:v>
                </c:pt>
                <c:pt idx="165">
                  <c:v>4.400367824666284E-12</c:v>
                </c:pt>
                <c:pt idx="166">
                  <c:v>4.400367824666284E-12</c:v>
                </c:pt>
                <c:pt idx="167">
                  <c:v>4.400367824666284E-12</c:v>
                </c:pt>
                <c:pt idx="168">
                  <c:v>4.400367824666284E-12</c:v>
                </c:pt>
                <c:pt idx="169">
                  <c:v>4.400367824666284E-12</c:v>
                </c:pt>
                <c:pt idx="170">
                  <c:v>4.400367824666284E-12</c:v>
                </c:pt>
                <c:pt idx="171">
                  <c:v>4.400367824666284E-12</c:v>
                </c:pt>
                <c:pt idx="172">
                  <c:v>4.400367824666284E-12</c:v>
                </c:pt>
                <c:pt idx="173">
                  <c:v>4.400367824666284E-12</c:v>
                </c:pt>
                <c:pt idx="174">
                  <c:v>4.400367824666284E-12</c:v>
                </c:pt>
                <c:pt idx="175">
                  <c:v>4.400367824666284E-12</c:v>
                </c:pt>
                <c:pt idx="176">
                  <c:v>4.400367824666284E-12</c:v>
                </c:pt>
                <c:pt idx="177">
                  <c:v>4.400367824666284E-12</c:v>
                </c:pt>
                <c:pt idx="178">
                  <c:v>4.400367824666284E-12</c:v>
                </c:pt>
                <c:pt idx="179">
                  <c:v>4.400367824666284E-12</c:v>
                </c:pt>
                <c:pt idx="180">
                  <c:v>4.400367824666284E-12</c:v>
                </c:pt>
                <c:pt idx="181">
                  <c:v>4.400367824666284E-12</c:v>
                </c:pt>
                <c:pt idx="182">
                  <c:v>4.400367824666284E-12</c:v>
                </c:pt>
                <c:pt idx="183">
                  <c:v>4.400367824666284E-12</c:v>
                </c:pt>
                <c:pt idx="184">
                  <c:v>4.400367824666284E-12</c:v>
                </c:pt>
                <c:pt idx="185">
                  <c:v>4.400367824666284E-12</c:v>
                </c:pt>
                <c:pt idx="186">
                  <c:v>4.400367824666284E-12</c:v>
                </c:pt>
                <c:pt idx="187">
                  <c:v>4.400367824666284E-12</c:v>
                </c:pt>
                <c:pt idx="188">
                  <c:v>4.400367824666284E-12</c:v>
                </c:pt>
                <c:pt idx="189">
                  <c:v>4.400367824666284E-12</c:v>
                </c:pt>
                <c:pt idx="190">
                  <c:v>4.400367824666284E-12</c:v>
                </c:pt>
                <c:pt idx="191">
                  <c:v>4.400367824666284E-12</c:v>
                </c:pt>
                <c:pt idx="192">
                  <c:v>4.400367824666284E-12</c:v>
                </c:pt>
                <c:pt idx="193">
                  <c:v>4.400367824666284E-12</c:v>
                </c:pt>
                <c:pt idx="194">
                  <c:v>4.400367824666284E-12</c:v>
                </c:pt>
                <c:pt idx="195">
                  <c:v>4.400367824666284E-12</c:v>
                </c:pt>
                <c:pt idx="196">
                  <c:v>4.400367824666284E-12</c:v>
                </c:pt>
                <c:pt idx="197">
                  <c:v>4.400367824666284E-12</c:v>
                </c:pt>
                <c:pt idx="198">
                  <c:v>4.400367824666284E-12</c:v>
                </c:pt>
                <c:pt idx="199">
                  <c:v>4.400367824666284E-12</c:v>
                </c:pt>
                <c:pt idx="200">
                  <c:v>4.400367824666284E-12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7248"/>
        <c:axId val="1390311264"/>
      </c:scatterChart>
      <c:valAx>
        <c:axId val="139031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1264"/>
        <c:crosses val="autoZero"/>
        <c:crossBetween val="midCat"/>
      </c:valAx>
      <c:valAx>
        <c:axId val="139031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6704"/>
        <c:axId val="1390312896"/>
      </c:scatterChart>
      <c:valAx>
        <c:axId val="1390316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2896"/>
        <c:crosses val="autoZero"/>
        <c:crossBetween val="midCat"/>
      </c:valAx>
      <c:valAx>
        <c:axId val="139031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6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2352"/>
        <c:axId val="1390318336"/>
      </c:scatterChart>
      <c:valAx>
        <c:axId val="1390312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8336"/>
        <c:crosses val="autoZero"/>
        <c:crossBetween val="midCat"/>
      </c:valAx>
      <c:valAx>
        <c:axId val="139031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2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7792"/>
        <c:axId val="1390311808"/>
      </c:scatterChart>
      <c:valAx>
        <c:axId val="1390317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1808"/>
        <c:crosses val="autoZero"/>
        <c:crossBetween val="midCat"/>
      </c:valAx>
      <c:valAx>
        <c:axId val="139031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5072"/>
        <c:axId val="1390313440"/>
      </c:scatterChart>
      <c:valAx>
        <c:axId val="1390315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3440"/>
        <c:crosses val="autoZero"/>
        <c:crossBetween val="midCat"/>
      </c:valAx>
      <c:valAx>
        <c:axId val="139031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5616"/>
        <c:axId val="1390313984"/>
      </c:scatterChart>
      <c:valAx>
        <c:axId val="1390315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3984"/>
        <c:crosses val="autoZero"/>
        <c:crossBetween val="midCat"/>
      </c:valAx>
      <c:valAx>
        <c:axId val="139031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314528"/>
        <c:axId val="1011552288"/>
      </c:scatterChart>
      <c:valAx>
        <c:axId val="1390314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1552288"/>
        <c:crosses val="autoZero"/>
        <c:crossBetween val="midCat"/>
      </c:valAx>
      <c:valAx>
        <c:axId val="10115522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90314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D40" sqref="D40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25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25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25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25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25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25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25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25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25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25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25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25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25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25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25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25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25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25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D23" sqref="D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4" t="s">
        <v>192</v>
      </c>
      <c r="C3" s="295"/>
      <c r="D3" s="295"/>
      <c r="E3" s="295"/>
      <c r="F3" s="296"/>
      <c r="G3" s="92"/>
      <c r="I3" s="225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4"/>
      <c r="B4" s="94"/>
      <c r="C4" s="94"/>
      <c r="D4" s="94"/>
      <c r="E4" s="94"/>
      <c r="F4" s="94"/>
      <c r="G4" s="235"/>
      <c r="I4" s="225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0" t="s">
        <v>231</v>
      </c>
      <c r="B5" s="300"/>
      <c r="C5" s="26">
        <v>2.2000000000000002</v>
      </c>
      <c r="D5" s="301" t="s">
        <v>229</v>
      </c>
      <c r="E5" s="302"/>
      <c r="F5" s="94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5"/>
      <c r="B6" s="95"/>
      <c r="C6" s="96"/>
      <c r="D6" s="89"/>
      <c r="E6" s="89"/>
      <c r="F6" s="29"/>
      <c r="G6" s="237"/>
      <c r="H6" s="238"/>
      <c r="I6" s="238"/>
      <c r="J6" s="245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6.25" x14ac:dyDescent="0.25">
      <c r="A7" s="298" t="s">
        <v>226</v>
      </c>
      <c r="B7" s="298"/>
      <c r="C7" s="94"/>
      <c r="D7" s="94"/>
      <c r="E7" s="5"/>
      <c r="F7" s="94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0.31</v>
      </c>
      <c r="D9" s="36">
        <f t="shared" ref="D9:D18" si="0">C9*$C$5</f>
        <v>0.68200000000000005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23</v>
      </c>
      <c r="C10" s="35">
        <v>0.16</v>
      </c>
      <c r="D10" s="36">
        <f t="shared" si="0"/>
        <v>0.35200000000000004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0.16</v>
      </c>
      <c r="D11" s="36">
        <f t="shared" si="0"/>
        <v>0.35200000000000004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0.16</v>
      </c>
      <c r="D12" s="36">
        <f t="shared" si="0"/>
        <v>0.35200000000000004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0.16</v>
      </c>
      <c r="D13" s="36">
        <f t="shared" si="0"/>
        <v>0.35200000000000004</v>
      </c>
      <c r="E13" s="37">
        <v>109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</v>
      </c>
      <c r="C14" s="35">
        <v>0.05</v>
      </c>
      <c r="D14" s="36">
        <f t="shared" si="0"/>
        <v>0.11000000000000001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7"/>
      <c r="B19" s="39" t="s">
        <v>175</v>
      </c>
      <c r="C19" s="40">
        <f>SUM(C9:C18)</f>
        <v>1</v>
      </c>
      <c r="D19" s="41">
        <f>SUM(D9:D18)</f>
        <v>2.2000000000000002</v>
      </c>
      <c r="E19" s="5"/>
      <c r="F19" s="98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7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7" t="s">
        <v>232</v>
      </c>
      <c r="B22" s="297"/>
      <c r="C22" s="96"/>
      <c r="H22" s="227"/>
      <c r="I22" s="245"/>
      <c r="J22" s="245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25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99"/>
      <c r="F26" s="99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99" t="s">
        <v>227</v>
      </c>
      <c r="B30" s="299"/>
      <c r="D30" s="247"/>
      <c r="H30" s="245"/>
      <c r="I30" s="245"/>
      <c r="J30" s="245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25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1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v>105</v>
      </c>
      <c r="C38" s="61">
        <v>1</v>
      </c>
      <c r="D38" s="61"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v>158</v>
      </c>
      <c r="C40" s="61">
        <v>2</v>
      </c>
      <c r="D40" s="61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v>199</v>
      </c>
      <c r="C42" s="61">
        <v>3</v>
      </c>
      <c r="D42" s="61"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197</v>
      </c>
      <c r="C43" s="53"/>
      <c r="D43" s="5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sycomore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1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v>37</v>
      </c>
      <c r="C62" s="61"/>
      <c r="D62" s="61"/>
      <c r="E62" s="54"/>
      <c r="F62" s="54"/>
      <c r="G62" s="54"/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v>80</v>
      </c>
      <c r="C63" s="61">
        <v>1</v>
      </c>
      <c r="D63" s="61">
        <f>15+28</f>
        <v>43</v>
      </c>
      <c r="E63" s="54"/>
      <c r="F63" s="54"/>
      <c r="G63" s="54"/>
      <c r="H63" s="54">
        <v>1</v>
      </c>
      <c r="I63" s="52">
        <f>IF(A63&lt;&gt;0,(B63-(B62-D62))/(A63-A62),"")</f>
        <v>8.6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v>115</v>
      </c>
      <c r="C64" s="61"/>
      <c r="D64" s="61"/>
      <c r="E64" s="54"/>
      <c r="F64" s="54"/>
      <c r="G64" s="54"/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v>147</v>
      </c>
      <c r="C65" s="61">
        <v>2</v>
      </c>
      <c r="D65" s="61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6.4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v>172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v>192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v>205</v>
      </c>
      <c r="C68" s="53"/>
      <c r="D68" s="61"/>
      <c r="E68" s="54"/>
      <c r="F68" s="54"/>
      <c r="G68" s="54"/>
      <c r="H68" s="54"/>
      <c r="I68" s="52">
        <f t="shared" si="2"/>
        <v>13.8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61">
        <v>218</v>
      </c>
      <c r="C69" s="53">
        <v>4</v>
      </c>
      <c r="D69" s="61">
        <v>39</v>
      </c>
      <c r="E69" s="54"/>
      <c r="F69" s="54"/>
      <c r="G69" s="54"/>
      <c r="H69" s="54"/>
      <c r="I69" s="52">
        <f t="shared" si="2"/>
        <v>2.6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61">
        <v>233</v>
      </c>
      <c r="C70" s="53"/>
      <c r="D70" s="61"/>
      <c r="E70" s="54"/>
      <c r="F70" s="54"/>
      <c r="G70" s="54"/>
      <c r="H70" s="54"/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61">
        <v>245</v>
      </c>
      <c r="C71" s="53">
        <v>5</v>
      </c>
      <c r="D71" s="61">
        <v>25</v>
      </c>
      <c r="E71" s="54"/>
      <c r="F71" s="54"/>
      <c r="G71" s="54"/>
      <c r="H71" s="54"/>
      <c r="I71" s="52">
        <f t="shared" si="2"/>
        <v>2.4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61">
        <v>255</v>
      </c>
      <c r="C72" s="53"/>
      <c r="D72" s="61"/>
      <c r="E72" s="54"/>
      <c r="F72" s="54"/>
      <c r="G72" s="54"/>
      <c r="H72" s="54"/>
      <c r="I72" s="52">
        <f t="shared" si="2"/>
        <v>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61">
        <v>263</v>
      </c>
      <c r="C73" s="53">
        <v>6</v>
      </c>
      <c r="D73" s="61">
        <v>21</v>
      </c>
      <c r="E73" s="54"/>
      <c r="F73" s="54"/>
      <c r="G73" s="54"/>
      <c r="H73" s="54"/>
      <c r="I73" s="52">
        <f t="shared" si="2"/>
        <v>1.6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61">
        <v>270</v>
      </c>
      <c r="C74" s="53">
        <v>7</v>
      </c>
      <c r="D74" s="61">
        <v>9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61">
        <v>276</v>
      </c>
      <c r="C75" s="53">
        <v>8</v>
      </c>
      <c r="D75" s="61">
        <v>276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v>37</v>
      </c>
      <c r="C88" s="61"/>
      <c r="D88" s="61"/>
      <c r="E88" s="54"/>
      <c r="F88" s="54"/>
      <c r="G88" s="54"/>
      <c r="H88" s="54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v>80</v>
      </c>
      <c r="C89" s="61">
        <v>1</v>
      </c>
      <c r="D89" s="61">
        <f>15+28</f>
        <v>43</v>
      </c>
      <c r="E89" s="54"/>
      <c r="F89" s="54"/>
      <c r="G89" s="54"/>
      <c r="H89" s="54">
        <v>1</v>
      </c>
      <c r="I89" s="56">
        <f t="shared" ref="I89:I107" si="3"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v>115</v>
      </c>
      <c r="C90" s="61"/>
      <c r="D90" s="61"/>
      <c r="E90" s="54"/>
      <c r="F90" s="54"/>
      <c r="G90" s="54"/>
      <c r="H90" s="54"/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v>147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6.4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v>172</v>
      </c>
      <c r="C92" s="61"/>
      <c r="D92" s="61"/>
      <c r="E92" s="54"/>
      <c r="F92" s="54"/>
      <c r="G92" s="54"/>
      <c r="H92" s="54"/>
      <c r="I92" s="56">
        <f t="shared" si="3"/>
        <v>16.2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v>192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v>205</v>
      </c>
      <c r="C94" s="53"/>
      <c r="D94" s="61"/>
      <c r="E94" s="54"/>
      <c r="F94" s="54"/>
      <c r="G94" s="54"/>
      <c r="H94" s="54"/>
      <c r="I94" s="56">
        <f t="shared" si="3"/>
        <v>13.8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1">
        <v>218</v>
      </c>
      <c r="C95" s="53">
        <v>4</v>
      </c>
      <c r="D95" s="61">
        <v>39</v>
      </c>
      <c r="E95" s="54"/>
      <c r="F95" s="54"/>
      <c r="G95" s="54"/>
      <c r="H95" s="54"/>
      <c r="I95" s="56">
        <f t="shared" si="3"/>
        <v>2.6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61">
        <v>233</v>
      </c>
      <c r="C96" s="53"/>
      <c r="D96" s="61"/>
      <c r="E96" s="54"/>
      <c r="F96" s="54"/>
      <c r="G96" s="54"/>
      <c r="H96" s="54"/>
      <c r="I96" s="56">
        <f t="shared" si="3"/>
        <v>10.8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61">
        <v>245</v>
      </c>
      <c r="C97" s="53">
        <v>5</v>
      </c>
      <c r="D97" s="61">
        <v>25</v>
      </c>
      <c r="E97" s="54"/>
      <c r="F97" s="54"/>
      <c r="G97" s="54"/>
      <c r="H97" s="54"/>
      <c r="I97" s="56">
        <f t="shared" si="3"/>
        <v>2.4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61">
        <v>255</v>
      </c>
      <c r="C98" s="53"/>
      <c r="D98" s="61"/>
      <c r="E98" s="54"/>
      <c r="F98" s="54"/>
      <c r="G98" s="54"/>
      <c r="H98" s="54"/>
      <c r="I98" s="56">
        <f t="shared" si="3"/>
        <v>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61">
        <v>263</v>
      </c>
      <c r="C99" s="53">
        <v>6</v>
      </c>
      <c r="D99" s="61">
        <v>21</v>
      </c>
      <c r="E99" s="54"/>
      <c r="F99" s="54"/>
      <c r="G99" s="54"/>
      <c r="H99" s="54"/>
      <c r="I99" s="56">
        <f t="shared" si="3"/>
        <v>1.6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61">
        <v>270</v>
      </c>
      <c r="C100" s="53">
        <v>7</v>
      </c>
      <c r="D100" s="61">
        <v>9</v>
      </c>
      <c r="E100" s="54"/>
      <c r="F100" s="54"/>
      <c r="G100" s="54"/>
      <c r="H100" s="54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61">
        <v>276</v>
      </c>
      <c r="C101" s="53">
        <v>8</v>
      </c>
      <c r="D101" s="61">
        <v>276</v>
      </c>
      <c r="E101" s="54"/>
      <c r="F101" s="54"/>
      <c r="G101" s="54"/>
      <c r="H101" s="54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v>40</v>
      </c>
      <c r="C114" s="53"/>
      <c r="D114" s="61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85+3</f>
        <v>88</v>
      </c>
      <c r="C115" s="53"/>
      <c r="D115" s="61"/>
      <c r="E115" s="54"/>
      <c r="F115" s="54"/>
      <c r="G115" s="54"/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113+3+25</f>
        <v>141</v>
      </c>
      <c r="C116" s="53">
        <v>1</v>
      </c>
      <c r="D116" s="61">
        <f>3+25+27</f>
        <v>55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61">
        <v>155</v>
      </c>
      <c r="C117" s="53">
        <v>2</v>
      </c>
      <c r="D117" s="61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37</v>
      </c>
      <c r="B118" s="61">
        <v>188</v>
      </c>
      <c r="C118" s="53">
        <v>3</v>
      </c>
      <c r="D118" s="61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44</v>
      </c>
      <c r="B119" s="61">
        <v>230</v>
      </c>
      <c r="C119" s="53">
        <v>4</v>
      </c>
      <c r="D119" s="61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52</v>
      </c>
      <c r="B120" s="61">
        <v>270</v>
      </c>
      <c r="C120" s="61">
        <v>5</v>
      </c>
      <c r="D120" s="61">
        <v>48</v>
      </c>
      <c r="E120" s="90"/>
      <c r="F120" s="90"/>
      <c r="G120" s="90"/>
      <c r="H120" s="90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60</v>
      </c>
      <c r="B121" s="61">
        <v>297</v>
      </c>
      <c r="C121" s="61">
        <v>6</v>
      </c>
      <c r="D121" s="61">
        <v>47</v>
      </c>
      <c r="E121" s="90"/>
      <c r="F121" s="90"/>
      <c r="G121" s="90"/>
      <c r="H121" s="90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69</v>
      </c>
      <c r="B122" s="61">
        <v>328</v>
      </c>
      <c r="C122" s="61">
        <v>7</v>
      </c>
      <c r="D122" s="61">
        <f>B122</f>
        <v>328</v>
      </c>
      <c r="E122" s="90"/>
      <c r="F122" s="90"/>
      <c r="G122" s="90"/>
      <c r="H122" s="90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8"/>
      <c r="B123" s="58"/>
      <c r="C123" s="58"/>
      <c r="D123" s="58"/>
      <c r="E123" s="64"/>
      <c r="F123" s="64"/>
      <c r="G123" s="64"/>
      <c r="H123" s="6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8"/>
      <c r="B124" s="58"/>
      <c r="C124" s="58"/>
      <c r="D124" s="58"/>
      <c r="E124" s="64"/>
      <c r="F124" s="64"/>
      <c r="G124" s="64"/>
      <c r="H124" s="6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8"/>
      <c r="B125" s="58"/>
      <c r="C125" s="58"/>
      <c r="D125" s="58"/>
      <c r="E125" s="64"/>
      <c r="F125" s="64"/>
      <c r="G125" s="64"/>
      <c r="H125" s="6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8"/>
      <c r="B126" s="58"/>
      <c r="C126" s="58"/>
      <c r="D126" s="58"/>
      <c r="E126" s="65"/>
      <c r="F126" s="65"/>
      <c r="G126" s="65"/>
      <c r="H126" s="65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91"/>
      <c r="B127" s="61"/>
      <c r="C127" s="91"/>
      <c r="D127" s="61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1">
        <f>134/1.3</f>
        <v>103.07692307692308</v>
      </c>
      <c r="C140" s="53"/>
      <c r="D140" s="61"/>
      <c r="E140" s="54"/>
      <c r="F140" s="54"/>
      <c r="G140" s="54"/>
      <c r="H140" s="64"/>
      <c r="I140" s="59">
        <f>IFERROR(B140/A140,"")</f>
        <v>3.4358974358974361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51</v>
      </c>
      <c r="B141" s="61">
        <f>418/1.3</f>
        <v>321.53846153846155</v>
      </c>
      <c r="C141" s="53">
        <v>1</v>
      </c>
      <c r="D141" s="61">
        <f>(418-288)/1.3</f>
        <v>100</v>
      </c>
      <c r="E141" s="64"/>
      <c r="F141" s="64"/>
      <c r="G141" s="64"/>
      <c r="H141" s="64"/>
      <c r="I141" s="59">
        <f t="shared" ref="I141:I159" si="5">IF(A141&lt;&gt;0,(B141-(B140-D140))/(A141-A140),"")</f>
        <v>10.402930402930403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63</v>
      </c>
      <c r="B142" s="61">
        <f>456/1.3</f>
        <v>350.76923076923077</v>
      </c>
      <c r="C142" s="53">
        <v>2</v>
      </c>
      <c r="D142" s="61">
        <f>(456-315)/1.3</f>
        <v>108.46153846153845</v>
      </c>
      <c r="E142" s="64"/>
      <c r="F142" s="64"/>
      <c r="G142" s="64"/>
      <c r="H142" s="64"/>
      <c r="I142" s="59">
        <f t="shared" si="5"/>
        <v>10.769230769230768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75</v>
      </c>
      <c r="B143" s="61">
        <f>469/1.3</f>
        <v>360.76923076923077</v>
      </c>
      <c r="C143" s="53">
        <v>3</v>
      </c>
      <c r="D143" s="61">
        <f>B143-(358/1.3)</f>
        <v>85.384615384615415</v>
      </c>
      <c r="E143" s="64"/>
      <c r="F143" s="64"/>
      <c r="G143" s="64"/>
      <c r="H143" s="64"/>
      <c r="I143" s="59">
        <f t="shared" si="5"/>
        <v>9.8717948717948705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87</v>
      </c>
      <c r="B144" s="61">
        <f>498/1.3</f>
        <v>383.07692307692304</v>
      </c>
      <c r="C144" s="53">
        <v>4</v>
      </c>
      <c r="D144" s="61">
        <f>B144-(390/1.3)</f>
        <v>83.076923076923038</v>
      </c>
      <c r="E144" s="64"/>
      <c r="F144" s="64"/>
      <c r="G144" s="64"/>
      <c r="H144" s="64"/>
      <c r="I144" s="59">
        <f t="shared" si="5"/>
        <v>8.9743589743589727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99</v>
      </c>
      <c r="B145" s="61">
        <f>517/1.3</f>
        <v>397.69230769230768</v>
      </c>
      <c r="C145" s="53">
        <v>5</v>
      </c>
      <c r="D145" s="61">
        <f>B145-(259/1.3)</f>
        <v>198.46153846153845</v>
      </c>
      <c r="E145" s="64"/>
      <c r="F145" s="64"/>
      <c r="G145" s="64"/>
      <c r="H145" s="64"/>
      <c r="I145" s="59">
        <f t="shared" si="5"/>
        <v>8.1410256410256405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1">
        <v>109</v>
      </c>
      <c r="B146" s="61">
        <f>333/1.3</f>
        <v>256.15384615384613</v>
      </c>
      <c r="C146" s="61">
        <v>6</v>
      </c>
      <c r="D146" s="61">
        <f>B146</f>
        <v>256.15384615384613</v>
      </c>
      <c r="E146" s="64"/>
      <c r="F146" s="64"/>
      <c r="G146" s="64"/>
      <c r="H146" s="64"/>
      <c r="I146" s="59">
        <f t="shared" si="5"/>
        <v>5.6923076923076907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/>
      <c r="B147" s="58"/>
      <c r="C147" s="58"/>
      <c r="D147" s="58"/>
      <c r="E147" s="64"/>
      <c r="F147" s="64"/>
      <c r="G147" s="64"/>
      <c r="H147" s="6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/>
      <c r="B148" s="58"/>
      <c r="C148" s="58"/>
      <c r="D148" s="58"/>
      <c r="E148" s="64"/>
      <c r="F148" s="64"/>
      <c r="G148" s="64"/>
      <c r="H148" s="6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8"/>
      <c r="B149" s="58"/>
      <c r="C149" s="58"/>
      <c r="D149" s="58"/>
      <c r="E149" s="64"/>
      <c r="F149" s="64"/>
      <c r="G149" s="64"/>
      <c r="H149" s="6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8"/>
      <c r="B150" s="58"/>
      <c r="C150" s="58"/>
      <c r="D150" s="58"/>
      <c r="E150" s="64"/>
      <c r="F150" s="64"/>
      <c r="G150" s="64"/>
      <c r="H150" s="6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8"/>
      <c r="B151" s="58"/>
      <c r="C151" s="58"/>
      <c r="D151" s="58"/>
      <c r="E151" s="64"/>
      <c r="F151" s="64"/>
      <c r="G151" s="64"/>
      <c r="H151" s="6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8"/>
      <c r="B152" s="58"/>
      <c r="C152" s="58"/>
      <c r="D152" s="58"/>
      <c r="E152" s="65"/>
      <c r="F152" s="65"/>
      <c r="G152" s="65"/>
      <c r="H152" s="65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91"/>
      <c r="B153" s="61"/>
      <c r="C153" s="91"/>
      <c r="D153" s="61"/>
      <c r="E153" s="57"/>
      <c r="F153" s="57"/>
      <c r="G153" s="57"/>
      <c r="H153" s="57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7"/>
      <c r="F154" s="57"/>
      <c r="G154" s="57"/>
      <c r="H154" s="57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7"/>
      <c r="F155" s="57"/>
      <c r="G155" s="57"/>
      <c r="H155" s="57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7"/>
      <c r="F156" s="57"/>
      <c r="G156" s="57"/>
      <c r="H156" s="57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7"/>
      <c r="F157" s="57"/>
      <c r="G157" s="57"/>
      <c r="H157" s="57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7"/>
      <c r="F158" s="57"/>
      <c r="G158" s="57"/>
      <c r="H158" s="57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7"/>
      <c r="F159" s="57"/>
      <c r="G159" s="57"/>
      <c r="H159" s="57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Bouleau verruqueux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1">
        <v>9</v>
      </c>
      <c r="C166" s="61"/>
      <c r="D166" s="61"/>
      <c r="E166" s="54"/>
      <c r="F166" s="54"/>
      <c r="G166" s="54"/>
      <c r="H166" s="90"/>
      <c r="I166" s="52">
        <f>IFERROR(B166/A166,"")</f>
        <v>0.9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1">
        <v>49</v>
      </c>
      <c r="C167" s="61"/>
      <c r="D167" s="61"/>
      <c r="E167" s="54"/>
      <c r="F167" s="54"/>
      <c r="G167" s="54"/>
      <c r="H167" s="90"/>
      <c r="I167" s="52">
        <f t="shared" ref="I167:I185" si="6">IF(A167&lt;&gt;0,(B167-(B166-D166))/(A167-A166),"")</f>
        <v>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1">
        <v>99</v>
      </c>
      <c r="C168" s="61">
        <v>1</v>
      </c>
      <c r="D168" s="61">
        <f>99-59</f>
        <v>40</v>
      </c>
      <c r="E168" s="90"/>
      <c r="F168" s="90"/>
      <c r="G168" s="90"/>
      <c r="H168" s="90">
        <v>1</v>
      </c>
      <c r="I168" s="52">
        <f t="shared" si="6"/>
        <v>10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1">
        <v>102</v>
      </c>
      <c r="C169" s="61"/>
      <c r="D169" s="61"/>
      <c r="E169" s="90"/>
      <c r="F169" s="90"/>
      <c r="G169" s="90"/>
      <c r="H169" s="90"/>
      <c r="I169" s="52">
        <f t="shared" si="6"/>
        <v>8.6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1">
        <v>146</v>
      </c>
      <c r="C170" s="61"/>
      <c r="D170" s="61"/>
      <c r="E170" s="90"/>
      <c r="F170" s="90"/>
      <c r="G170" s="90"/>
      <c r="H170" s="90"/>
      <c r="I170" s="52">
        <f t="shared" si="6"/>
        <v>8.8000000000000007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1">
        <v>190</v>
      </c>
      <c r="C171" s="61">
        <v>2</v>
      </c>
      <c r="D171" s="61">
        <v>76</v>
      </c>
      <c r="E171" s="90"/>
      <c r="F171" s="90"/>
      <c r="G171" s="90"/>
      <c r="H171" s="90"/>
      <c r="I171" s="52">
        <f t="shared" si="6"/>
        <v>8.8000000000000007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1">
        <v>152</v>
      </c>
      <c r="C172" s="61"/>
      <c r="D172" s="61"/>
      <c r="E172" s="90"/>
      <c r="F172" s="90"/>
      <c r="G172" s="90"/>
      <c r="H172" s="90"/>
      <c r="I172" s="52">
        <f t="shared" si="6"/>
        <v>7.6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61">
        <v>190</v>
      </c>
      <c r="C173" s="61"/>
      <c r="D173" s="61"/>
      <c r="E173" s="90"/>
      <c r="F173" s="90"/>
      <c r="G173" s="90"/>
      <c r="H173" s="90"/>
      <c r="I173" s="52">
        <f t="shared" si="6"/>
        <v>7.6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61">
        <v>228</v>
      </c>
      <c r="C174" s="61"/>
      <c r="D174" s="61"/>
      <c r="E174" s="90"/>
      <c r="F174" s="90"/>
      <c r="G174" s="90"/>
      <c r="H174" s="90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61">
        <v>266</v>
      </c>
      <c r="C175" s="61"/>
      <c r="D175" s="61"/>
      <c r="E175" s="90"/>
      <c r="F175" s="90"/>
      <c r="G175" s="90"/>
      <c r="H175" s="90"/>
      <c r="I175" s="52">
        <f t="shared" si="6"/>
        <v>7.6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61">
        <v>303</v>
      </c>
      <c r="C176" s="61">
        <v>3</v>
      </c>
      <c r="D176" s="61">
        <v>303</v>
      </c>
      <c r="E176" s="90"/>
      <c r="F176" s="90"/>
      <c r="G176" s="90"/>
      <c r="H176" s="90"/>
      <c r="I176" s="52">
        <f t="shared" si="6"/>
        <v>7.4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1"/>
      <c r="B231" s="61"/>
      <c r="C231" s="91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1"/>
      <c r="B257" s="61"/>
      <c r="C257" s="91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1"/>
      <c r="B283" s="61"/>
      <c r="C283" s="91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5"/>
      <c r="B7" s="29" t="s">
        <v>295</v>
      </c>
      <c r="C7" s="106" t="s">
        <v>214</v>
      </c>
      <c r="D7" s="232"/>
      <c r="E7" s="107"/>
      <c r="F7" s="29" t="s">
        <v>295</v>
      </c>
      <c r="G7" s="106" t="s">
        <v>215</v>
      </c>
      <c r="H7" s="233"/>
      <c r="I7" s="233"/>
      <c r="J7" s="233"/>
      <c r="K7" s="233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25">
      <c r="A8" s="111">
        <v>1</v>
      </c>
      <c r="B8" s="62">
        <v>1</v>
      </c>
      <c r="C8" s="52" t="s">
        <v>177</v>
      </c>
      <c r="D8" s="25"/>
      <c r="E8" s="111">
        <v>4</v>
      </c>
      <c r="F8" s="62">
        <v>0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0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3"/>
      <c r="B13" s="113"/>
      <c r="C13" s="104" t="s">
        <v>273</v>
      </c>
      <c r="D13" s="233"/>
      <c r="E13" s="105"/>
      <c r="F13" s="113"/>
      <c r="G13" s="104" t="s">
        <v>301</v>
      </c>
      <c r="H13" s="233"/>
      <c r="I13" s="233"/>
      <c r="J13" s="233"/>
      <c r="K13" s="233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25">
      <c r="A14" s="233"/>
      <c r="B14" s="113"/>
      <c r="C14" s="104" t="s">
        <v>309</v>
      </c>
      <c r="D14" s="233"/>
      <c r="E14" s="105"/>
      <c r="F14" s="113"/>
      <c r="G14" s="104" t="s">
        <v>294</v>
      </c>
      <c r="H14" s="233"/>
      <c r="I14" s="233"/>
      <c r="J14" s="233"/>
      <c r="K14" s="233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2">
        <f>SUM(B16:B18)</f>
        <v>1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sessile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Erable sycomore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Châtaignier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Merisier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Cèdre de l'Atlas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Bouleau verruqueux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428.8489304403459</v>
      </c>
      <c r="T3" s="60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299.28262372717484</v>
      </c>
      <c r="AO3" s="60">
        <f>IF('Données projet'!E10&gt;30,$AM$33-$H$33,LOOKUP('Données projet'!$E$10,$A$3:$A$203,AM3:AM203)-LOOKUP('Données projet'!$E$10,$A$3:$A$203,$H$3:$H$203))</f>
        <v>294.28794439094889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278.61904724595763</v>
      </c>
      <c r="BJ3" s="60">
        <f>IF('Données projet'!E11&gt;30,$BH$33-$H$33,LOOKUP('Données projet'!$E$11,$A$3:$A$203,BH3:BH203)-LOOKUP('Données projet'!$E$11,$A$3:$A$203,$H$3:$H$203))</f>
        <v>274.55710362891892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292.57482726862594</v>
      </c>
      <c r="CE3" s="60">
        <f>IF('Données projet'!E12&gt;30,$CC$33-$H$33,LOOKUP('Données projet'!$E$12,$A$3:$A$203,CC3:CC203)-LOOKUP('Données projet'!$E$12,$A$3:$A$203,$H$3:$H$203))</f>
        <v>283.48738729114024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246.64907095367749</v>
      </c>
      <c r="CZ3" s="60">
        <f>IF('Données projet'!E13&gt;30,$CX$33-$H$33,LOOKUP('Données projet'!$E$13,$A$3:$A$203,CX3:CX203)-LOOKUP('Données projet'!$E$13,$A$3:$A$203,$H$3:$H$203))</f>
        <v>145.34368562171613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256.19915261735281</v>
      </c>
      <c r="DU3" s="60">
        <f>IF('Données projet'!E14&gt;30,$DS$33-$H$33,LOOKUP('Données projet'!$E$14,$A$3:$A$203,DS3:DS203)-LOOKUP('Données projet'!$E$14,$A$3:$A$203,$H$3:$H$203))</f>
        <v>297.47246687305056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260.65521412271448</v>
      </c>
      <c r="S4" s="60">
        <f ca="1">AVERAGE(OFFSET($R$3,0,0,'Données projet'!$E$9+1,1))-AVERAGE(OFFSET($H$3,0,0,'Données projet'!$E$9+1,1))</f>
        <v>428.8489304403459</v>
      </c>
      <c r="T4" s="60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1.0121422546683387</v>
      </c>
      <c r="AK4" s="14">
        <f>EXP(-1.0587+0.8836*LN(AJ4)+0.284)</f>
        <v>0.46578286063395047</v>
      </c>
      <c r="AL4" s="22">
        <f t="shared" ref="AL4:AL67" si="4">(AJ4+AK4)*0.475*44/12</f>
        <v>2.574052909151487</v>
      </c>
      <c r="AM4" s="60">
        <f t="shared" ref="AM4:AM67" si="5">AL4+(AD4+AE4)*44/12</f>
        <v>260.46294179804033</v>
      </c>
      <c r="AN4" s="60">
        <f ca="1">AVERAGE(OFFSET($AM$3,0,0,'Données projet'!$E$10+1,1))-AVERAGE(OFFSET($H$3,0,0,'Données projet'!$E$10+1,1))</f>
        <v>299.28262372717484</v>
      </c>
      <c r="AO4" s="60">
        <f>$AO$3</f>
        <v>294.28794439094889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0.9327585484198414</v>
      </c>
      <c r="BF4" s="14">
        <f>EXP(-1.0587+0.8836*LN(BE4)+0.284)</f>
        <v>0.43335135961225768</v>
      </c>
      <c r="BG4" s="22">
        <f t="shared" ref="BG4:BG67" si="7">(BE4+BF4)*0.475*44/12</f>
        <v>2.3793080898225729</v>
      </c>
      <c r="BH4" s="60">
        <f t="shared" ref="BH4:BH67" si="8">BG4+(AY4+AZ4)*44/12</f>
        <v>260.26819697871144</v>
      </c>
      <c r="BI4" s="60">
        <f ca="1">AVERAGE(OFFSET($BH$3,0,0,'Données projet'!$E$11+1,1))-AVERAGE(OFFSET($H$3,0,0,'Données projet'!$E$11+1,1))</f>
        <v>278.61904724595763</v>
      </c>
      <c r="BJ4" s="60">
        <f>$BJ$3</f>
        <v>274.55710362891892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0">
        <f t="shared" ref="CC4:CC67" si="11">CB4+(BT4+BU4)*44/12</f>
        <v>260.42698077017764</v>
      </c>
      <c r="CD4" s="60">
        <f ca="1">AVERAGE(OFFSET($CC$3,0,0,'Données projet'!$E$12+1,1))-AVERAGE(OFFSET($H$3,0,0,'Données projet'!$E$12+1,1))</f>
        <v>292.57482726862594</v>
      </c>
      <c r="CE4" s="60">
        <f>$CE$3</f>
        <v>283.48738729114024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3.4358974358974361</v>
      </c>
      <c r="CT4" s="13">
        <f>IF('Données projet'!$A$140&gt;35,CT3+CS4-DB3,IF(A4&lt;'Données projet'!$A$140,$CQ$205^A4,IF(A4='Données projet'!$A$140,'Données projet'!$B$140,CT3+CS4-DB3)))</f>
        <v>1.167092777711815</v>
      </c>
      <c r="CU4" s="18">
        <f>CT4*VLOOKUP('Données projet'!$B$13,Paramètres!$A$1:$I$89,3,0)*VLOOKUP('Données projet'!$B$13,Paramètres!$A$1:$I$89,5,0)</f>
        <v>0.54619941996912946</v>
      </c>
      <c r="CV4" s="14">
        <f>EXP(-1.0587+0.8836*LN(CU4)+0.284)</f>
        <v>0.27006954687577245</v>
      </c>
      <c r="CW4" s="22">
        <f t="shared" ref="CW4:CW67" si="13">(CU4+CV4)*0.475*44/12</f>
        <v>1.4216684505882042</v>
      </c>
      <c r="CX4" s="60">
        <f t="shared" ref="CX4:CX67" si="14">CW4+(CO4+CP4)*44/12</f>
        <v>259.31055733947704</v>
      </c>
      <c r="CY4" s="60">
        <f ca="1">AVERAGE(OFFSET($CX$3,0,0,'Données projet'!$E$13+1,1))-AVERAGE(OFFSET($H$3,0,0,'Données projet'!$E$13+1,1))</f>
        <v>246.64907095367749</v>
      </c>
      <c r="CZ4" s="60">
        <f>$CZ$3</f>
        <v>145.34368562171613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0.9</v>
      </c>
      <c r="DO4" s="13">
        <f>IF('Données projet'!$A$166&gt;35,DO3+DN4-DW3,IF(A4&lt;'Données projet'!$A$166,$DL$205^A4,IF(A4='Données projet'!$A$166,'Données projet'!$B$166,DO3+DN4-DW3)))</f>
        <v>1.2457309396155174</v>
      </c>
      <c r="DP4" s="18">
        <f>DO4*VLOOKUP('Données projet'!$B$14,Paramètres!$A$1:$I$89,3,0)*VLOOKUP('Données projet'!$B$14,Paramètres!$A$1:$I$89,5,0)</f>
        <v>1.0105369382161078</v>
      </c>
      <c r="DQ4" s="14">
        <f>EXP(-1.0587+0.8836*LN(DP4)+0.284)</f>
        <v>0.46513003316107315</v>
      </c>
      <c r="DR4" s="22">
        <f t="shared" ref="DR4:DR67" si="16">(DP4+DQ4)*0.475*44/12</f>
        <v>2.5701199751485899</v>
      </c>
      <c r="DS4" s="60">
        <f t="shared" ref="DS4:DS67" si="17">DR4+(DJ4+DK4)*44/12</f>
        <v>260.45900886403746</v>
      </c>
      <c r="DT4" s="60">
        <f ca="1">AVERAGE(OFFSET($DS$3,0,0,'Données projet'!$E$14+1,1))-AVERAGE(OFFSET($H$3,0,0,'Données projet'!$E$14+1,1))</f>
        <v>256.19915261735281</v>
      </c>
      <c r="DU4" s="60">
        <f>$DU$3</f>
        <v>297.47246687305056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262.42339882093205</v>
      </c>
      <c r="S5" s="60">
        <f ca="1">AVERAGE(OFFSET($R$3,0,0,'Données projet'!$E$9+1,1))-AVERAGE(OFFSET($H$3,0,0,'Données projet'!$E$9+1,1))</f>
        <v>428.8489304403459</v>
      </c>
      <c r="T5" s="60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1.2876218497801761</v>
      </c>
      <c r="AK5" s="14">
        <f t="shared" ref="AK5:AK68" si="35">EXP(-1.0587+0.8836*LN(AJ5)+0.284)</f>
        <v>0.57618379541883336</v>
      </c>
      <c r="AL5" s="22">
        <f t="shared" si="4"/>
        <v>3.2461281653882743</v>
      </c>
      <c r="AM5" s="60">
        <f t="shared" si="5"/>
        <v>262.3572392764994</v>
      </c>
      <c r="AN5" s="60">
        <f ca="1">AVERAGE(OFFSET($AM$3,0,0,'Données projet'!$E$10+1,1))-AVERAGE(OFFSET($H$3,0,0,'Données projet'!$E$10+1,1))</f>
        <v>299.28262372717484</v>
      </c>
      <c r="AO5" s="60">
        <f t="shared" ref="AO5:AO68" si="36">$AO$3</f>
        <v>294.28794439094889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1.1866319007778094</v>
      </c>
      <c r="BF5" s="14">
        <f t="shared" ref="BF5:BF68" si="37">EXP(-1.0587+0.8836*LN(BE5)+0.284)</f>
        <v>0.53606530474621483</v>
      </c>
      <c r="BG5" s="22">
        <f t="shared" si="7"/>
        <v>3.0003642996210083</v>
      </c>
      <c r="BH5" s="60">
        <f t="shared" si="8"/>
        <v>262.11147541073217</v>
      </c>
      <c r="BI5" s="60">
        <f ca="1">AVERAGE(OFFSET($BH$3,0,0,'Données projet'!$E$11+1,1))-AVERAGE(OFFSET($H$3,0,0,'Données projet'!$E$11+1,1))</f>
        <v>278.61904724595763</v>
      </c>
      <c r="BJ5" s="60">
        <f t="shared" ref="BJ5:BJ68" si="38">$BJ$3</f>
        <v>274.55710362891892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0">
        <f t="shared" si="11"/>
        <v>262.32793292279484</v>
      </c>
      <c r="CD5" s="60">
        <f ca="1">AVERAGE(OFFSET($CC$3,0,0,'Données projet'!$E$12+1,1))-AVERAGE(OFFSET($H$3,0,0,'Données projet'!$E$12+1,1))</f>
        <v>292.57482726862594</v>
      </c>
      <c r="CE5" s="60">
        <f t="shared" ref="CE5:CE68" si="40">$CE$3</f>
        <v>283.48738729114024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3.4358974358974361</v>
      </c>
      <c r="CT5" s="13">
        <f>IF('Données projet'!$A$140&gt;35,CT4+CS5-DB4,IF(A5&lt;'Données projet'!$A$140,$CQ$205^A5,IF(A5='Données projet'!$A$140,'Données projet'!$B$140,CT4+CS5-DB4)))</f>
        <v>1.3621055517870799</v>
      </c>
      <c r="CU5" s="18">
        <f>CT5*VLOOKUP('Données projet'!$B$13,Paramètres!$A$1:$I$89,3,0)*VLOOKUP('Données projet'!$B$13,Paramètres!$A$1:$I$89,5,0)</f>
        <v>0.6374653982363534</v>
      </c>
      <c r="CV5" s="14">
        <f t="shared" ref="CV5:CV68" si="41">EXP(-1.0587+0.8836*LN(CU5)+0.284)</f>
        <v>0.30957788644599227</v>
      </c>
      <c r="CW5" s="22">
        <f t="shared" si="13"/>
        <v>1.6494337208217518</v>
      </c>
      <c r="CX5" s="60">
        <f t="shared" si="14"/>
        <v>260.76054483193292</v>
      </c>
      <c r="CY5" s="60">
        <f ca="1">AVERAGE(OFFSET($CX$3,0,0,'Données projet'!$E$13+1,1))-AVERAGE(OFFSET($H$3,0,0,'Données projet'!$E$13+1,1))</f>
        <v>246.64907095367749</v>
      </c>
      <c r="CZ5" s="60">
        <f t="shared" ref="CZ5:CZ68" si="42">$CZ$3</f>
        <v>145.34368562171613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0.9</v>
      </c>
      <c r="DO5" s="13">
        <f>IF('Données projet'!$A$166&gt;35,DO4+DN5-DW4,IF(A5&lt;'Données projet'!$A$166,$DL$205^A5,IF(A5='Données projet'!$A$166,'Données projet'!$B$166,DO4+DN5-DW4)))</f>
        <v>1.5518455739153598</v>
      </c>
      <c r="DP5" s="18">
        <f>DO5*VLOOKUP('Données projet'!$B$14,Paramètres!$A$1:$I$89,3,0)*VLOOKUP('Données projet'!$B$14,Paramètres!$A$1:$I$89,5,0)</f>
        <v>1.2588571295601401</v>
      </c>
      <c r="DQ5" s="14">
        <f t="shared" ref="DQ5:DQ68" si="43">EXP(-1.0587+0.8836*LN(DP5)+0.284)</f>
        <v>0.56479552972512193</v>
      </c>
      <c r="DR5" s="22">
        <f t="shared" si="16"/>
        <v>3.1761950482551646</v>
      </c>
      <c r="DS5" s="60">
        <f t="shared" si="17"/>
        <v>262.28730615936632</v>
      </c>
      <c r="DT5" s="60">
        <f ca="1">AVERAGE(OFFSET($DS$3,0,0,'Données projet'!$E$14+1,1))-AVERAGE(OFFSET($H$3,0,0,'Données projet'!$E$14+1,1))</f>
        <v>256.19915261735281</v>
      </c>
      <c r="DU5" s="60">
        <f t="shared" ref="DU5:DU68" si="44">$DU$3</f>
        <v>297.47246687305056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264.29973523978072</v>
      </c>
      <c r="S6" s="60">
        <f ca="1">AVERAGE(OFFSET($R$3,0,0,'Données projet'!$E$9+1,1))-AVERAGE(OFFSET($H$3,0,0,'Données projet'!$E$9+1,1))</f>
        <v>428.8489304403459</v>
      </c>
      <c r="T6" s="60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1.6380800429823084</v>
      </c>
      <c r="AK6" s="14">
        <f t="shared" si="35"/>
        <v>0.71275221602487127</v>
      </c>
      <c r="AL6" s="22">
        <f t="shared" si="4"/>
        <v>4.0943661844375043</v>
      </c>
      <c r="AM6" s="60">
        <f t="shared" si="5"/>
        <v>264.4276995177708</v>
      </c>
      <c r="AN6" s="60">
        <f ca="1">AVERAGE(OFFSET($AM$3,0,0,'Données projet'!$E$10+1,1))-AVERAGE(OFFSET($H$3,0,0,'Données projet'!$E$10+1,1))</f>
        <v>299.28262372717484</v>
      </c>
      <c r="AO6" s="60">
        <f t="shared" si="36"/>
        <v>294.28794439094889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1.5096031768660487</v>
      </c>
      <c r="BF6" s="14">
        <f t="shared" si="37"/>
        <v>0.66312474757151718</v>
      </c>
      <c r="BG6" s="22">
        <f t="shared" si="7"/>
        <v>3.7841678017287599</v>
      </c>
      <c r="BH6" s="60">
        <f t="shared" si="8"/>
        <v>264.11750113506207</v>
      </c>
      <c r="BI6" s="60">
        <f ca="1">AVERAGE(OFFSET($BH$3,0,0,'Données projet'!$E$11+1,1))-AVERAGE(OFFSET($H$3,0,0,'Données projet'!$E$11+1,1))</f>
        <v>278.61904724595763</v>
      </c>
      <c r="BJ6" s="60">
        <f t="shared" si="38"/>
        <v>274.55710362891892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0">
        <f t="shared" si="11"/>
        <v>264.41110313686249</v>
      </c>
      <c r="CD6" s="60">
        <f ca="1">AVERAGE(OFFSET($CC$3,0,0,'Données projet'!$E$12+1,1))-AVERAGE(OFFSET($H$3,0,0,'Données projet'!$E$12+1,1))</f>
        <v>292.57482726862594</v>
      </c>
      <c r="CE6" s="60">
        <f t="shared" si="40"/>
        <v>283.48738729114024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3.4358974358974361</v>
      </c>
      <c r="CT6" s="13">
        <f>IF('Données projet'!$A$140&gt;35,CT5+CS6-DB5,IF(A6&lt;'Données projet'!$A$140,$CQ$205^A6,IF(A6='Données projet'!$A$140,'Données projet'!$B$140,CT5+CS6-DB5)))</f>
        <v>1.5897035519718676</v>
      </c>
      <c r="CU6" s="18">
        <f>CT6*VLOOKUP('Données projet'!$B$13,Paramètres!$A$1:$I$89,3,0)*VLOOKUP('Données projet'!$B$13,Paramètres!$A$1:$I$89,5,0)</f>
        <v>0.74398126232283412</v>
      </c>
      <c r="CV6" s="14">
        <f t="shared" si="41"/>
        <v>0.35486588134445163</v>
      </c>
      <c r="CW6" s="22">
        <f t="shared" si="13"/>
        <v>1.9138254418871894</v>
      </c>
      <c r="CX6" s="60">
        <f t="shared" si="14"/>
        <v>262.2471587752205</v>
      </c>
      <c r="CY6" s="60">
        <f ca="1">AVERAGE(OFFSET($CX$3,0,0,'Données projet'!$E$13+1,1))-AVERAGE(OFFSET($H$3,0,0,'Données projet'!$E$13+1,1))</f>
        <v>246.64907095367749</v>
      </c>
      <c r="CZ6" s="60">
        <f t="shared" si="42"/>
        <v>145.34368562171613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0.9</v>
      </c>
      <c r="DO6" s="13">
        <f>IF('Données projet'!$A$166&gt;35,DO5+DN6-DW5,IF(A6&lt;'Données projet'!$A$166,$DL$205^A6,IF(A6='Données projet'!$A$166,'Données projet'!$B$166,DO5+DN6-DW5)))</f>
        <v>1.9331820449317632</v>
      </c>
      <c r="DP6" s="18">
        <f>DO6*VLOOKUP('Données projet'!$B$14,Paramètres!$A$1:$I$89,3,0)*VLOOKUP('Données projet'!$B$14,Paramètres!$A$1:$I$89,5,0)</f>
        <v>1.5681972748486466</v>
      </c>
      <c r="DQ6" s="14">
        <f t="shared" si="43"/>
        <v>0.68581679886281277</v>
      </c>
      <c r="DR6" s="22">
        <f t="shared" si="16"/>
        <v>3.9257411783807914</v>
      </c>
      <c r="DS6" s="60">
        <f t="shared" si="17"/>
        <v>264.25907451171412</v>
      </c>
      <c r="DT6" s="60">
        <f ca="1">AVERAGE(OFFSET($DS$3,0,0,'Données projet'!$E$14+1,1))-AVERAGE(OFFSET($H$3,0,0,'Données projet'!$E$14+1,1))</f>
        <v>256.19915261735281</v>
      </c>
      <c r="DU6" s="60">
        <f t="shared" si="44"/>
        <v>297.47246687305056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266.30572241486152</v>
      </c>
      <c r="S7" s="60">
        <f ca="1">AVERAGE(OFFSET($R$3,0,0,'Données projet'!$E$9+1,1))-AVERAGE(OFFSET($H$3,0,0,'Données projet'!$E$9+1,1))</f>
        <v>428.8489304403459</v>
      </c>
      <c r="T7" s="60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2.0839241176864287</v>
      </c>
      <c r="AK7" s="14">
        <f t="shared" si="35"/>
        <v>0.88169040068036508</v>
      </c>
      <c r="AL7" s="22">
        <f t="shared" si="4"/>
        <v>5.1651119528221656</v>
      </c>
      <c r="AM7" s="60">
        <f t="shared" si="5"/>
        <v>266.72066750837769</v>
      </c>
      <c r="AN7" s="60">
        <f ca="1">AVERAGE(OFFSET($AM$3,0,0,'Données projet'!$E$10+1,1))-AVERAGE(OFFSET($H$3,0,0,'Données projet'!$E$10+1,1))</f>
        <v>299.28262372717484</v>
      </c>
      <c r="AO7" s="60">
        <f t="shared" si="36"/>
        <v>294.28794439094889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1.9204790888482772</v>
      </c>
      <c r="BF7" s="14">
        <f t="shared" si="37"/>
        <v>0.82030011446080875</v>
      </c>
      <c r="BG7" s="22">
        <f t="shared" si="7"/>
        <v>4.7735237790966574</v>
      </c>
      <c r="BH7" s="60">
        <f t="shared" si="8"/>
        <v>266.32907933465219</v>
      </c>
      <c r="BI7" s="60">
        <f ca="1">AVERAGE(OFFSET($BH$3,0,0,'Données projet'!$E$11+1,1))-AVERAGE(OFFSET($H$3,0,0,'Données projet'!$E$11+1,1))</f>
        <v>278.61904724595763</v>
      </c>
      <c r="BJ7" s="60">
        <f t="shared" si="38"/>
        <v>274.55710362891892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0">
        <f t="shared" si="11"/>
        <v>266.72559198951097</v>
      </c>
      <c r="CD7" s="60">
        <f ca="1">AVERAGE(OFFSET($CC$3,0,0,'Données projet'!$E$12+1,1))-AVERAGE(OFFSET($H$3,0,0,'Données projet'!$E$12+1,1))</f>
        <v>292.57482726862594</v>
      </c>
      <c r="CE7" s="60">
        <f t="shared" si="40"/>
        <v>283.48738729114024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3.4358974358974361</v>
      </c>
      <c r="CT7" s="13">
        <f>IF('Données projet'!$A$140&gt;35,CT6+CS7-DB6,IF(A7&lt;'Données projet'!$A$140,$CQ$205^A7,IF(A7='Données projet'!$A$140,'Données projet'!$B$140,CT6+CS7-DB6)))</f>
        <v>1.8553315342091854</v>
      </c>
      <c r="CU7" s="18">
        <f>CT7*VLOOKUP('Données projet'!$B$13,Paramètres!$A$1:$I$89,3,0)*VLOOKUP('Données projet'!$B$13,Paramètres!$A$1:$I$89,5,0)</f>
        <v>0.86829515800989876</v>
      </c>
      <c r="CV7" s="14">
        <f t="shared" si="41"/>
        <v>0.4067790344719715</v>
      </c>
      <c r="CW7" s="22">
        <f t="shared" si="13"/>
        <v>2.2207542185725906</v>
      </c>
      <c r="CX7" s="60">
        <f t="shared" si="14"/>
        <v>263.77630977412815</v>
      </c>
      <c r="CY7" s="60">
        <f ca="1">AVERAGE(OFFSET($CX$3,0,0,'Données projet'!$E$13+1,1))-AVERAGE(OFFSET($H$3,0,0,'Données projet'!$E$13+1,1))</f>
        <v>246.64907095367749</v>
      </c>
      <c r="CZ7" s="60">
        <f t="shared" si="42"/>
        <v>145.34368562171613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0.9</v>
      </c>
      <c r="DO7" s="13">
        <f>IF('Données projet'!$A$166&gt;35,DO6+DN7-DW6,IF(A7&lt;'Données projet'!$A$166,$DL$205^A7,IF(A7='Données projet'!$A$166,'Données projet'!$B$166,DO6+DN7-DW6)))</f>
        <v>2.4082246852806923</v>
      </c>
      <c r="DP7" s="18">
        <f>DO7*VLOOKUP('Données projet'!$B$14,Paramètres!$A$1:$I$89,3,0)*VLOOKUP('Données projet'!$B$14,Paramètres!$A$1:$I$89,5,0)</f>
        <v>1.9535518646996977</v>
      </c>
      <c r="DQ7" s="14">
        <f t="shared" si="43"/>
        <v>0.83276983766381052</v>
      </c>
      <c r="DR7" s="22">
        <f t="shared" si="16"/>
        <v>4.8528436316164436</v>
      </c>
      <c r="DS7" s="60">
        <f t="shared" si="17"/>
        <v>266.40839918717199</v>
      </c>
      <c r="DT7" s="60">
        <f ca="1">AVERAGE(OFFSET($DS$3,0,0,'Données projet'!$E$14+1,1))-AVERAGE(OFFSET($H$3,0,0,'Données projet'!$E$14+1,1))</f>
        <v>256.19915261735281</v>
      </c>
      <c r="DU7" s="60">
        <f t="shared" si="44"/>
        <v>297.47246687305056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268.46714702955143</v>
      </c>
      <c r="S8" s="60">
        <f ca="1">AVERAGE(OFFSET($R$3,0,0,'Données projet'!$E$9+1,1))-AVERAGE(OFFSET($H$3,0,0,'Données projet'!$E$9+1,1))</f>
        <v>428.8489304403459</v>
      </c>
      <c r="T8" s="60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2.6511157051695204</v>
      </c>
      <c r="AK8" s="14">
        <f t="shared" si="35"/>
        <v>1.0906707059957799</v>
      </c>
      <c r="AL8" s="22">
        <f t="shared" si="4"/>
        <v>6.5169446661128978</v>
      </c>
      <c r="AM8" s="60">
        <f t="shared" si="5"/>
        <v>269.29472244389069</v>
      </c>
      <c r="AN8" s="60">
        <f ca="1">AVERAGE(OFFSET($AM$3,0,0,'Données projet'!$E$10+1,1))-AVERAGE(OFFSET($H$3,0,0,'Données projet'!$E$10+1,1))</f>
        <v>299.28262372717484</v>
      </c>
      <c r="AO8" s="60">
        <f t="shared" si="36"/>
        <v>294.28794439094889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2.4431850616268127</v>
      </c>
      <c r="BF8" s="14">
        <f t="shared" si="37"/>
        <v>1.0147295516396715</v>
      </c>
      <c r="BG8" s="22">
        <f t="shared" si="7"/>
        <v>6.0225346181057935</v>
      </c>
      <c r="BH8" s="60">
        <f t="shared" si="8"/>
        <v>268.80031239588357</v>
      </c>
      <c r="BI8" s="60">
        <f ca="1">AVERAGE(OFFSET($BH$3,0,0,'Données projet'!$E$11+1,1))-AVERAGE(OFFSET($H$3,0,0,'Données projet'!$E$11+1,1))</f>
        <v>278.61904724595763</v>
      </c>
      <c r="BJ8" s="60">
        <f t="shared" si="38"/>
        <v>274.55710362891892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0">
        <f t="shared" si="11"/>
        <v>269.33377625930052</v>
      </c>
      <c r="CD8" s="60">
        <f ca="1">AVERAGE(OFFSET($CC$3,0,0,'Données projet'!$E$12+1,1))-AVERAGE(OFFSET($H$3,0,0,'Données projet'!$E$12+1,1))</f>
        <v>292.57482726862594</v>
      </c>
      <c r="CE8" s="60">
        <f t="shared" si="40"/>
        <v>283.48738729114024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3.4358974358974361</v>
      </c>
      <c r="CT8" s="13">
        <f>IF('Données projet'!$A$140&gt;35,CT7+CS8-DB7,IF(A8&lt;'Données projet'!$A$140,$CQ$205^A8,IF(A8='Données projet'!$A$140,'Données projet'!$B$140,CT7+CS8-DB7)))</f>
        <v>2.1653440338365213</v>
      </c>
      <c r="CU8" s="18">
        <f>CT8*VLOOKUP('Données projet'!$B$13,Paramètres!$A$1:$I$89,3,0)*VLOOKUP('Données projet'!$B$13,Paramètres!$A$1:$I$89,5,0)</f>
        <v>1.0133810078354919</v>
      </c>
      <c r="CV8" s="14">
        <f t="shared" si="41"/>
        <v>0.46628653692783789</v>
      </c>
      <c r="CW8" s="22">
        <f t="shared" si="13"/>
        <v>2.5770876404627994</v>
      </c>
      <c r="CX8" s="60">
        <f t="shared" si="14"/>
        <v>265.35486541824059</v>
      </c>
      <c r="CY8" s="60">
        <f ca="1">AVERAGE(OFFSET($CX$3,0,0,'Données projet'!$E$13+1,1))-AVERAGE(OFFSET($H$3,0,0,'Données projet'!$E$13+1,1))</f>
        <v>246.64907095367749</v>
      </c>
      <c r="CZ8" s="60">
        <f t="shared" si="42"/>
        <v>145.34368562171613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0.9</v>
      </c>
      <c r="DO8" s="13">
        <f>IF('Données projet'!$A$166&gt;35,DO7+DN8-DW7,IF(A8&lt;'Données projet'!$A$166,$DL$205^A8,IF(A8='Données projet'!$A$166,'Données projet'!$B$166,DO7+DN8-DW7)))</f>
        <v>3.0000000000000004</v>
      </c>
      <c r="DP8" s="18">
        <f>DO8*VLOOKUP('Données projet'!$B$14,Paramètres!$A$1:$I$89,3,0)*VLOOKUP('Données projet'!$B$14,Paramètres!$A$1:$I$89,5,0)</f>
        <v>2.4336000000000007</v>
      </c>
      <c r="DQ8" s="14">
        <f t="shared" si="43"/>
        <v>1.0112111626203177</v>
      </c>
      <c r="DR8" s="22">
        <f t="shared" si="16"/>
        <v>5.9997127748970547</v>
      </c>
      <c r="DS8" s="60">
        <f t="shared" si="17"/>
        <v>268.77749055267481</v>
      </c>
      <c r="DT8" s="60">
        <f ca="1">AVERAGE(OFFSET($DS$3,0,0,'Données projet'!$E$14+1,1))-AVERAGE(OFFSET($H$3,0,0,'Données projet'!$E$14+1,1))</f>
        <v>256.19915261735281</v>
      </c>
      <c r="DU8" s="60">
        <f t="shared" si="44"/>
        <v>297.47246687305056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270.81494110736412</v>
      </c>
      <c r="S9" s="60">
        <f ca="1">AVERAGE(OFFSET($R$3,0,0,'Données projet'!$E$9+1,1))-AVERAGE(OFFSET($H$3,0,0,'Données projet'!$E$9+1,1))</f>
        <v>428.8489304403459</v>
      </c>
      <c r="T9" s="60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3.3726825379800407</v>
      </c>
      <c r="AK9" s="14">
        <f t="shared" si="35"/>
        <v>1.3491840083541735</v>
      </c>
      <c r="AL9" s="22">
        <f t="shared" si="4"/>
        <v>8.2239175681987557</v>
      </c>
      <c r="AM9" s="60">
        <f t="shared" si="5"/>
        <v>272.22391756819877</v>
      </c>
      <c r="AN9" s="60">
        <f ca="1">AVERAGE(OFFSET($AM$3,0,0,'Données projet'!$E$10+1,1))-AVERAGE(OFFSET($H$3,0,0,'Données projet'!$E$10+1,1))</f>
        <v>299.28262372717484</v>
      </c>
      <c r="AO9" s="60">
        <f t="shared" si="36"/>
        <v>294.28794439094889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3.1081584173541552</v>
      </c>
      <c r="BF9" s="14">
        <f t="shared" si="37"/>
        <v>1.2552431053208675</v>
      </c>
      <c r="BG9" s="22">
        <f t="shared" si="7"/>
        <v>7.5995909853256647</v>
      </c>
      <c r="BH9" s="60">
        <f t="shared" si="8"/>
        <v>271.59959098532568</v>
      </c>
      <c r="BI9" s="60">
        <f ca="1">AVERAGE(OFFSET($BH$3,0,0,'Données projet'!$E$11+1,1))-AVERAGE(OFFSET($H$3,0,0,'Données projet'!$E$11+1,1))</f>
        <v>278.61904724595763</v>
      </c>
      <c r="BJ9" s="60">
        <f t="shared" si="38"/>
        <v>274.55710362891892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0">
        <f t="shared" si="11"/>
        <v>272.31491008523295</v>
      </c>
      <c r="CD9" s="60">
        <f ca="1">AVERAGE(OFFSET($CC$3,0,0,'Données projet'!$E$12+1,1))-AVERAGE(OFFSET($H$3,0,0,'Données projet'!$E$12+1,1))</f>
        <v>292.57482726862594</v>
      </c>
      <c r="CE9" s="60">
        <f t="shared" si="40"/>
        <v>283.48738729114024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3.4358974358974361</v>
      </c>
      <c r="CT9" s="13">
        <f>IF('Données projet'!$A$140&gt;35,CT8+CS9-DB8,IF(A9&lt;'Données projet'!$A$140,$CQ$205^A9,IF(A9='Données projet'!$A$140,'Données projet'!$B$140,CT8+CS9-DB8)))</f>
        <v>2.5271573831519722</v>
      </c>
      <c r="CU9" s="18">
        <f>CT9*VLOOKUP('Données projet'!$B$13,Paramètres!$A$1:$I$89,3,0)*VLOOKUP('Données projet'!$B$13,Paramètres!$A$1:$I$89,5,0)</f>
        <v>1.1827096553151231</v>
      </c>
      <c r="CV9" s="14">
        <f t="shared" si="41"/>
        <v>0.53449936229478223</v>
      </c>
      <c r="CW9" s="22">
        <f t="shared" si="13"/>
        <v>2.990805705670585</v>
      </c>
      <c r="CX9" s="60">
        <f t="shared" si="14"/>
        <v>266.9908057056706</v>
      </c>
      <c r="CY9" s="60">
        <f ca="1">AVERAGE(OFFSET($CX$3,0,0,'Données projet'!$E$13+1,1))-AVERAGE(OFFSET($H$3,0,0,'Données projet'!$E$13+1,1))</f>
        <v>246.64907095367749</v>
      </c>
      <c r="CZ9" s="60">
        <f t="shared" si="42"/>
        <v>145.34368562171613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0.9</v>
      </c>
      <c r="DO9" s="13">
        <f>IF('Données projet'!$A$166&gt;35,DO8+DN9-DW8,IF(A9&lt;'Données projet'!$A$166,$DL$205^A9,IF(A9='Données projet'!$A$166,'Données projet'!$B$166,DO8+DN9-DW8)))</f>
        <v>3.7371928188465526</v>
      </c>
      <c r="DP9" s="18">
        <f>DO9*VLOOKUP('Données projet'!$B$14,Paramètres!$A$1:$I$89,3,0)*VLOOKUP('Données projet'!$B$14,Paramètres!$A$1:$I$89,5,0)</f>
        <v>3.0316108146483236</v>
      </c>
      <c r="DQ9" s="14">
        <f t="shared" si="43"/>
        <v>1.2278879099133964</v>
      </c>
      <c r="DR9" s="22">
        <f t="shared" si="16"/>
        <v>7.4186269452783291</v>
      </c>
      <c r="DS9" s="60">
        <f t="shared" si="17"/>
        <v>271.41862694527833</v>
      </c>
      <c r="DT9" s="60">
        <f ca="1">AVERAGE(OFFSET($DS$3,0,0,'Données projet'!$E$14+1,1))-AVERAGE(OFFSET($H$3,0,0,'Données projet'!$E$14+1,1))</f>
        <v>256.19915261735281</v>
      </c>
      <c r="DU9" s="60">
        <f t="shared" si="44"/>
        <v>297.47246687305056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273.38621175408076</v>
      </c>
      <c r="S10" s="60">
        <f ca="1">AVERAGE(OFFSET($R$3,0,0,'Données projet'!$E$9+1,1))-AVERAGE(OFFSET($H$3,0,0,'Données projet'!$E$9+1,1))</f>
        <v>428.8489304403459</v>
      </c>
      <c r="T10" s="60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4.2906416644942853</v>
      </c>
      <c r="AK10" s="14">
        <f t="shared" si="35"/>
        <v>1.6689707336887791</v>
      </c>
      <c r="AL10" s="22">
        <f t="shared" si="4"/>
        <v>10.379658260168837</v>
      </c>
      <c r="AM10" s="60">
        <f t="shared" si="5"/>
        <v>275.60188048239104</v>
      </c>
      <c r="AN10" s="60">
        <f ca="1">AVERAGE(OFFSET($AM$3,0,0,'Données projet'!$E$10+1,1))-AVERAGE(OFFSET($H$3,0,0,'Données projet'!$E$10+1,1))</f>
        <v>299.28262372717484</v>
      </c>
      <c r="AO10" s="60">
        <f t="shared" si="36"/>
        <v>294.28794439094889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3.9541207496319881</v>
      </c>
      <c r="BF10" s="14">
        <f t="shared" si="37"/>
        <v>1.5527637397664751</v>
      </c>
      <c r="BG10" s="22">
        <f t="shared" si="7"/>
        <v>9.5911571523689911</v>
      </c>
      <c r="BH10" s="60">
        <f t="shared" si="8"/>
        <v>274.81337937459119</v>
      </c>
      <c r="BI10" s="60">
        <f ca="1">AVERAGE(OFFSET($BH$3,0,0,'Données projet'!$E$11+1,1))-AVERAGE(OFFSET($H$3,0,0,'Données projet'!$E$11+1,1))</f>
        <v>278.61904724595763</v>
      </c>
      <c r="BJ10" s="60">
        <f t="shared" si="38"/>
        <v>274.55710362891892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0">
        <f t="shared" si="11"/>
        <v>275.76970579909499</v>
      </c>
      <c r="CD10" s="60">
        <f ca="1">AVERAGE(OFFSET($CC$3,0,0,'Données projet'!$E$12+1,1))-AVERAGE(OFFSET($H$3,0,0,'Données projet'!$E$12+1,1))</f>
        <v>292.57482726862594</v>
      </c>
      <c r="CE10" s="60">
        <f t="shared" si="40"/>
        <v>283.48738729114024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3.4358974358974361</v>
      </c>
      <c r="CT10" s="13">
        <f>IF('Données projet'!$A$140&gt;35,CT9+CS10-DB9,IF(A10&lt;'Données projet'!$A$140,$CQ$205^A10,IF(A10='Données projet'!$A$140,'Données projet'!$B$140,CT9+CS10-DB9)))</f>
        <v>2.9494271300177566</v>
      </c>
      <c r="CU10" s="18">
        <f>CT10*VLOOKUP('Données projet'!$B$13,Paramètres!$A$1:$I$89,3,0)*VLOOKUP('Données projet'!$B$13,Paramètres!$A$1:$I$89,5,0)</f>
        <v>1.38033189684831</v>
      </c>
      <c r="CV10" s="14">
        <f t="shared" si="41"/>
        <v>0.6126910079279041</v>
      </c>
      <c r="CW10" s="22">
        <f t="shared" si="13"/>
        <v>3.4711815591519066</v>
      </c>
      <c r="CX10" s="60">
        <f t="shared" si="14"/>
        <v>268.69340378137412</v>
      </c>
      <c r="CY10" s="60">
        <f ca="1">AVERAGE(OFFSET($CX$3,0,0,'Données projet'!$E$13+1,1))-AVERAGE(OFFSET($H$3,0,0,'Données projet'!$E$13+1,1))</f>
        <v>246.64907095367749</v>
      </c>
      <c r="CZ10" s="60">
        <f t="shared" si="42"/>
        <v>145.34368562171613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0.9</v>
      </c>
      <c r="DO10" s="13">
        <f>IF('Données projet'!$A$166&gt;35,DO9+DN10-DW9,IF(A10&lt;'Données projet'!$A$166,$DL$205^A10,IF(A10='Données projet'!$A$166,'Données projet'!$B$166,DO9+DN10-DW9)))</f>
        <v>4.6555367217460804</v>
      </c>
      <c r="DP10" s="18">
        <f>DO10*VLOOKUP('Données projet'!$B$14,Paramètres!$A$1:$I$89,3,0)*VLOOKUP('Données projet'!$B$14,Paramètres!$A$1:$I$89,5,0)</f>
        <v>3.7765713886804204</v>
      </c>
      <c r="DQ10" s="14">
        <f t="shared" si="43"/>
        <v>1.490992954829151</v>
      </c>
      <c r="DR10" s="22">
        <f t="shared" si="16"/>
        <v>9.1743412316125035</v>
      </c>
      <c r="DS10" s="60">
        <f t="shared" si="17"/>
        <v>274.39656345383474</v>
      </c>
      <c r="DT10" s="60">
        <f ca="1">AVERAGE(OFFSET($DS$3,0,0,'Données projet'!$E$14+1,1))-AVERAGE(OFFSET($H$3,0,0,'Données projet'!$E$14+1,1))</f>
        <v>256.19915261735281</v>
      </c>
      <c r="DU10" s="60">
        <f t="shared" si="44"/>
        <v>297.47246687305056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276.22547755046565</v>
      </c>
      <c r="S11" s="60">
        <f ca="1">AVERAGE(OFFSET($R$3,0,0,'Données projet'!$E$9+1,1))-AVERAGE(OFFSET($H$3,0,0,'Données projet'!$E$9+1,1))</f>
        <v>428.8489304403459</v>
      </c>
      <c r="T11" s="60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5.4584461139707896</v>
      </c>
      <c r="AK11" s="14">
        <f t="shared" si="35"/>
        <v>2.0645540509389519</v>
      </c>
      <c r="AL11" s="22">
        <f t="shared" si="4"/>
        <v>13.102558620551131</v>
      </c>
      <c r="AM11" s="60">
        <f t="shared" si="5"/>
        <v>279.54700306499558</v>
      </c>
      <c r="AN11" s="60">
        <f ca="1">AVERAGE(OFFSET($AM$3,0,0,'Données projet'!$E$10+1,1))-AVERAGE(OFFSET($H$3,0,0,'Données projet'!$E$10+1,1))</f>
        <v>299.28262372717484</v>
      </c>
      <c r="AO11" s="60">
        <f t="shared" si="36"/>
        <v>294.28794439094889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5.0303326932671979</v>
      </c>
      <c r="BF11" s="14">
        <f t="shared" si="37"/>
        <v>1.9208034055819379</v>
      </c>
      <c r="BG11" s="22">
        <f t="shared" si="7"/>
        <v>12.106562038828912</v>
      </c>
      <c r="BH11" s="60">
        <f t="shared" si="8"/>
        <v>278.55100648327334</v>
      </c>
      <c r="BI11" s="60">
        <f ca="1">AVERAGE(OFFSET($BH$3,0,0,'Données projet'!$E$11+1,1))-AVERAGE(OFFSET($H$3,0,0,'Données projet'!$E$11+1,1))</f>
        <v>278.61904724595763</v>
      </c>
      <c r="BJ11" s="60">
        <f t="shared" si="38"/>
        <v>274.55710362891892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0">
        <f t="shared" si="11"/>
        <v>279.82616165924384</v>
      </c>
      <c r="CD11" s="60">
        <f ca="1">AVERAGE(OFFSET($CC$3,0,0,'Données projet'!$E$12+1,1))-AVERAGE(OFFSET($H$3,0,0,'Données projet'!$E$12+1,1))</f>
        <v>292.57482726862594</v>
      </c>
      <c r="CE11" s="60">
        <f t="shared" si="40"/>
        <v>283.48738729114024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3.4358974358974361</v>
      </c>
      <c r="CT11" s="13">
        <f>IF('Données projet'!$A$140&gt;35,CT10+CS11-DB10,IF(A11&lt;'Données projet'!$A$140,$CQ$205^A11,IF(A11='Données projet'!$A$140,'Données projet'!$B$140,CT10+CS11-DB10)))</f>
        <v>3.4422551018310097</v>
      </c>
      <c r="CU11" s="18">
        <f>CT11*VLOOKUP('Données projet'!$B$13,Paramètres!$A$1:$I$89,3,0)*VLOOKUP('Données projet'!$B$13,Paramètres!$A$1:$I$89,5,0)</f>
        <v>1.6109753876569124</v>
      </c>
      <c r="CV11" s="14">
        <f t="shared" si="41"/>
        <v>0.70232127047642601</v>
      </c>
      <c r="CW11" s="22">
        <f t="shared" si="13"/>
        <v>4.0289916795822309</v>
      </c>
      <c r="CX11" s="60">
        <f t="shared" si="14"/>
        <v>270.4734361240267</v>
      </c>
      <c r="CY11" s="60">
        <f ca="1">AVERAGE(OFFSET($CX$3,0,0,'Données projet'!$E$13+1,1))-AVERAGE(OFFSET($H$3,0,0,'Données projet'!$E$13+1,1))</f>
        <v>246.64907095367749</v>
      </c>
      <c r="CZ11" s="60">
        <f t="shared" si="42"/>
        <v>145.34368562171613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0.9</v>
      </c>
      <c r="DO11" s="13">
        <f>IF('Données projet'!$A$166&gt;35,DO10+DN11-DW10,IF(A11&lt;'Données projet'!$A$166,$DL$205^A11,IF(A11='Données projet'!$A$166,'Données projet'!$B$166,DO10+DN11-DW10)))</f>
        <v>5.7995461347952899</v>
      </c>
      <c r="DP11" s="18">
        <f>DO11*VLOOKUP('Données projet'!$B$14,Paramètres!$A$1:$I$89,3,0)*VLOOKUP('Données projet'!$B$14,Paramètres!$A$1:$I$89,5,0)</f>
        <v>4.7045918245459397</v>
      </c>
      <c r="DQ11" s="14">
        <f t="shared" si="43"/>
        <v>1.8104746967554695</v>
      </c>
      <c r="DR11" s="22">
        <f t="shared" si="16"/>
        <v>11.347074191266621</v>
      </c>
      <c r="DS11" s="60">
        <f t="shared" si="17"/>
        <v>277.7915186357111</v>
      </c>
      <c r="DT11" s="60">
        <f ca="1">AVERAGE(OFFSET($DS$3,0,0,'Données projet'!$E$14+1,1))-AVERAGE(OFFSET($H$3,0,0,'Données projet'!$E$14+1,1))</f>
        <v>256.19915261735281</v>
      </c>
      <c r="DU11" s="60">
        <f t="shared" si="44"/>
        <v>297.47246687305056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279.38615317116773</v>
      </c>
      <c r="S12" s="60">
        <f ca="1">AVERAGE(OFFSET($R$3,0,0,'Données projet'!$E$9+1,1))-AVERAGE(OFFSET($H$3,0,0,'Données projet'!$E$9+1,1))</f>
        <v>428.8489304403459</v>
      </c>
      <c r="T12" s="60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6.9440974821267289</v>
      </c>
      <c r="AK12" s="14">
        <f t="shared" si="35"/>
        <v>2.5538994442566798</v>
      </c>
      <c r="AL12" s="22">
        <f t="shared" si="4"/>
        <v>16.542344646784436</v>
      </c>
      <c r="AM12" s="60">
        <f t="shared" si="5"/>
        <v>284.20901131345113</v>
      </c>
      <c r="AN12" s="60">
        <f ca="1">AVERAGE(OFFSET($AM$3,0,0,'Données projet'!$E$10+1,1))-AVERAGE(OFFSET($H$3,0,0,'Données projet'!$E$10+1,1))</f>
        <v>299.28262372717484</v>
      </c>
      <c r="AO12" s="60">
        <f t="shared" si="36"/>
        <v>294.28794439094889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6.399462385489338</v>
      </c>
      <c r="BF12" s="14">
        <f t="shared" si="37"/>
        <v>2.3760766872686268</v>
      </c>
      <c r="BG12" s="22">
        <f t="shared" si="7"/>
        <v>15.284063885053456</v>
      </c>
      <c r="BH12" s="60">
        <f t="shared" si="8"/>
        <v>282.95073055172014</v>
      </c>
      <c r="BI12" s="60">
        <f ca="1">AVERAGE(OFFSET($BH$3,0,0,'Données projet'!$E$11+1,1))-AVERAGE(OFFSET($H$3,0,0,'Données projet'!$E$11+1,1))</f>
        <v>278.61904724595763</v>
      </c>
      <c r="BJ12" s="60">
        <f t="shared" si="38"/>
        <v>274.55710362891892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0">
        <f t="shared" si="11"/>
        <v>284.64697678406844</v>
      </c>
      <c r="CD12" s="60">
        <f ca="1">AVERAGE(OFFSET($CC$3,0,0,'Données projet'!$E$12+1,1))-AVERAGE(OFFSET($H$3,0,0,'Données projet'!$E$12+1,1))</f>
        <v>292.57482726862594</v>
      </c>
      <c r="CE12" s="60">
        <f t="shared" si="40"/>
        <v>283.48738729114024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3.4358974358974361</v>
      </c>
      <c r="CT12" s="13">
        <f>IF('Données projet'!$A$140&gt;35,CT11+CS12-DB11,IF(A12&lt;'Données projet'!$A$140,$CQ$205^A12,IF(A12='Données projet'!$A$140,'Données projet'!$B$140,CT11+CS12-DB11)))</f>
        <v>4.0174310683886194</v>
      </c>
      <c r="CU12" s="18">
        <f>CT12*VLOOKUP('Données projet'!$B$13,Paramètres!$A$1:$I$89,3,0)*VLOOKUP('Données projet'!$B$13,Paramètres!$A$1:$I$89,5,0)</f>
        <v>1.8801577400058738</v>
      </c>
      <c r="CV12" s="14">
        <f t="shared" si="41"/>
        <v>0.80506349951468992</v>
      </c>
      <c r="CW12" s="22">
        <f t="shared" si="13"/>
        <v>4.6767603254983152</v>
      </c>
      <c r="CX12" s="60">
        <f t="shared" si="14"/>
        <v>272.34342699216501</v>
      </c>
      <c r="CY12" s="60">
        <f ca="1">AVERAGE(OFFSET($CX$3,0,0,'Données projet'!$E$13+1,1))-AVERAGE(OFFSET($H$3,0,0,'Données projet'!$E$13+1,1))</f>
        <v>246.64907095367749</v>
      </c>
      <c r="CZ12" s="60">
        <f t="shared" si="42"/>
        <v>145.34368562171613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0.9</v>
      </c>
      <c r="DO12" s="13">
        <f>IF('Données projet'!$A$166&gt;35,DO11+DN12-DW11,IF(A12&lt;'Données projet'!$A$166,$DL$205^A12,IF(A12='Données projet'!$A$166,'Données projet'!$B$166,DO11+DN12-DW11)))</f>
        <v>7.2246740558420788</v>
      </c>
      <c r="DP12" s="18">
        <f>DO12*VLOOKUP('Données projet'!$B$14,Paramètres!$A$1:$I$89,3,0)*VLOOKUP('Données projet'!$B$14,Paramètres!$A$1:$I$89,5,0)</f>
        <v>5.8606555940990948</v>
      </c>
      <c r="DQ12" s="14">
        <f t="shared" si="43"/>
        <v>2.1984132231982314</v>
      </c>
      <c r="DR12" s="22">
        <f t="shared" si="16"/>
        <v>14.036211523459508</v>
      </c>
      <c r="DS12" s="60">
        <f t="shared" si="17"/>
        <v>281.70287819012617</v>
      </c>
      <c r="DT12" s="60">
        <f ca="1">AVERAGE(OFFSET($DS$3,0,0,'Données projet'!$E$14+1,1))-AVERAGE(OFFSET($H$3,0,0,'Données projet'!$E$14+1,1))</f>
        <v>256.19915261735281</v>
      </c>
      <c r="DU12" s="60">
        <f t="shared" si="44"/>
        <v>297.47246687305056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282.93233218914207</v>
      </c>
      <c r="S13" s="60">
        <f ca="1">AVERAGE(OFFSET($R$3,0,0,'Données projet'!$E$9+1,1))-AVERAGE(OFFSET($H$3,0,0,'Données projet'!$E$9+1,1))</f>
        <v>428.8489304403459</v>
      </c>
      <c r="T13" s="60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8.8341056840076444</v>
      </c>
      <c r="AK13" s="14">
        <f t="shared" si="35"/>
        <v>3.1592306185484516</v>
      </c>
      <c r="AL13" s="22">
        <f t="shared" si="4"/>
        <v>20.888394060285197</v>
      </c>
      <c r="AM13" s="60">
        <f t="shared" si="5"/>
        <v>289.77728294917404</v>
      </c>
      <c r="AN13" s="60">
        <f ca="1">AVERAGE(OFFSET($AM$3,0,0,'Données projet'!$E$10+1,1))-AVERAGE(OFFSET($H$3,0,0,'Données projet'!$E$10+1,1))</f>
        <v>299.28262372717484</v>
      </c>
      <c r="AO13" s="60">
        <f t="shared" si="36"/>
        <v>294.28794439094889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8.1412346499678296</v>
      </c>
      <c r="BF13" s="14">
        <f t="shared" si="37"/>
        <v>2.9392598989436851</v>
      </c>
      <c r="BG13" s="22">
        <f t="shared" si="7"/>
        <v>19.298528006020888</v>
      </c>
      <c r="BH13" s="60">
        <f t="shared" si="8"/>
        <v>288.18741689490975</v>
      </c>
      <c r="BI13" s="60">
        <f ca="1">AVERAGE(OFFSET($BH$3,0,0,'Données projet'!$E$11+1,1))-AVERAGE(OFFSET($H$3,0,0,'Données projet'!$E$11+1,1))</f>
        <v>278.61904724595763</v>
      </c>
      <c r="BJ13" s="60">
        <f t="shared" si="38"/>
        <v>274.55710362891892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0">
        <f t="shared" si="11"/>
        <v>290.43898667763051</v>
      </c>
      <c r="CD13" s="60">
        <f ca="1">AVERAGE(OFFSET($CC$3,0,0,'Données projet'!$E$12+1,1))-AVERAGE(OFFSET($H$3,0,0,'Données projet'!$E$12+1,1))</f>
        <v>292.57482726862594</v>
      </c>
      <c r="CE13" s="60">
        <f t="shared" si="40"/>
        <v>283.48738729114024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3.4358974358974361</v>
      </c>
      <c r="CT13" s="13">
        <f>IF('Données projet'!$A$140&gt;35,CT12+CS13-DB12,IF(A13&lt;'Données projet'!$A$140,$CQ$205^A13,IF(A13='Données projet'!$A$140,'Données projet'!$B$140,CT12+CS13-DB12)))</f>
        <v>4.6887147848714186</v>
      </c>
      <c r="CU13" s="18">
        <f>CT13*VLOOKUP('Données projet'!$B$13,Paramètres!$A$1:$I$89,3,0)*VLOOKUP('Données projet'!$B$13,Paramètres!$A$1:$I$89,5,0)</f>
        <v>2.194318519319824</v>
      </c>
      <c r="CV13" s="14">
        <f t="shared" si="41"/>
        <v>0.9228358380932653</v>
      </c>
      <c r="CW13" s="22">
        <f t="shared" si="13"/>
        <v>5.4290438391611309</v>
      </c>
      <c r="CX13" s="60">
        <f t="shared" si="14"/>
        <v>274.31793272804998</v>
      </c>
      <c r="CY13" s="60">
        <f ca="1">AVERAGE(OFFSET($CX$3,0,0,'Données projet'!$E$13+1,1))-AVERAGE(OFFSET($H$3,0,0,'Données projet'!$E$13+1,1))</f>
        <v>246.64907095367749</v>
      </c>
      <c r="CZ13" s="60">
        <f t="shared" si="42"/>
        <v>145.34368562171613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9</v>
      </c>
      <c r="DM13" s="13">
        <f>VLOOKUP(A13,'Données projet'!$A$165:$I$185,9,0)</f>
        <v>0.9</v>
      </c>
      <c r="DN13" s="13">
        <f t="array" ref="DN13">INDEX(DM:DM,MIN(IF(ISNUMBER(DM13:DM209),ROW(DM13:DM209),"")))</f>
        <v>0.9</v>
      </c>
      <c r="DO13" s="13">
        <f>IF('Données projet'!$A$166&gt;35,DO12+DN13-DW12,IF(A13&lt;'Données projet'!$A$166,$DL$205^A13,IF(A13='Données projet'!$A$166,'Données projet'!$B$166,DO12+DN13-DW12)))</f>
        <v>9</v>
      </c>
      <c r="DP13" s="18">
        <f>DO13*VLOOKUP('Données projet'!$B$14,Paramètres!$A$1:$I$89,3,0)*VLOOKUP('Données projet'!$B$14,Paramètres!$A$1:$I$89,5,0)</f>
        <v>7.3007999999999997</v>
      </c>
      <c r="DQ13" s="14">
        <f t="shared" si="43"/>
        <v>2.6694770761469542</v>
      </c>
      <c r="DR13" s="22">
        <f t="shared" si="16"/>
        <v>17.364899240955943</v>
      </c>
      <c r="DS13" s="60">
        <f t="shared" si="17"/>
        <v>286.25378812984479</v>
      </c>
      <c r="DT13" s="60">
        <f ca="1">AVERAGE(OFFSET($DS$3,0,0,'Données projet'!$E$14+1,1))-AVERAGE(OFFSET($H$3,0,0,'Données projet'!$E$14+1,1))</f>
        <v>256.19915261735281</v>
      </c>
      <c r="DU13" s="60">
        <f t="shared" si="44"/>
        <v>297.47246687305056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286.94092810276993</v>
      </c>
      <c r="S14" s="60">
        <f ca="1">AVERAGE(OFFSET($R$3,0,0,'Données projet'!$E$9+1,1))-AVERAGE(OFFSET($H$3,0,0,'Données projet'!$E$9+1,1))</f>
        <v>428.8489304403459</v>
      </c>
      <c r="T14" s="60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11.238526451721825</v>
      </c>
      <c r="AK14" s="14">
        <f t="shared" si="35"/>
        <v>3.9080387928425129</v>
      </c>
      <c r="AL14" s="22">
        <f t="shared" si="4"/>
        <v>26.380267800949554</v>
      </c>
      <c r="AM14" s="60">
        <f t="shared" si="5"/>
        <v>296.49137891206067</v>
      </c>
      <c r="AN14" s="60">
        <f ca="1">AVERAGE(OFFSET($AM$3,0,0,'Données projet'!$E$10+1,1))-AVERAGE(OFFSET($H$3,0,0,'Données projet'!$E$10+1,1))</f>
        <v>299.28262372717484</v>
      </c>
      <c r="AO14" s="60">
        <f t="shared" si="36"/>
        <v>294.28794439094889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10.357073396684818</v>
      </c>
      <c r="BF14" s="14">
        <f t="shared" si="37"/>
        <v>3.6359301026893722</v>
      </c>
      <c r="BG14" s="22">
        <f t="shared" si="7"/>
        <v>24.371147761410047</v>
      </c>
      <c r="BH14" s="60">
        <f t="shared" si="8"/>
        <v>294.48225887252119</v>
      </c>
      <c r="BI14" s="60">
        <f ca="1">AVERAGE(OFFSET($BH$3,0,0,'Données projet'!$E$11+1,1))-AVERAGE(OFFSET($H$3,0,0,'Données projet'!$E$11+1,1))</f>
        <v>278.61904724595763</v>
      </c>
      <c r="BJ14" s="60">
        <f t="shared" si="38"/>
        <v>274.55710362891892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0">
        <f t="shared" si="11"/>
        <v>297.46517135674492</v>
      </c>
      <c r="CD14" s="60">
        <f ca="1">AVERAGE(OFFSET($CC$3,0,0,'Données projet'!$E$12+1,1))-AVERAGE(OFFSET($H$3,0,0,'Données projet'!$E$12+1,1))</f>
        <v>292.57482726862594</v>
      </c>
      <c r="CE14" s="60">
        <f t="shared" si="40"/>
        <v>283.48738729114024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3.4358974358974361</v>
      </c>
      <c r="CT14" s="13">
        <f>IF('Données projet'!$A$140&gt;35,CT13+CS14-DB13,IF(A14&lt;'Données projet'!$A$140,$CQ$205^A14,IF(A14='Données projet'!$A$140,'Données projet'!$B$140,CT13+CS14-DB13)))</f>
        <v>5.472165162174039</v>
      </c>
      <c r="CU14" s="18">
        <f>CT14*VLOOKUP('Données projet'!$B$13,Paramètres!$A$1:$I$89,3,0)*VLOOKUP('Données projet'!$B$13,Paramètres!$A$1:$I$89,5,0)</f>
        <v>2.5609732958974503</v>
      </c>
      <c r="CV14" s="14">
        <f t="shared" si="41"/>
        <v>1.0578370334547251</v>
      </c>
      <c r="CW14" s="22">
        <f t="shared" si="13"/>
        <v>6.3027613236217057</v>
      </c>
      <c r="CX14" s="60">
        <f t="shared" si="14"/>
        <v>276.41387243473287</v>
      </c>
      <c r="CY14" s="60">
        <f ca="1">AVERAGE(OFFSET($CX$3,0,0,'Données projet'!$E$13+1,1))-AVERAGE(OFFSET($H$3,0,0,'Données projet'!$E$13+1,1))</f>
        <v>246.64907095367749</v>
      </c>
      <c r="CZ14" s="60">
        <f t="shared" si="42"/>
        <v>145.34368562171613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</v>
      </c>
      <c r="DO14" s="13">
        <f>IF('Données projet'!$A$166&gt;35,DO13+DN14-DW13,IF(A14&lt;'Données projet'!$A$166,$DL$205^A14,IF(A14='Données projet'!$A$166,'Données projet'!$B$166,DO13+DN14-DW13)))</f>
        <v>17</v>
      </c>
      <c r="DP14" s="18">
        <f>DO14*VLOOKUP('Données projet'!$B$14,Paramètres!$A$1:$I$89,3,0)*VLOOKUP('Données projet'!$B$14,Paramètres!$A$1:$I$89,5,0)</f>
        <v>13.7904</v>
      </c>
      <c r="DQ14" s="14">
        <f t="shared" si="43"/>
        <v>4.6825473896592289</v>
      </c>
      <c r="DR14" s="22">
        <f t="shared" si="16"/>
        <v>32.173716703656488</v>
      </c>
      <c r="DS14" s="60">
        <f t="shared" si="17"/>
        <v>302.28482781476765</v>
      </c>
      <c r="DT14" s="60">
        <f ca="1">AVERAGE(OFFSET($DS$3,0,0,'Données projet'!$E$14+1,1))-AVERAGE(OFFSET($H$3,0,0,'Données projet'!$E$14+1,1))</f>
        <v>256.19915261735281</v>
      </c>
      <c r="DU14" s="60">
        <f t="shared" si="44"/>
        <v>297.47246687305056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291.50424573777804</v>
      </c>
      <c r="S15" s="60">
        <f ca="1">AVERAGE(OFFSET($R$3,0,0,'Données projet'!$E$9+1,1))-AVERAGE(OFFSET($H$3,0,0,'Données projet'!$E$9+1,1))</f>
        <v>428.8489304403459</v>
      </c>
      <c r="T15" s="60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14.297369912010421</v>
      </c>
      <c r="AK15" s="14">
        <f t="shared" si="35"/>
        <v>4.8343312187127445</v>
      </c>
      <c r="AL15" s="22">
        <f t="shared" si="4"/>
        <v>33.321046136009507</v>
      </c>
      <c r="AM15" s="60">
        <f t="shared" si="5"/>
        <v>304.65437946934281</v>
      </c>
      <c r="AN15" s="60">
        <f ca="1">AVERAGE(OFFSET($AM$3,0,0,'Données projet'!$E$10+1,1))-AVERAGE(OFFSET($H$3,0,0,'Données projet'!$E$10+1,1))</f>
        <v>299.28262372717484</v>
      </c>
      <c r="AO15" s="60">
        <f t="shared" si="36"/>
        <v>294.28794439094889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13.176007565970389</v>
      </c>
      <c r="BF15" s="14">
        <f t="shared" si="37"/>
        <v>4.4977266952111856</v>
      </c>
      <c r="BG15" s="22">
        <f t="shared" si="7"/>
        <v>30.781753838224574</v>
      </c>
      <c r="BH15" s="60">
        <f t="shared" si="8"/>
        <v>302.11508717155789</v>
      </c>
      <c r="BI15" s="60">
        <f ca="1">AVERAGE(OFFSET($BH$3,0,0,'Données projet'!$E$11+1,1))-AVERAGE(OFFSET($H$3,0,0,'Données projet'!$E$11+1,1))</f>
        <v>278.61904724595763</v>
      </c>
      <c r="BJ15" s="60">
        <f t="shared" si="38"/>
        <v>274.55710362891892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0">
        <f t="shared" si="11"/>
        <v>306.05993923876133</v>
      </c>
      <c r="CD15" s="60">
        <f ca="1">AVERAGE(OFFSET($CC$3,0,0,'Données projet'!$E$12+1,1))-AVERAGE(OFFSET($H$3,0,0,'Données projet'!$E$12+1,1))</f>
        <v>292.57482726862594</v>
      </c>
      <c r="CE15" s="60">
        <f t="shared" si="40"/>
        <v>283.48738729114024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3.4358974358974361</v>
      </c>
      <c r="CT15" s="13">
        <f>IF('Données projet'!$A$140&gt;35,CT14+CS15-DB14,IF(A15&lt;'Données projet'!$A$140,$CQ$205^A15,IF(A15='Données projet'!$A$140,'Données projet'!$B$140,CT14+CS15-DB14)))</f>
        <v>6.3865244392195226</v>
      </c>
      <c r="CU15" s="18">
        <f>CT15*VLOOKUP('Données projet'!$B$13,Paramètres!$A$1:$I$89,3,0)*VLOOKUP('Données projet'!$B$13,Paramètres!$A$1:$I$89,5,0)</f>
        <v>2.9888934375547365</v>
      </c>
      <c r="CV15" s="14">
        <f t="shared" si="41"/>
        <v>1.2125874864812094</v>
      </c>
      <c r="CW15" s="22">
        <f t="shared" si="13"/>
        <v>7.3175792760292708</v>
      </c>
      <c r="CX15" s="60">
        <f t="shared" si="14"/>
        <v>278.65091260936259</v>
      </c>
      <c r="CY15" s="60">
        <f ca="1">AVERAGE(OFFSET($CX$3,0,0,'Données projet'!$E$13+1,1))-AVERAGE(OFFSET($H$3,0,0,'Données projet'!$E$13+1,1))</f>
        <v>246.64907095367749</v>
      </c>
      <c r="CZ15" s="60">
        <f t="shared" si="42"/>
        <v>145.34368562171613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</v>
      </c>
      <c r="DO15" s="13">
        <f>IF('Données projet'!$A$166&gt;35,DO14+DN15-DW14,IF(A15&lt;'Données projet'!$A$166,$DL$205^A15,IF(A15='Données projet'!$A$166,'Données projet'!$B$166,DO14+DN15-DW14)))</f>
        <v>25</v>
      </c>
      <c r="DP15" s="18">
        <f>DO15*VLOOKUP('Données projet'!$B$14,Paramètres!$A$1:$I$89,3,0)*VLOOKUP('Données projet'!$B$14,Paramètres!$A$1:$I$89,5,0)</f>
        <v>20.28</v>
      </c>
      <c r="DQ15" s="14">
        <f t="shared" si="43"/>
        <v>6.5838102554415308</v>
      </c>
      <c r="DR15" s="22">
        <f t="shared" si="16"/>
        <v>46.787802861560664</v>
      </c>
      <c r="DS15" s="60">
        <f t="shared" si="17"/>
        <v>318.12113619489401</v>
      </c>
      <c r="DT15" s="60">
        <f ca="1">AVERAGE(OFFSET($DS$3,0,0,'Données projet'!$E$14+1,1))-AVERAGE(OFFSET($H$3,0,0,'Données projet'!$E$14+1,1))</f>
        <v>256.19915261735281</v>
      </c>
      <c r="DU15" s="60">
        <f t="shared" si="44"/>
        <v>297.47246687305056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296.73306974060051</v>
      </c>
      <c r="S16" s="60">
        <f ca="1">AVERAGE(OFFSET($R$3,0,0,'Données projet'!$E$9+1,1))-AVERAGE(OFFSET($H$3,0,0,'Données projet'!$E$9+1,1))</f>
        <v>428.8489304403459</v>
      </c>
      <c r="T16" s="60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18.188753417005401</v>
      </c>
      <c r="AK16" s="14">
        <f t="shared" si="35"/>
        <v>5.9801756254374139</v>
      </c>
      <c r="AL16" s="22">
        <f t="shared" si="4"/>
        <v>42.094218082254564</v>
      </c>
      <c r="AM16" s="60">
        <f t="shared" si="5"/>
        <v>314.64977363781009</v>
      </c>
      <c r="AN16" s="60">
        <f ca="1">AVERAGE(OFFSET($AM$3,0,0,'Données projet'!$E$10+1,1))-AVERAGE(OFFSET($H$3,0,0,'Données projet'!$E$10+1,1))</f>
        <v>299.28262372717484</v>
      </c>
      <c r="AO16" s="60">
        <f t="shared" si="36"/>
        <v>294.28794439094889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16.762184521553994</v>
      </c>
      <c r="BF16" s="14">
        <f t="shared" si="37"/>
        <v>5.5637883164619248</v>
      </c>
      <c r="BG16" s="22">
        <f t="shared" si="7"/>
        <v>38.884402692877721</v>
      </c>
      <c r="BH16" s="60">
        <f t="shared" si="8"/>
        <v>311.43995824843324</v>
      </c>
      <c r="BI16" s="60">
        <f ca="1">AVERAGE(OFFSET($BH$3,0,0,'Données projet'!$E$11+1,1))-AVERAGE(OFFSET($H$3,0,0,'Données projet'!$E$11+1,1))</f>
        <v>278.61904724595763</v>
      </c>
      <c r="BJ16" s="60">
        <f t="shared" si="38"/>
        <v>274.55710362891892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0">
        <f t="shared" si="11"/>
        <v>316.64858257249887</v>
      </c>
      <c r="CD16" s="60">
        <f ca="1">AVERAGE(OFFSET($CC$3,0,0,'Données projet'!$E$12+1,1))-AVERAGE(OFFSET($H$3,0,0,'Données projet'!$E$12+1,1))</f>
        <v>292.57482726862594</v>
      </c>
      <c r="CE16" s="60">
        <f t="shared" si="40"/>
        <v>283.48738729114024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3.4358974358974361</v>
      </c>
      <c r="CT16" s="13">
        <f>IF('Données projet'!$A$140&gt;35,CT15+CS16-DB15,IF(A16&lt;'Données projet'!$A$140,$CQ$205^A16,IF(A16='Données projet'!$A$140,'Données projet'!$B$140,CT15+CS16-DB15)))</f>
        <v>7.4536665476931043</v>
      </c>
      <c r="CU16" s="18">
        <f>CT16*VLOOKUP('Données projet'!$B$13,Paramètres!$A$1:$I$89,3,0)*VLOOKUP('Données projet'!$B$13,Paramètres!$A$1:$I$89,5,0)</f>
        <v>3.4883159443203726</v>
      </c>
      <c r="CV16" s="14">
        <f t="shared" si="41"/>
        <v>1.3899763062452366</v>
      </c>
      <c r="CW16" s="22">
        <f t="shared" si="13"/>
        <v>8.4963590030684362</v>
      </c>
      <c r="CX16" s="60">
        <f t="shared" si="14"/>
        <v>281.05191455862399</v>
      </c>
      <c r="CY16" s="60">
        <f ca="1">AVERAGE(OFFSET($CX$3,0,0,'Données projet'!$E$13+1,1))-AVERAGE(OFFSET($H$3,0,0,'Données projet'!$E$13+1,1))</f>
        <v>246.64907095367749</v>
      </c>
      <c r="CZ16" s="60">
        <f t="shared" si="42"/>
        <v>145.34368562171613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</v>
      </c>
      <c r="DO16" s="13">
        <f>IF('Données projet'!$A$166&gt;35,DO15+DN16-DW15,IF(A16&lt;'Données projet'!$A$166,$DL$205^A16,IF(A16='Données projet'!$A$166,'Données projet'!$B$166,DO15+DN16-DW15)))</f>
        <v>33</v>
      </c>
      <c r="DP16" s="18">
        <f>DO16*VLOOKUP('Données projet'!$B$14,Paramètres!$A$1:$I$89,3,0)*VLOOKUP('Données projet'!$B$14,Paramètres!$A$1:$I$89,5,0)</f>
        <v>26.769600000000001</v>
      </c>
      <c r="DQ16" s="14">
        <f t="shared" si="43"/>
        <v>8.4142697673415618</v>
      </c>
      <c r="DR16" s="22">
        <f t="shared" si="16"/>
        <v>61.278573178119878</v>
      </c>
      <c r="DS16" s="60">
        <f t="shared" si="17"/>
        <v>333.83412873367541</v>
      </c>
      <c r="DT16" s="60">
        <f ca="1">AVERAGE(OFFSET($DS$3,0,0,'Données projet'!$E$14+1,1))-AVERAGE(OFFSET($H$3,0,0,'Données projet'!$E$14+1,1))</f>
        <v>256.19915261735281</v>
      </c>
      <c r="DU16" s="60">
        <f t="shared" si="44"/>
        <v>297.47246687305056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302.76037439017989</v>
      </c>
      <c r="S17" s="60">
        <f ca="1">AVERAGE(OFFSET($R$3,0,0,'Données projet'!$E$9+1,1))-AVERAGE(OFFSET($H$3,0,0,'Données projet'!$E$9+1,1))</f>
        <v>428.8489304403459</v>
      </c>
      <c r="T17" s="60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23.13927336990233</v>
      </c>
      <c r="AK17" s="14">
        <f t="shared" si="35"/>
        <v>7.3976107331343286</v>
      </c>
      <c r="AL17" s="22">
        <f t="shared" si="4"/>
        <v>53.185073146122171</v>
      </c>
      <c r="AM17" s="60">
        <f t="shared" si="5"/>
        <v>326.96285092389996</v>
      </c>
      <c r="AN17" s="60">
        <f ca="1">AVERAGE(OFFSET($AM$3,0,0,'Données projet'!$E$10+1,1))-AVERAGE(OFFSET($H$3,0,0,'Données projet'!$E$10+1,1))</f>
        <v>299.28262372717484</v>
      </c>
      <c r="AO17" s="60">
        <f t="shared" si="36"/>
        <v>294.28794439094889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21.324428399713909</v>
      </c>
      <c r="BF17" s="14">
        <f t="shared" si="37"/>
        <v>6.8825303376831179</v>
      </c>
      <c r="BG17" s="22">
        <f t="shared" si="7"/>
        <v>49.127119800966483</v>
      </c>
      <c r="BH17" s="60">
        <f t="shared" si="8"/>
        <v>322.90489757874423</v>
      </c>
      <c r="BI17" s="60">
        <f ca="1">AVERAGE(OFFSET($BH$3,0,0,'Données projet'!$E$11+1,1))-AVERAGE(OFFSET($H$3,0,0,'Données projet'!$E$11+1,1))</f>
        <v>278.61904724595763</v>
      </c>
      <c r="BJ17" s="60">
        <f t="shared" si="38"/>
        <v>274.55710362891892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0">
        <f t="shared" si="11"/>
        <v>329.77204569188632</v>
      </c>
      <c r="CD17" s="60">
        <f ca="1">AVERAGE(OFFSET($CC$3,0,0,'Données projet'!$E$12+1,1))-AVERAGE(OFFSET($H$3,0,0,'Données projet'!$E$12+1,1))</f>
        <v>292.57482726862594</v>
      </c>
      <c r="CE17" s="60">
        <f t="shared" si="40"/>
        <v>283.48738729114024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3.4358974358974361</v>
      </c>
      <c r="CT17" s="13">
        <f>IF('Données projet'!$A$140&gt;35,CT16+CS17-DB16,IF(A17&lt;'Données projet'!$A$140,$CQ$205^A17,IF(A17='Données projet'!$A$140,'Données projet'!$B$140,CT16+CS17-DB16)))</f>
        <v>8.6991203952847798</v>
      </c>
      <c r="CU17" s="18">
        <f>CT17*VLOOKUP('Données projet'!$B$13,Paramètres!$A$1:$I$89,3,0)*VLOOKUP('Données projet'!$B$13,Paramètres!$A$1:$I$89,5,0)</f>
        <v>4.0711883449932769</v>
      </c>
      <c r="CV17" s="14">
        <f t="shared" si="41"/>
        <v>1.5933152481473272</v>
      </c>
      <c r="CW17" s="22">
        <f t="shared" si="13"/>
        <v>9.8656770913865515</v>
      </c>
      <c r="CX17" s="60">
        <f t="shared" si="14"/>
        <v>283.64345486916432</v>
      </c>
      <c r="CY17" s="60">
        <f ca="1">AVERAGE(OFFSET($CX$3,0,0,'Données projet'!$E$13+1,1))-AVERAGE(OFFSET($H$3,0,0,'Données projet'!$E$13+1,1))</f>
        <v>246.64907095367749</v>
      </c>
      <c r="CZ17" s="60">
        <f t="shared" si="42"/>
        <v>145.34368562171613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</v>
      </c>
      <c r="DO17" s="13">
        <f>IF('Données projet'!$A$166&gt;35,DO16+DN17-DW16,IF(A17&lt;'Données projet'!$A$166,$DL$205^A17,IF(A17='Données projet'!$A$166,'Données projet'!$B$166,DO16+DN17-DW16)))</f>
        <v>41</v>
      </c>
      <c r="DP17" s="18">
        <f>DO17*VLOOKUP('Données projet'!$B$14,Paramètres!$A$1:$I$89,3,0)*VLOOKUP('Données projet'!$B$14,Paramètres!$A$1:$I$89,5,0)</f>
        <v>33.2592</v>
      </c>
      <c r="DQ17" s="14">
        <f t="shared" si="43"/>
        <v>10.193265358024187</v>
      </c>
      <c r="DR17" s="22">
        <f t="shared" si="16"/>
        <v>75.679710498558791</v>
      </c>
      <c r="DS17" s="60">
        <f t="shared" si="17"/>
        <v>349.45748827633656</v>
      </c>
      <c r="DT17" s="60">
        <f ca="1">AVERAGE(OFFSET($DS$3,0,0,'Données projet'!$E$14+1,1))-AVERAGE(OFFSET($H$3,0,0,'Données projet'!$E$14+1,1))</f>
        <v>256.19915261735281</v>
      </c>
      <c r="DU17" s="60">
        <f t="shared" si="44"/>
        <v>297.47246687305056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309.74578000827665</v>
      </c>
      <c r="S18" s="60">
        <f ca="1">AVERAGE(OFFSET($R$3,0,0,'Données projet'!$E$9+1,1))-AVERAGE(OFFSET($H$3,0,0,'Données projet'!$E$9+1,1))</f>
        <v>428.8489304403459</v>
      </c>
      <c r="T18" s="60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29.437200000000004</v>
      </c>
      <c r="AK18" s="14">
        <f t="shared" si="35"/>
        <v>9.1510096001539196</v>
      </c>
      <c r="AL18" s="22">
        <f t="shared" si="4"/>
        <v>67.207798386934755</v>
      </c>
      <c r="AM18" s="60">
        <f t="shared" si="5"/>
        <v>342.20779838693477</v>
      </c>
      <c r="AN18" s="60">
        <f ca="1">AVERAGE(OFFSET($AM$3,0,0,'Données projet'!$E$10+1,1))-AVERAGE(OFFSET($H$3,0,0,'Données projet'!$E$10+1,1))</f>
        <v>299.28262372717484</v>
      </c>
      <c r="AO18" s="60">
        <f t="shared" si="36"/>
        <v>294.28794439094889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27.128400000000003</v>
      </c>
      <c r="BF18" s="14">
        <f t="shared" si="37"/>
        <v>8.5138436537878839</v>
      </c>
      <c r="BG18" s="22">
        <f t="shared" si="7"/>
        <v>62.076907697013901</v>
      </c>
      <c r="BH18" s="60">
        <f t="shared" si="8"/>
        <v>337.07690769701389</v>
      </c>
      <c r="BI18" s="60">
        <f ca="1">AVERAGE(OFFSET($BH$3,0,0,'Données projet'!$E$11+1,1))-AVERAGE(OFFSET($H$3,0,0,'Données projet'!$E$11+1,1))</f>
        <v>278.61904724595763</v>
      </c>
      <c r="BJ18" s="60">
        <f t="shared" si="38"/>
        <v>274.55710362891892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0">
        <f t="shared" si="11"/>
        <v>346.11846028285146</v>
      </c>
      <c r="CD18" s="60">
        <f ca="1">AVERAGE(OFFSET($CC$3,0,0,'Données projet'!$E$12+1,1))-AVERAGE(OFFSET($H$3,0,0,'Données projet'!$E$12+1,1))</f>
        <v>292.57482726862594</v>
      </c>
      <c r="CE18" s="60">
        <f t="shared" si="40"/>
        <v>283.48738729114024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3.4358974358974361</v>
      </c>
      <c r="CT18" s="13">
        <f>IF('Données projet'!$A$140&gt;35,CT17+CS18-DB17,IF(A18&lt;'Données projet'!$A$140,$CQ$205^A18,IF(A18='Données projet'!$A$140,'Données projet'!$B$140,CT17+CS18-DB17)))</f>
        <v>10.152680585782415</v>
      </c>
      <c r="CU18" s="18">
        <f>CT18*VLOOKUP('Données projet'!$B$13,Paramètres!$A$1:$I$89,3,0)*VLOOKUP('Données projet'!$B$13,Paramètres!$A$1:$I$89,5,0)</f>
        <v>4.7514545141461699</v>
      </c>
      <c r="CV18" s="14">
        <f t="shared" si="41"/>
        <v>1.8264005426369321</v>
      </c>
      <c r="CW18" s="22">
        <f t="shared" si="13"/>
        <v>11.456430890563903</v>
      </c>
      <c r="CX18" s="60">
        <f t="shared" si="14"/>
        <v>286.45643089056392</v>
      </c>
      <c r="CY18" s="60">
        <f ca="1">AVERAGE(OFFSET($CX$3,0,0,'Données projet'!$E$13+1,1))-AVERAGE(OFFSET($H$3,0,0,'Données projet'!$E$13+1,1))</f>
        <v>246.64907095367749</v>
      </c>
      <c r="CZ18" s="60">
        <f t="shared" si="42"/>
        <v>145.34368562171613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49</v>
      </c>
      <c r="DM18" s="13">
        <f>VLOOKUP(A18,'Données projet'!$A$165:$I$185,9,0)</f>
        <v>8</v>
      </c>
      <c r="DN18" s="13">
        <f t="array" ref="DN18">INDEX(DM:DM,MIN(IF(ISNUMBER(DM18:DM214),ROW(DM18:DM214),"")))</f>
        <v>8</v>
      </c>
      <c r="DO18" s="13">
        <f>IF('Données projet'!$A$166&gt;35,DO17+DN18-DW17,IF(A18&lt;'Données projet'!$A$166,$DL$205^A18,IF(A18='Données projet'!$A$166,'Données projet'!$B$166,DO17+DN18-DW17)))</f>
        <v>49</v>
      </c>
      <c r="DP18" s="18">
        <f>DO18*VLOOKUP('Données projet'!$B$14,Paramètres!$A$1:$I$89,3,0)*VLOOKUP('Données projet'!$B$14,Paramètres!$A$1:$I$89,5,0)</f>
        <v>39.748800000000003</v>
      </c>
      <c r="DQ18" s="14">
        <f t="shared" si="43"/>
        <v>11.932041927023215</v>
      </c>
      <c r="DR18" s="22">
        <f t="shared" si="16"/>
        <v>90.010799689565431</v>
      </c>
      <c r="DS18" s="60">
        <f t="shared" si="17"/>
        <v>365.01079968956543</v>
      </c>
      <c r="DT18" s="60">
        <f ca="1">AVERAGE(OFFSET($DS$3,0,0,'Données projet'!$E$14+1,1))-AVERAGE(OFFSET($H$3,0,0,'Données projet'!$E$14+1,1))</f>
        <v>256.19915261735281</v>
      </c>
      <c r="DU18" s="60">
        <f t="shared" si="44"/>
        <v>297.47246687305056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317.88090656215792</v>
      </c>
      <c r="S19" s="60">
        <f ca="1">AVERAGE(OFFSET($R$3,0,0,'Données projet'!$E$9+1,1))-AVERAGE(OFFSET($H$3,0,0,'Données projet'!$E$9+1,1))</f>
        <v>428.8489304403459</v>
      </c>
      <c r="T19" s="60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8.6</v>
      </c>
      <c r="AI19" s="14">
        <f>IF('Données projet'!$A$62&gt;35,AI18+AH19-AQ18,IF(A19&lt;'Données projet'!$A$62,$AF$205^A19,IF(A19='Données projet'!$A$62,'Données projet'!$B$62,AI18+AH19-AQ18)))</f>
        <v>45.6</v>
      </c>
      <c r="AJ19" s="14">
        <f>AI19*VLOOKUP('Données projet'!$B$10,Paramètres!$A$1:$I$89,3,0)*VLOOKUP('Données projet'!$B$10,Paramètres!$A$1:$I$89,5,0)</f>
        <v>36.279360000000004</v>
      </c>
      <c r="AK19" s="14">
        <f t="shared" si="35"/>
        <v>11.006957828729092</v>
      </c>
      <c r="AL19" s="22">
        <f t="shared" si="4"/>
        <v>82.357003551703173</v>
      </c>
      <c r="AM19" s="60">
        <f t="shared" si="5"/>
        <v>358.57922577392537</v>
      </c>
      <c r="AN19" s="60">
        <f ca="1">AVERAGE(OFFSET($AM$3,0,0,'Données projet'!$E$10+1,1))-AVERAGE(OFFSET($H$3,0,0,'Données projet'!$E$10+1,1))</f>
        <v>299.28262372717484</v>
      </c>
      <c r="AO19" s="60">
        <f t="shared" si="36"/>
        <v>294.28794439094889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8.6</v>
      </c>
      <c r="BD19" s="13">
        <f>IF('Données projet'!$A$88&gt;35,BD18+BC19-BL18,IF(A19&lt;'Données projet'!$A$88,$BA$205^A19,IF(A19='Données projet'!$A$88,'Données projet'!$B$88,BD18+BC19-BL18)))</f>
        <v>45.6</v>
      </c>
      <c r="BE19" s="14">
        <f>BD19*VLOOKUP('Données projet'!$B$11,Paramètres!$A$1:$I$89,3,0)*VLOOKUP('Données projet'!$B$11,Paramètres!$A$1:$I$89,5,0)</f>
        <v>33.433920000000001</v>
      </c>
      <c r="BF19" s="14">
        <f t="shared" si="37"/>
        <v>10.240566030666143</v>
      </c>
      <c r="BG19" s="22">
        <f t="shared" si="7"/>
        <v>76.066396503410189</v>
      </c>
      <c r="BH19" s="60">
        <f t="shared" si="8"/>
        <v>352.28861872563243</v>
      </c>
      <c r="BI19" s="60">
        <f ca="1">AVERAGE(OFFSET($BH$3,0,0,'Données projet'!$E$11+1,1))-AVERAGE(OFFSET($H$3,0,0,'Données projet'!$E$11+1,1))</f>
        <v>278.61904724595763</v>
      </c>
      <c r="BJ19" s="60">
        <f t="shared" si="38"/>
        <v>274.55710362891892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0">
        <f t="shared" si="11"/>
        <v>363.89463787538273</v>
      </c>
      <c r="CD19" s="60">
        <f ca="1">AVERAGE(OFFSET($CC$3,0,0,'Données projet'!$E$12+1,1))-AVERAGE(OFFSET($H$3,0,0,'Données projet'!$E$12+1,1))</f>
        <v>292.57482726862594</v>
      </c>
      <c r="CE19" s="60">
        <f t="shared" si="40"/>
        <v>283.48738729114024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3.4358974358974361</v>
      </c>
      <c r="CT19" s="13">
        <f>IF('Données projet'!$A$140&gt;35,CT18+CS19-DB18,IF(A19&lt;'Données projet'!$A$140,$CQ$205^A19,IF(A19='Données projet'!$A$140,'Données projet'!$B$140,CT18+CS19-DB18)))</f>
        <v>11.849120186081615</v>
      </c>
      <c r="CU19" s="18">
        <f>CT19*VLOOKUP('Données projet'!$B$13,Paramètres!$A$1:$I$89,3,0)*VLOOKUP('Données projet'!$B$13,Paramètres!$A$1:$I$89,5,0)</f>
        <v>5.545388247086195</v>
      </c>
      <c r="CV19" s="14">
        <f t="shared" si="41"/>
        <v>2.0935837688261665</v>
      </c>
      <c r="CW19" s="22">
        <f t="shared" si="13"/>
        <v>13.304542927714031</v>
      </c>
      <c r="CX19" s="60">
        <f t="shared" si="14"/>
        <v>289.52676514993624</v>
      </c>
      <c r="CY19" s="60">
        <f ca="1">AVERAGE(OFFSET($CX$3,0,0,'Données projet'!$E$13+1,1))-AVERAGE(OFFSET($H$3,0,0,'Données projet'!$E$13+1,1))</f>
        <v>246.64907095367749</v>
      </c>
      <c r="CZ19" s="60">
        <f t="shared" si="42"/>
        <v>145.34368562171613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</v>
      </c>
      <c r="DO19" s="13">
        <f>IF('Données projet'!$A$166&gt;35,DO18+DN19-DW18,IF(A19&lt;'Données projet'!$A$166,$DL$205^A19,IF(A19='Données projet'!$A$166,'Données projet'!$B$166,DO18+DN19-DW18)))</f>
        <v>59</v>
      </c>
      <c r="DP19" s="18">
        <f>DO19*VLOOKUP('Données projet'!$B$14,Paramètres!$A$1:$I$89,3,0)*VLOOKUP('Données projet'!$B$14,Paramètres!$A$1:$I$89,5,0)</f>
        <v>47.860800000000005</v>
      </c>
      <c r="DQ19" s="14">
        <f t="shared" si="43"/>
        <v>14.059903887836867</v>
      </c>
      <c r="DR19" s="22">
        <f t="shared" si="16"/>
        <v>107.84522593798255</v>
      </c>
      <c r="DS19" s="60">
        <f t="shared" si="17"/>
        <v>384.06744816020478</v>
      </c>
      <c r="DT19" s="60">
        <f ca="1">AVERAGE(OFFSET($DS$3,0,0,'Données projet'!$E$14+1,1))-AVERAGE(OFFSET($H$3,0,0,'Données projet'!$E$14+1,1))</f>
        <v>256.19915261735281</v>
      </c>
      <c r="DU19" s="60">
        <f t="shared" si="44"/>
        <v>297.47246687305056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327.39580549186149</v>
      </c>
      <c r="S20" s="60">
        <f ca="1">AVERAGE(OFFSET($R$3,0,0,'Données projet'!$E$9+1,1))-AVERAGE(OFFSET($H$3,0,0,'Données projet'!$E$9+1,1))</f>
        <v>428.8489304403459</v>
      </c>
      <c r="T20" s="60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8.6</v>
      </c>
      <c r="AI20" s="14">
        <f>IF('Données projet'!$A$62&gt;35,AI19+AH20-AQ19,IF(A20&lt;'Données projet'!$A$62,$AF$205^A20,IF(A20='Données projet'!$A$62,'Données projet'!$B$62,AI19+AH20-AQ19)))</f>
        <v>54.2</v>
      </c>
      <c r="AJ20" s="14">
        <f>AI20*VLOOKUP('Données projet'!$B$10,Paramètres!$A$1:$I$89,3,0)*VLOOKUP('Données projet'!$B$10,Paramètres!$A$1:$I$89,5,0)</f>
        <v>43.121520000000004</v>
      </c>
      <c r="AK20" s="14">
        <f t="shared" si="35"/>
        <v>12.822353245070515</v>
      </c>
      <c r="AL20" s="22">
        <f t="shared" si="4"/>
        <v>97.435579235164482</v>
      </c>
      <c r="AM20" s="60">
        <f t="shared" si="5"/>
        <v>374.88002367960894</v>
      </c>
      <c r="AN20" s="60">
        <f ca="1">AVERAGE(OFFSET($AM$3,0,0,'Données projet'!$E$10+1,1))-AVERAGE(OFFSET($H$3,0,0,'Données projet'!$E$10+1,1))</f>
        <v>299.28262372717484</v>
      </c>
      <c r="AO20" s="60">
        <f t="shared" si="36"/>
        <v>294.28794439094889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8.6</v>
      </c>
      <c r="BD20" s="13">
        <f>IF('Données projet'!$A$88&gt;35,BD19+BC20-BL19,IF(A20&lt;'Données projet'!$A$88,$BA$205^A20,IF(A20='Données projet'!$A$88,'Données projet'!$B$88,BD19+BC20-BL19)))</f>
        <v>54.2</v>
      </c>
      <c r="BE20" s="14">
        <f>BD20*VLOOKUP('Données projet'!$B$11,Paramètres!$A$1:$I$89,3,0)*VLOOKUP('Données projet'!$B$11,Paramètres!$A$1:$I$89,5,0)</f>
        <v>39.739440000000002</v>
      </c>
      <c r="BF20" s="14">
        <f t="shared" si="37"/>
        <v>11.929559204083212</v>
      </c>
      <c r="BG20" s="22">
        <f t="shared" si="7"/>
        <v>89.990173613778268</v>
      </c>
      <c r="BH20" s="60">
        <f t="shared" si="8"/>
        <v>367.43461805822272</v>
      </c>
      <c r="BI20" s="60">
        <f ca="1">AVERAGE(OFFSET($BH$3,0,0,'Données projet'!$E$11+1,1))-AVERAGE(OFFSET($H$3,0,0,'Données projet'!$E$11+1,1))</f>
        <v>278.61904724595763</v>
      </c>
      <c r="BJ20" s="60">
        <f t="shared" si="38"/>
        <v>274.55710362891892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0">
        <f t="shared" si="11"/>
        <v>381.59205090040246</v>
      </c>
      <c r="CD20" s="60">
        <f ca="1">AVERAGE(OFFSET($CC$3,0,0,'Données projet'!$E$12+1,1))-AVERAGE(OFFSET($H$3,0,0,'Données projet'!$E$12+1,1))</f>
        <v>292.57482726862594</v>
      </c>
      <c r="CE20" s="60">
        <f t="shared" si="40"/>
        <v>283.48738729114024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3.4358974358974361</v>
      </c>
      <c r="CT20" s="13">
        <f>IF('Données projet'!$A$140&gt;35,CT19+CS20-DB19,IF(A20&lt;'Données projet'!$A$140,$CQ$205^A20,IF(A20='Données projet'!$A$140,'Données projet'!$B$140,CT19+CS20-DB19)))</f>
        <v>13.82902259141513</v>
      </c>
      <c r="CU20" s="18">
        <f>CT20*VLOOKUP('Données projet'!$B$13,Paramètres!$A$1:$I$89,3,0)*VLOOKUP('Données projet'!$B$13,Paramètres!$A$1:$I$89,5,0)</f>
        <v>6.4719825727822808</v>
      </c>
      <c r="CV20" s="14">
        <f t="shared" si="41"/>
        <v>2.399853096169215</v>
      </c>
      <c r="CW20" s="22">
        <f t="shared" si="13"/>
        <v>15.45178045675719</v>
      </c>
      <c r="CX20" s="60">
        <f t="shared" si="14"/>
        <v>292.89622490120166</v>
      </c>
      <c r="CY20" s="60">
        <f ca="1">AVERAGE(OFFSET($CX$3,0,0,'Données projet'!$E$13+1,1))-AVERAGE(OFFSET($H$3,0,0,'Données projet'!$E$13+1,1))</f>
        <v>246.64907095367749</v>
      </c>
      <c r="CZ20" s="60">
        <f t="shared" si="42"/>
        <v>145.34368562171613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</v>
      </c>
      <c r="DO20" s="13">
        <f>IF('Données projet'!$A$166&gt;35,DO19+DN20-DW19,IF(A20&lt;'Données projet'!$A$166,$DL$205^A20,IF(A20='Données projet'!$A$166,'Données projet'!$B$166,DO19+DN20-DW19)))</f>
        <v>69</v>
      </c>
      <c r="DP20" s="18">
        <f>DO20*VLOOKUP('Données projet'!$B$14,Paramètres!$A$1:$I$89,3,0)*VLOOKUP('Données projet'!$B$14,Paramètres!$A$1:$I$89,5,0)</f>
        <v>55.972800000000007</v>
      </c>
      <c r="DQ20" s="14">
        <f t="shared" si="43"/>
        <v>16.145985978099571</v>
      </c>
      <c r="DR20" s="22">
        <f t="shared" si="16"/>
        <v>125.60688557852342</v>
      </c>
      <c r="DS20" s="60">
        <f t="shared" si="17"/>
        <v>403.05133002296787</v>
      </c>
      <c r="DT20" s="60">
        <f ca="1">AVERAGE(OFFSET($DS$3,0,0,'Données projet'!$E$14+1,1))-AVERAGE(OFFSET($H$3,0,0,'Données projet'!$E$14+1,1))</f>
        <v>256.19915261735281</v>
      </c>
      <c r="DU20" s="60">
        <f t="shared" si="44"/>
        <v>297.47246687305056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338.56668739624723</v>
      </c>
      <c r="S21" s="60">
        <f ca="1">AVERAGE(OFFSET($R$3,0,0,'Données projet'!$E$9+1,1))-AVERAGE(OFFSET($H$3,0,0,'Données projet'!$E$9+1,1))</f>
        <v>428.8489304403459</v>
      </c>
      <c r="T21" s="60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8.6</v>
      </c>
      <c r="AI21" s="14">
        <f>IF('Données projet'!$A$62&gt;35,AI20+AH21-AQ20,IF(A21&lt;'Données projet'!$A$62,$AF$205^A21,IF(A21='Données projet'!$A$62,'Données projet'!$B$62,AI20+AH21-AQ20)))</f>
        <v>62.800000000000004</v>
      </c>
      <c r="AJ21" s="14">
        <f>AI21*VLOOKUP('Données projet'!$B$10,Paramètres!$A$1:$I$89,3,0)*VLOOKUP('Données projet'!$B$10,Paramètres!$A$1:$I$89,5,0)</f>
        <v>49.963680000000011</v>
      </c>
      <c r="AK21" s="14">
        <f t="shared" si="35"/>
        <v>14.604379468418438</v>
      </c>
      <c r="AL21" s="22">
        <f t="shared" si="4"/>
        <v>112.45603690749546</v>
      </c>
      <c r="AM21" s="60">
        <f t="shared" si="5"/>
        <v>391.12270357416213</v>
      </c>
      <c r="AN21" s="60">
        <f ca="1">AVERAGE(OFFSET($AM$3,0,0,'Données projet'!$E$10+1,1))-AVERAGE(OFFSET($H$3,0,0,'Données projet'!$E$10+1,1))</f>
        <v>299.28262372717484</v>
      </c>
      <c r="AO21" s="60">
        <f t="shared" si="36"/>
        <v>294.28794439094889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8.6</v>
      </c>
      <c r="BD21" s="13">
        <f>IF('Données projet'!$A$88&gt;35,BD20+BC21-BL20,IF(A21&lt;'Données projet'!$A$88,$BA$205^A21,IF(A21='Données projet'!$A$88,'Données projet'!$B$88,BD20+BC21-BL20)))</f>
        <v>62.800000000000004</v>
      </c>
      <c r="BE21" s="14">
        <f>BD21*VLOOKUP('Données projet'!$B$11,Paramètres!$A$1:$I$89,3,0)*VLOOKUP('Données projet'!$B$11,Paramètres!$A$1:$I$89,5,0)</f>
        <v>46.044960000000003</v>
      </c>
      <c r="BF21" s="14">
        <f t="shared" si="37"/>
        <v>13.587506612670687</v>
      </c>
      <c r="BG21" s="22">
        <f t="shared" si="7"/>
        <v>103.85987935040144</v>
      </c>
      <c r="BH21" s="60">
        <f t="shared" si="8"/>
        <v>382.52654601706814</v>
      </c>
      <c r="BI21" s="60">
        <f ca="1">AVERAGE(OFFSET($BH$3,0,0,'Données projet'!$E$11+1,1))-AVERAGE(OFFSET($H$3,0,0,'Données projet'!$E$11+1,1))</f>
        <v>278.61904724595763</v>
      </c>
      <c r="BJ21" s="60">
        <f t="shared" si="38"/>
        <v>274.55710362891892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0">
        <f t="shared" si="11"/>
        <v>399.22496218044483</v>
      </c>
      <c r="CD21" s="60">
        <f ca="1">AVERAGE(OFFSET($CC$3,0,0,'Données projet'!$E$12+1,1))-AVERAGE(OFFSET($H$3,0,0,'Données projet'!$E$12+1,1))</f>
        <v>292.57482726862594</v>
      </c>
      <c r="CE21" s="60">
        <f t="shared" si="40"/>
        <v>283.48738729114024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3.4358974358974361</v>
      </c>
      <c r="CT21" s="13">
        <f>IF('Données projet'!$A$140&gt;35,CT20+CS21-DB20,IF(A21&lt;'Données projet'!$A$140,$CQ$205^A21,IF(A21='Données projet'!$A$140,'Données projet'!$B$140,CT20+CS21-DB20)))</f>
        <v>16.139752389254127</v>
      </c>
      <c r="CU21" s="18">
        <f>CT21*VLOOKUP('Données projet'!$B$13,Paramètres!$A$1:$I$89,3,0)*VLOOKUP('Données projet'!$B$13,Paramètres!$A$1:$I$89,5,0)</f>
        <v>7.5534041181709313</v>
      </c>
      <c r="CV21" s="14">
        <f t="shared" si="41"/>
        <v>2.7509264109465743</v>
      </c>
      <c r="CW21" s="22">
        <f t="shared" si="13"/>
        <v>17.946709004879654</v>
      </c>
      <c r="CX21" s="60">
        <f t="shared" si="14"/>
        <v>296.61337567154635</v>
      </c>
      <c r="CY21" s="60">
        <f ca="1">AVERAGE(OFFSET($CX$3,0,0,'Données projet'!$E$13+1,1))-AVERAGE(OFFSET($H$3,0,0,'Données projet'!$E$13+1,1))</f>
        <v>246.64907095367749</v>
      </c>
      <c r="CZ21" s="60">
        <f t="shared" si="42"/>
        <v>145.34368562171613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</v>
      </c>
      <c r="DO21" s="13">
        <f>IF('Données projet'!$A$166&gt;35,DO20+DN21-DW20,IF(A21&lt;'Données projet'!$A$166,$DL$205^A21,IF(A21='Données projet'!$A$166,'Données projet'!$B$166,DO20+DN21-DW20)))</f>
        <v>79</v>
      </c>
      <c r="DP21" s="18">
        <f>DO21*VLOOKUP('Données projet'!$B$14,Paramètres!$A$1:$I$89,3,0)*VLOOKUP('Données projet'!$B$14,Paramètres!$A$1:$I$89,5,0)</f>
        <v>64.084800000000001</v>
      </c>
      <c r="DQ21" s="14">
        <f t="shared" si="43"/>
        <v>18.197042620605469</v>
      </c>
      <c r="DR21" s="22">
        <f t="shared" si="16"/>
        <v>143.30754256422119</v>
      </c>
      <c r="DS21" s="60">
        <f t="shared" si="17"/>
        <v>421.97420923088788</v>
      </c>
      <c r="DT21" s="60">
        <f ca="1">AVERAGE(OFFSET($DS$3,0,0,'Données projet'!$E$14+1,1))-AVERAGE(OFFSET($H$3,0,0,'Données projet'!$E$14+1,1))</f>
        <v>256.19915261735281</v>
      </c>
      <c r="DU21" s="60">
        <f t="shared" si="44"/>
        <v>297.47246687305056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351.72520722798015</v>
      </c>
      <c r="S22" s="60">
        <f ca="1">AVERAGE(OFFSET($R$3,0,0,'Données projet'!$E$9+1,1))-AVERAGE(OFFSET($H$3,0,0,'Données projet'!$E$9+1,1))</f>
        <v>428.8489304403459</v>
      </c>
      <c r="T22" s="60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8.6</v>
      </c>
      <c r="AI22" s="14">
        <f>IF('Données projet'!$A$62&gt;35,AI21+AH22-AQ21,IF(A22&lt;'Données projet'!$A$62,$AF$205^A22,IF(A22='Données projet'!$A$62,'Données projet'!$B$62,AI21+AH22-AQ21)))</f>
        <v>71.400000000000006</v>
      </c>
      <c r="AJ22" s="14">
        <f>AI22*VLOOKUP('Données projet'!$B$10,Paramètres!$A$1:$I$89,3,0)*VLOOKUP('Données projet'!$B$10,Paramètres!$A$1:$I$89,5,0)</f>
        <v>56.805840000000003</v>
      </c>
      <c r="AK22" s="14">
        <f t="shared" si="35"/>
        <v>16.358131967776131</v>
      </c>
      <c r="AL22" s="22">
        <f t="shared" si="4"/>
        <v>127.42725117721011</v>
      </c>
      <c r="AM22" s="60">
        <f t="shared" si="5"/>
        <v>407.31614006609897</v>
      </c>
      <c r="AN22" s="60">
        <f ca="1">AVERAGE(OFFSET($AM$3,0,0,'Données projet'!$E$10+1,1))-AVERAGE(OFFSET($H$3,0,0,'Données projet'!$E$10+1,1))</f>
        <v>299.28262372717484</v>
      </c>
      <c r="AO22" s="60">
        <f t="shared" si="36"/>
        <v>294.28794439094889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8.6</v>
      </c>
      <c r="BD22" s="13">
        <f>IF('Données projet'!$A$88&gt;35,BD21+BC22-BL21,IF(A22&lt;'Données projet'!$A$88,$BA$205^A22,IF(A22='Données projet'!$A$88,'Données projet'!$B$88,BD21+BC22-BL21)))</f>
        <v>71.400000000000006</v>
      </c>
      <c r="BE22" s="14">
        <f>BD22*VLOOKUP('Données projet'!$B$11,Paramètres!$A$1:$I$89,3,0)*VLOOKUP('Données projet'!$B$11,Paramètres!$A$1:$I$89,5,0)</f>
        <v>52.350480000000005</v>
      </c>
      <c r="BF22" s="14">
        <f t="shared" si="37"/>
        <v>15.219148938422377</v>
      </c>
      <c r="BG22" s="22">
        <f t="shared" si="7"/>
        <v>117.68377040108562</v>
      </c>
      <c r="BH22" s="60">
        <f t="shared" si="8"/>
        <v>397.57265928997447</v>
      </c>
      <c r="BI22" s="60">
        <f ca="1">AVERAGE(OFFSET($BH$3,0,0,'Données projet'!$E$11+1,1))-AVERAGE(OFFSET($H$3,0,0,'Données projet'!$E$11+1,1))</f>
        <v>278.61904724595763</v>
      </c>
      <c r="BJ22" s="60">
        <f t="shared" si="38"/>
        <v>274.55710362891892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0">
        <f t="shared" si="11"/>
        <v>416.80340877667129</v>
      </c>
      <c r="CD22" s="60">
        <f ca="1">AVERAGE(OFFSET($CC$3,0,0,'Données projet'!$E$12+1,1))-AVERAGE(OFFSET($H$3,0,0,'Données projet'!$E$12+1,1))</f>
        <v>292.57482726862594</v>
      </c>
      <c r="CE22" s="60">
        <f t="shared" si="40"/>
        <v>283.48738729114024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3.4358974358974361</v>
      </c>
      <c r="CT22" s="13">
        <f>IF('Données projet'!$A$140&gt;35,CT21+CS22-DB21,IF(A22&lt;'Données projet'!$A$140,$CQ$205^A22,IF(A22='Données projet'!$A$140,'Données projet'!$B$140,CT21+CS22-DB21)))</f>
        <v>18.836588447555499</v>
      </c>
      <c r="CU22" s="18">
        <f>CT22*VLOOKUP('Données projet'!$B$13,Paramètres!$A$1:$I$89,3,0)*VLOOKUP('Données projet'!$B$13,Paramètres!$A$1:$I$89,5,0)</f>
        <v>8.8155233934559742</v>
      </c>
      <c r="CV22" s="14">
        <f t="shared" si="41"/>
        <v>3.153358066176315</v>
      </c>
      <c r="CW22" s="22">
        <f t="shared" si="13"/>
        <v>20.845801875526238</v>
      </c>
      <c r="CX22" s="60">
        <f t="shared" si="14"/>
        <v>300.73469076441512</v>
      </c>
      <c r="CY22" s="60">
        <f ca="1">AVERAGE(OFFSET($CX$3,0,0,'Données projet'!$E$13+1,1))-AVERAGE(OFFSET($H$3,0,0,'Données projet'!$E$13+1,1))</f>
        <v>246.64907095367749</v>
      </c>
      <c r="CZ22" s="60">
        <f t="shared" si="42"/>
        <v>145.34368562171613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</v>
      </c>
      <c r="DO22" s="13">
        <f>IF('Données projet'!$A$166&gt;35,DO21+DN22-DW21,IF(A22&lt;'Données projet'!$A$166,$DL$205^A22,IF(A22='Données projet'!$A$166,'Données projet'!$B$166,DO21+DN22-DW21)))</f>
        <v>89</v>
      </c>
      <c r="DP22" s="18">
        <f>DO22*VLOOKUP('Données projet'!$B$14,Paramètres!$A$1:$I$89,3,0)*VLOOKUP('Données projet'!$B$14,Paramètres!$A$1:$I$89,5,0)</f>
        <v>72.19680000000001</v>
      </c>
      <c r="DQ22" s="14">
        <f t="shared" si="43"/>
        <v>20.218015459285922</v>
      </c>
      <c r="DR22" s="22">
        <f t="shared" si="16"/>
        <v>160.95580359158967</v>
      </c>
      <c r="DS22" s="60">
        <f t="shared" si="17"/>
        <v>440.84469248047856</v>
      </c>
      <c r="DT22" s="60">
        <f ca="1">AVERAGE(OFFSET($DS$3,0,0,'Données projet'!$E$14+1,1))-AVERAGE(OFFSET($H$3,0,0,'Données projet'!$E$14+1,1))</f>
        <v>256.19915261735281</v>
      </c>
      <c r="DU22" s="60">
        <f t="shared" si="44"/>
        <v>297.47246687305056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367.26962158162712</v>
      </c>
      <c r="S23" s="60">
        <f ca="1">AVERAGE(OFFSET($R$3,0,0,'Données projet'!$E$9+1,1))-AVERAGE(OFFSET($H$3,0,0,'Données projet'!$E$9+1,1))</f>
        <v>428.8489304403459</v>
      </c>
      <c r="T23" s="60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80</v>
      </c>
      <c r="AG23" s="13">
        <f>VLOOKUP(A23,'Données projet'!$A$61:$I$81,9,0)</f>
        <v>8.6</v>
      </c>
      <c r="AH23" s="13">
        <f t="array" ref="AH23">INDEX(AG:AG,MIN(IF(ISNUMBER(AG23:AG219),ROW(AG23:AG219),"")))</f>
        <v>8.6</v>
      </c>
      <c r="AI23" s="14">
        <f>IF('Données projet'!$A$62&gt;35,AI22+AH23-AQ22,IF(A23&lt;'Données projet'!$A$62,$AF$205^A23,IF(A23='Données projet'!$A$62,'Données projet'!$B$62,AI22+AH23-AQ22)))</f>
        <v>80</v>
      </c>
      <c r="AJ23" s="14">
        <f>AI23*VLOOKUP('Données projet'!$B$10,Paramètres!$A$1:$I$89,3,0)*VLOOKUP('Données projet'!$B$10,Paramètres!$A$1:$I$89,5,0)</f>
        <v>63.647999999999996</v>
      </c>
      <c r="AK23" s="14">
        <f t="shared" si="35"/>
        <v>18.087405707268363</v>
      </c>
      <c r="AL23" s="22">
        <f t="shared" si="4"/>
        <v>142.35583160682572</v>
      </c>
      <c r="AM23" s="60">
        <f t="shared" si="5"/>
        <v>423.46694271793683</v>
      </c>
      <c r="AN23" s="60">
        <f ca="1">AVERAGE(OFFSET($AM$3,0,0,'Données projet'!$E$10+1,1))-AVERAGE(OFFSET($H$3,0,0,'Données projet'!$E$10+1,1))</f>
        <v>299.28262372717484</v>
      </c>
      <c r="AO23" s="60">
        <f t="shared" si="36"/>
        <v>294.28794439094889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80</v>
      </c>
      <c r="BB23" s="13">
        <f>VLOOKUP(A23,'Données projet'!$A$87:$I$107,9,0)</f>
        <v>8.6</v>
      </c>
      <c r="BC23" s="13">
        <f t="array" ref="BC23">INDEX(BB:BB,MIN(IF(ISNUMBER(BB23:BB219),ROW(BB23:BB219),"")))</f>
        <v>8.6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58.655999999999992</v>
      </c>
      <c r="BF23" s="14">
        <f t="shared" si="37"/>
        <v>16.828016909929062</v>
      </c>
      <c r="BG23" s="22">
        <f t="shared" si="7"/>
        <v>131.46799611812642</v>
      </c>
      <c r="BH23" s="60">
        <f t="shared" si="8"/>
        <v>412.57910722923759</v>
      </c>
      <c r="BI23" s="60">
        <f ca="1">AVERAGE(OFFSET($BH$3,0,0,'Données projet'!$E$11+1,1))-AVERAGE(OFFSET($H$3,0,0,'Données projet'!$E$11+1,1))</f>
        <v>278.61904724595763</v>
      </c>
      <c r="BJ23" s="60">
        <f t="shared" si="38"/>
        <v>274.55710362891892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0">
        <f t="shared" si="11"/>
        <v>434.33482297725948</v>
      </c>
      <c r="CD23" s="60">
        <f ca="1">AVERAGE(OFFSET($CC$3,0,0,'Données projet'!$E$12+1,1))-AVERAGE(OFFSET($H$3,0,0,'Données projet'!$E$12+1,1))</f>
        <v>292.57482726862594</v>
      </c>
      <c r="CE23" s="60">
        <f t="shared" si="40"/>
        <v>283.48738729114024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3.4358974358974361</v>
      </c>
      <c r="CT23" s="13">
        <f>IF('Données projet'!$A$140&gt;35,CT22+CS23-DB22,IF(A23&lt;'Données projet'!$A$140,$CQ$205^A23,IF(A23='Données projet'!$A$140,'Données projet'!$B$140,CT22+CS23-DB22)))</f>
        <v>21.984046333871831</v>
      </c>
      <c r="CU23" s="18">
        <f>CT23*VLOOKUP('Données projet'!$B$13,Paramètres!$A$1:$I$89,3,0)*VLOOKUP('Données projet'!$B$13,Paramètres!$A$1:$I$89,5,0)</f>
        <v>10.288533684252016</v>
      </c>
      <c r="CV23" s="14">
        <f t="shared" si="41"/>
        <v>3.6146612479167253</v>
      </c>
      <c r="CW23" s="22">
        <f t="shared" si="13"/>
        <v>24.214731173527223</v>
      </c>
      <c r="CX23" s="60">
        <f t="shared" si="14"/>
        <v>305.32584228463838</v>
      </c>
      <c r="CY23" s="60">
        <f ca="1">AVERAGE(OFFSET($CX$3,0,0,'Données projet'!$E$13+1,1))-AVERAGE(OFFSET($H$3,0,0,'Données projet'!$E$13+1,1))</f>
        <v>246.64907095367749</v>
      </c>
      <c r="CZ23" s="60">
        <f t="shared" si="42"/>
        <v>145.34368562171613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99</v>
      </c>
      <c r="DM23" s="13">
        <f>VLOOKUP(A23,'Données projet'!$A$165:$I$185,9,0)</f>
        <v>10</v>
      </c>
      <c r="DN23" s="13">
        <f t="array" ref="DN23">INDEX(DM:DM,MIN(IF(ISNUMBER(DM23:DM219),ROW(DM23:DM219),"")))</f>
        <v>10</v>
      </c>
      <c r="DO23" s="13">
        <f>IF('Données projet'!$A$166&gt;35,DO22+DN23-DW22,IF(A23&lt;'Données projet'!$A$166,$DL$205^A23,IF(A23='Données projet'!$A$166,'Données projet'!$B$166,DO22+DN23-DW22)))</f>
        <v>99</v>
      </c>
      <c r="DP23" s="18">
        <f>DO23*VLOOKUP('Données projet'!$B$14,Paramètres!$A$1:$I$89,3,0)*VLOOKUP('Données projet'!$B$14,Paramètres!$A$1:$I$89,5,0)</f>
        <v>80.308800000000005</v>
      </c>
      <c r="DQ23" s="14">
        <f t="shared" si="43"/>
        <v>22.212670396389218</v>
      </c>
      <c r="DR23" s="22">
        <f t="shared" si="16"/>
        <v>178.55822760704453</v>
      </c>
      <c r="DS23" s="60">
        <f t="shared" si="17"/>
        <v>459.6693387181557</v>
      </c>
      <c r="DT23" s="60">
        <f ca="1">AVERAGE(OFFSET($DS$3,0,0,'Données projet'!$E$14+1,1))-AVERAGE(OFFSET($H$3,0,0,'Données projet'!$E$14+1,1))</f>
        <v>256.19915261735281</v>
      </c>
      <c r="DU23" s="60">
        <f t="shared" si="44"/>
        <v>297.47246687305056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379.65226125630295</v>
      </c>
      <c r="S24" s="60">
        <f ca="1">AVERAGE(OFFSET($R$3,0,0,'Données projet'!$E$9+1,1))-AVERAGE(OFFSET($H$3,0,0,'Données projet'!$E$9+1,1))</f>
        <v>428.8489304403459</v>
      </c>
      <c r="T24" s="60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15.6</v>
      </c>
      <c r="AI24" s="14">
        <f>IF('Données projet'!$A$62&gt;35,AI23+AH24-AQ23,IF(A24&lt;'Données projet'!$A$62,$AF$205^A24,IF(A24='Données projet'!$A$62,'Données projet'!$B$62,AI23+AH24-AQ23)))</f>
        <v>52.599999999999994</v>
      </c>
      <c r="AJ24" s="14">
        <f>AI24*VLOOKUP('Données projet'!$B$10,Paramètres!$A$1:$I$89,3,0)*VLOOKUP('Données projet'!$B$10,Paramètres!$A$1:$I$89,5,0)</f>
        <v>41.848559999999999</v>
      </c>
      <c r="AK24" s="14">
        <f t="shared" si="35"/>
        <v>12.487312237283449</v>
      </c>
      <c r="AL24" s="22">
        <f t="shared" si="4"/>
        <v>94.63497747993533</v>
      </c>
      <c r="AM24" s="60">
        <f t="shared" si="5"/>
        <v>376.96831081326866</v>
      </c>
      <c r="AN24" s="60">
        <f ca="1">AVERAGE(OFFSET($AM$3,0,0,'Données projet'!$E$10+1,1))-AVERAGE(OFFSET($H$3,0,0,'Données projet'!$E$10+1,1))</f>
        <v>299.28262372717484</v>
      </c>
      <c r="AO24" s="60">
        <f t="shared" si="36"/>
        <v>294.28794439094889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52.599999999999994</v>
      </c>
      <c r="BE24" s="14">
        <f>BD24*VLOOKUP('Données projet'!$B$11,Paramètres!$A$1:$I$89,3,0)*VLOOKUP('Données projet'!$B$11,Paramètres!$A$1:$I$89,5,0)</f>
        <v>38.56631999999999</v>
      </c>
      <c r="BF24" s="14">
        <f t="shared" si="37"/>
        <v>11.617846411446799</v>
      </c>
      <c r="BG24" s="22">
        <f t="shared" si="7"/>
        <v>87.404089833269822</v>
      </c>
      <c r="BH24" s="60">
        <f t="shared" si="8"/>
        <v>369.73742316660315</v>
      </c>
      <c r="BI24" s="60">
        <f ca="1">AVERAGE(OFFSET($BH$3,0,0,'Données projet'!$E$11+1,1))-AVERAGE(OFFSET($H$3,0,0,'Données projet'!$E$11+1,1))</f>
        <v>278.61904724595763</v>
      </c>
      <c r="BJ24" s="60">
        <f t="shared" si="38"/>
        <v>274.55710362891892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98.59999999999998</v>
      </c>
      <c r="BZ24" s="14">
        <f>BY24*VLOOKUP('Données projet'!$B$12,Paramètres!$A$1:$I$89,3,0)*VLOOKUP('Données projet'!$B$12,Paramètres!$A$1:$I$89,5,0)</f>
        <v>76.907999999999987</v>
      </c>
      <c r="CA24" s="14">
        <f t="shared" si="39"/>
        <v>21.379448490435635</v>
      </c>
      <c r="CB24" s="22">
        <f t="shared" si="10"/>
        <v>171.18397278750868</v>
      </c>
      <c r="CC24" s="60">
        <f t="shared" si="11"/>
        <v>453.51730612084202</v>
      </c>
      <c r="CD24" s="60">
        <f ca="1">AVERAGE(OFFSET($CC$3,0,0,'Données projet'!$E$12+1,1))-AVERAGE(OFFSET($H$3,0,0,'Données projet'!$E$12+1,1))</f>
        <v>292.57482726862594</v>
      </c>
      <c r="CE24" s="60">
        <f t="shared" si="40"/>
        <v>283.48738729114024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3.4358974358974361</v>
      </c>
      <c r="CT24" s="13">
        <f>IF('Données projet'!$A$140&gt;35,CT23+CS24-DB23,IF(A24&lt;'Données projet'!$A$140,$CQ$205^A24,IF(A24='Données projet'!$A$140,'Données projet'!$B$140,CT23+CS24-DB23)))</f>
        <v>25.657421701143715</v>
      </c>
      <c r="CU24" s="18">
        <f>CT24*VLOOKUP('Données projet'!$B$13,Paramètres!$A$1:$I$89,3,0)*VLOOKUP('Données projet'!$B$13,Paramètres!$A$1:$I$89,5,0)</f>
        <v>12.007673356135259</v>
      </c>
      <c r="CV24" s="14">
        <f t="shared" si="41"/>
        <v>4.1434482424744576</v>
      </c>
      <c r="CW24" s="22">
        <f t="shared" si="13"/>
        <v>28.129870117578587</v>
      </c>
      <c r="CX24" s="60">
        <f t="shared" si="14"/>
        <v>310.46320345091192</v>
      </c>
      <c r="CY24" s="60">
        <f ca="1">AVERAGE(OFFSET($CX$3,0,0,'Données projet'!$E$13+1,1))-AVERAGE(OFFSET($H$3,0,0,'Données projet'!$E$13+1,1))</f>
        <v>246.64907095367749</v>
      </c>
      <c r="CZ24" s="60">
        <f t="shared" si="42"/>
        <v>145.34368562171613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8.6</v>
      </c>
      <c r="DO24" s="13">
        <f>IF('Données projet'!$A$166&gt;35,DO23+DN24-DW23,IF(A24&lt;'Données projet'!$A$166,$DL$205^A24,IF(A24='Données projet'!$A$166,'Données projet'!$B$166,DO23+DN24-DW23)))</f>
        <v>67.599999999999994</v>
      </c>
      <c r="DP24" s="18">
        <f>DO24*VLOOKUP('Données projet'!$B$14,Paramètres!$A$1:$I$89,3,0)*VLOOKUP('Données projet'!$B$14,Paramètres!$A$1:$I$89,5,0)</f>
        <v>54.837120000000006</v>
      </c>
      <c r="DQ24" s="14">
        <f t="shared" si="43"/>
        <v>15.856174437579886</v>
      </c>
      <c r="DR24" s="22">
        <f t="shared" si="16"/>
        <v>123.12415447878497</v>
      </c>
      <c r="DS24" s="60">
        <f t="shared" si="17"/>
        <v>405.4574878121183</v>
      </c>
      <c r="DT24" s="60">
        <f ca="1">AVERAGE(OFFSET($DS$3,0,0,'Données projet'!$E$14+1,1))-AVERAGE(OFFSET($H$3,0,0,'Données projet'!$E$14+1,1))</f>
        <v>256.19915261735281</v>
      </c>
      <c r="DU24" s="60">
        <f t="shared" si="44"/>
        <v>297.47246687305056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392.00305746847613</v>
      </c>
      <c r="S25" s="60">
        <f ca="1">AVERAGE(OFFSET($R$3,0,0,'Données projet'!$E$9+1,1))-AVERAGE(OFFSET($H$3,0,0,'Données projet'!$E$9+1,1))</f>
        <v>428.8489304403459</v>
      </c>
      <c r="T25" s="60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15.6</v>
      </c>
      <c r="AI25" s="14">
        <f>IF('Données projet'!$A$62&gt;35,AI24+AH25-AQ24,IF(A25&lt;'Données projet'!$A$62,$AF$205^A25,IF(A25='Données projet'!$A$62,'Données projet'!$B$62,AI24+AH25-AQ24)))</f>
        <v>68.199999999999989</v>
      </c>
      <c r="AJ25" s="14">
        <f>AI25*VLOOKUP('Données projet'!$B$10,Paramètres!$A$1:$I$89,3,0)*VLOOKUP('Données projet'!$B$10,Paramètres!$A$1:$I$89,5,0)</f>
        <v>54.259919999999994</v>
      </c>
      <c r="AK25" s="14">
        <f t="shared" si="35"/>
        <v>15.708613019613548</v>
      </c>
      <c r="AL25" s="22">
        <f t="shared" si="4"/>
        <v>121.86186167582692</v>
      </c>
      <c r="AM25" s="60">
        <f t="shared" si="5"/>
        <v>405.41741723138244</v>
      </c>
      <c r="AN25" s="60">
        <f ca="1">AVERAGE(OFFSET($AM$3,0,0,'Données projet'!$E$10+1,1))-AVERAGE(OFFSET($H$3,0,0,'Données projet'!$E$10+1,1))</f>
        <v>299.28262372717484</v>
      </c>
      <c r="AO25" s="60">
        <f t="shared" si="36"/>
        <v>294.28794439094889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68.199999999999989</v>
      </c>
      <c r="BE25" s="14">
        <f>BD25*VLOOKUP('Données projet'!$B$11,Paramètres!$A$1:$I$89,3,0)*VLOOKUP('Données projet'!$B$11,Paramètres!$A$1:$I$89,5,0)</f>
        <v>50.004239999999996</v>
      </c>
      <c r="BF25" s="14">
        <f t="shared" si="37"/>
        <v>14.614854656539427</v>
      </c>
      <c r="BG25" s="22">
        <f t="shared" si="7"/>
        <v>112.54492319347281</v>
      </c>
      <c r="BH25" s="60">
        <f t="shared" si="8"/>
        <v>396.10047874902835</v>
      </c>
      <c r="BI25" s="60">
        <f ca="1">AVERAGE(OFFSET($BH$3,0,0,'Données projet'!$E$11+1,1))-AVERAGE(OFFSET($H$3,0,0,'Données projet'!$E$11+1,1))</f>
        <v>278.61904724595763</v>
      </c>
      <c r="BJ25" s="60">
        <f t="shared" si="38"/>
        <v>274.55710362891892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109.19999999999997</v>
      </c>
      <c r="BZ25" s="14">
        <f>BY25*VLOOKUP('Données projet'!$B$12,Paramètres!$A$1:$I$89,3,0)*VLOOKUP('Données projet'!$B$12,Paramètres!$A$1:$I$89,5,0)</f>
        <v>85.175999999999988</v>
      </c>
      <c r="CA25" s="14">
        <f t="shared" si="39"/>
        <v>23.398088487656434</v>
      </c>
      <c r="CB25" s="22">
        <f t="shared" si="10"/>
        <v>189.09987078266826</v>
      </c>
      <c r="CC25" s="60">
        <f t="shared" si="11"/>
        <v>472.65542633822383</v>
      </c>
      <c r="CD25" s="60">
        <f ca="1">AVERAGE(OFFSET($CC$3,0,0,'Données projet'!$E$12+1,1))-AVERAGE(OFFSET($H$3,0,0,'Données projet'!$E$12+1,1))</f>
        <v>292.57482726862594</v>
      </c>
      <c r="CE25" s="60">
        <f t="shared" si="40"/>
        <v>283.48738729114024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3.4358974358974361</v>
      </c>
      <c r="CT25" s="13">
        <f>IF('Données projet'!$A$140&gt;35,CT24+CS25-DB24,IF(A25&lt;'Données projet'!$A$140,$CQ$205^A25,IF(A25='Données projet'!$A$140,'Données projet'!$B$140,CT24+CS25-DB24)))</f>
        <v>29.944591562111224</v>
      </c>
      <c r="CU25" s="18">
        <f>CT25*VLOOKUP('Données projet'!$B$13,Paramètres!$A$1:$I$89,3,0)*VLOOKUP('Données projet'!$B$13,Paramètres!$A$1:$I$89,5,0)</f>
        <v>14.014068851068053</v>
      </c>
      <c r="CV25" s="14">
        <f t="shared" si="41"/>
        <v>4.749591223232712</v>
      </c>
      <c r="CW25" s="22">
        <f t="shared" si="13"/>
        <v>32.680041296073831</v>
      </c>
      <c r="CX25" s="60">
        <f t="shared" si="14"/>
        <v>316.2355968516294</v>
      </c>
      <c r="CY25" s="60">
        <f ca="1">AVERAGE(OFFSET($CX$3,0,0,'Données projet'!$E$13+1,1))-AVERAGE(OFFSET($H$3,0,0,'Données projet'!$E$13+1,1))</f>
        <v>246.64907095367749</v>
      </c>
      <c r="CZ25" s="60">
        <f t="shared" si="42"/>
        <v>145.34368562171613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8.6</v>
      </c>
      <c r="DO25" s="13">
        <f>IF('Données projet'!$A$166&gt;35,DO24+DN25-DW24,IF(A25&lt;'Données projet'!$A$166,$DL$205^A25,IF(A25='Données projet'!$A$166,'Données projet'!$B$166,DO24+DN25-DW24)))</f>
        <v>76.199999999999989</v>
      </c>
      <c r="DP25" s="18">
        <f>DO25*VLOOKUP('Données projet'!$B$14,Paramètres!$A$1:$I$89,3,0)*VLOOKUP('Données projet'!$B$14,Paramètres!$A$1:$I$89,5,0)</f>
        <v>61.813439999999993</v>
      </c>
      <c r="DQ25" s="14">
        <f t="shared" si="43"/>
        <v>17.625965961121132</v>
      </c>
      <c r="DR25" s="22">
        <f t="shared" si="16"/>
        <v>138.35696538228595</v>
      </c>
      <c r="DS25" s="60">
        <f t="shared" si="17"/>
        <v>421.91252093784146</v>
      </c>
      <c r="DT25" s="60">
        <f ca="1">AVERAGE(OFFSET($DS$3,0,0,'Données projet'!$E$14+1,1))-AVERAGE(OFFSET($H$3,0,0,'Données projet'!$E$14+1,1))</f>
        <v>256.19915261735281</v>
      </c>
      <c r="DU25" s="60">
        <f t="shared" si="44"/>
        <v>297.47246687305056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404.32574406333623</v>
      </c>
      <c r="S26" s="60">
        <f ca="1">AVERAGE(OFFSET($R$3,0,0,'Données projet'!$E$9+1,1))-AVERAGE(OFFSET($H$3,0,0,'Données projet'!$E$9+1,1))</f>
        <v>428.8489304403459</v>
      </c>
      <c r="T26" s="60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15.6</v>
      </c>
      <c r="AI26" s="14">
        <f>IF('Données projet'!$A$62&gt;35,AI25+AH26-AQ25,IF(A26&lt;'Données projet'!$A$62,$AF$205^A26,IF(A26='Données projet'!$A$62,'Données projet'!$B$62,AI25+AH26-AQ25)))</f>
        <v>83.799999999999983</v>
      </c>
      <c r="AJ26" s="14">
        <f>AI26*VLOOKUP('Données projet'!$B$10,Paramètres!$A$1:$I$89,3,0)*VLOOKUP('Données projet'!$B$10,Paramètres!$A$1:$I$89,5,0)</f>
        <v>66.671279999999996</v>
      </c>
      <c r="AK26" s="14">
        <f t="shared" si="35"/>
        <v>18.844489742729156</v>
      </c>
      <c r="AL26" s="22">
        <f t="shared" si="4"/>
        <v>148.93996563525323</v>
      </c>
      <c r="AM26" s="60">
        <f t="shared" si="5"/>
        <v>433.71774341303103</v>
      </c>
      <c r="AN26" s="60">
        <f ca="1">AVERAGE(OFFSET($AM$3,0,0,'Données projet'!$E$10+1,1))-AVERAGE(OFFSET($H$3,0,0,'Données projet'!$E$10+1,1))</f>
        <v>299.28262372717484</v>
      </c>
      <c r="AO26" s="60">
        <f t="shared" si="36"/>
        <v>294.28794439094889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83.799999999999983</v>
      </c>
      <c r="BE26" s="14">
        <f>BD26*VLOOKUP('Données projet'!$B$11,Paramètres!$A$1:$I$89,3,0)*VLOOKUP('Données projet'!$B$11,Paramètres!$A$1:$I$89,5,0)</f>
        <v>61.442159999999987</v>
      </c>
      <c r="BF26" s="14">
        <f t="shared" si="37"/>
        <v>17.53238674367763</v>
      </c>
      <c r="BG26" s="22">
        <f t="shared" si="7"/>
        <v>137.54733557857185</v>
      </c>
      <c r="BH26" s="60">
        <f t="shared" si="8"/>
        <v>422.32511335634962</v>
      </c>
      <c r="BI26" s="60">
        <f ca="1">AVERAGE(OFFSET($BH$3,0,0,'Données projet'!$E$11+1,1))-AVERAGE(OFFSET($H$3,0,0,'Données projet'!$E$11+1,1))</f>
        <v>278.61904724595763</v>
      </c>
      <c r="BJ26" s="60">
        <f t="shared" si="38"/>
        <v>274.55710362891892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119.79999999999997</v>
      </c>
      <c r="BZ26" s="14">
        <f>BY26*VLOOKUP('Données projet'!$B$12,Paramètres!$A$1:$I$89,3,0)*VLOOKUP('Données projet'!$B$12,Paramètres!$A$1:$I$89,5,0)</f>
        <v>93.443999999999974</v>
      </c>
      <c r="CA26" s="14">
        <f t="shared" si="39"/>
        <v>25.394010816431489</v>
      </c>
      <c r="CB26" s="22">
        <f t="shared" si="10"/>
        <v>206.97620217195148</v>
      </c>
      <c r="CC26" s="60">
        <f t="shared" si="11"/>
        <v>491.75397994972923</v>
      </c>
      <c r="CD26" s="60">
        <f ca="1">AVERAGE(OFFSET($CC$3,0,0,'Données projet'!$E$12+1,1))-AVERAGE(OFFSET($H$3,0,0,'Données projet'!$E$12+1,1))</f>
        <v>292.57482726862594</v>
      </c>
      <c r="CE26" s="60">
        <f t="shared" si="40"/>
        <v>283.48738729114024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3.4358974358974361</v>
      </c>
      <c r="CT26" s="13">
        <f>IF('Données projet'!$A$140&gt;35,CT25+CS26-DB25,IF(A26&lt;'Données projet'!$A$140,$CQ$205^A26,IF(A26='Données projet'!$A$140,'Données projet'!$B$140,CT25+CS26-DB25)))</f>
        <v>34.948116543670167</v>
      </c>
      <c r="CU26" s="18">
        <f>CT26*VLOOKUP('Données projet'!$B$13,Paramètres!$A$1:$I$89,3,0)*VLOOKUP('Données projet'!$B$13,Paramètres!$A$1:$I$89,5,0)</f>
        <v>16.355718542437639</v>
      </c>
      <c r="CV26" s="14">
        <f t="shared" si="41"/>
        <v>5.4444065589044843</v>
      </c>
      <c r="CW26" s="22">
        <f t="shared" si="13"/>
        <v>37.968551218170866</v>
      </c>
      <c r="CX26" s="60">
        <f t="shared" si="14"/>
        <v>322.74632899594866</v>
      </c>
      <c r="CY26" s="60">
        <f ca="1">AVERAGE(OFFSET($CX$3,0,0,'Données projet'!$E$13+1,1))-AVERAGE(OFFSET($H$3,0,0,'Données projet'!$E$13+1,1))</f>
        <v>246.64907095367749</v>
      </c>
      <c r="CZ26" s="60">
        <f t="shared" si="42"/>
        <v>145.34368562171613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8.6</v>
      </c>
      <c r="DO26" s="13">
        <f>IF('Données projet'!$A$166&gt;35,DO25+DN26-DW25,IF(A26&lt;'Données projet'!$A$166,$DL$205^A26,IF(A26='Données projet'!$A$166,'Données projet'!$B$166,DO25+DN26-DW25)))</f>
        <v>84.799999999999983</v>
      </c>
      <c r="DP26" s="18">
        <f>DO26*VLOOKUP('Données projet'!$B$14,Paramètres!$A$1:$I$89,3,0)*VLOOKUP('Données projet'!$B$14,Paramètres!$A$1:$I$89,5,0)</f>
        <v>68.789759999999987</v>
      </c>
      <c r="DQ26" s="14">
        <f t="shared" si="43"/>
        <v>19.372607944380292</v>
      </c>
      <c r="DR26" s="22">
        <f t="shared" si="16"/>
        <v>153.54945750312899</v>
      </c>
      <c r="DS26" s="60">
        <f t="shared" si="17"/>
        <v>438.32723528090673</v>
      </c>
      <c r="DT26" s="60">
        <f ca="1">AVERAGE(OFFSET($DS$3,0,0,'Données projet'!$E$14+1,1))-AVERAGE(OFFSET($H$3,0,0,'Données projet'!$E$14+1,1))</f>
        <v>256.19915261735281</v>
      </c>
      <c r="DU26" s="60">
        <f t="shared" si="44"/>
        <v>297.47246687305056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416.62330272297186</v>
      </c>
      <c r="S27" s="60">
        <f ca="1">AVERAGE(OFFSET($R$3,0,0,'Données projet'!$E$9+1,1))-AVERAGE(OFFSET($H$3,0,0,'Données projet'!$E$9+1,1))</f>
        <v>428.8489304403459</v>
      </c>
      <c r="T27" s="60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15.6</v>
      </c>
      <c r="AI27" s="14">
        <f>IF('Données projet'!$A$62&gt;35,AI26+AH27-AQ26,IF(A27&lt;'Données projet'!$A$62,$AF$205^A27,IF(A27='Données projet'!$A$62,'Données projet'!$B$62,AI26+AH27-AQ26)))</f>
        <v>99.399999999999977</v>
      </c>
      <c r="AJ27" s="14">
        <f>AI27*VLOOKUP('Données projet'!$B$10,Paramètres!$A$1:$I$89,3,0)*VLOOKUP('Données projet'!$B$10,Paramètres!$A$1:$I$89,5,0)</f>
        <v>79.082639999999984</v>
      </c>
      <c r="AK27" s="14">
        <f t="shared" si="35"/>
        <v>21.912734504175745</v>
      </c>
      <c r="AL27" s="22">
        <f t="shared" si="4"/>
        <v>175.90027726143936</v>
      </c>
      <c r="AM27" s="60">
        <f t="shared" si="5"/>
        <v>461.90027726143933</v>
      </c>
      <c r="AN27" s="60">
        <f ca="1">AVERAGE(OFFSET($AM$3,0,0,'Données projet'!$E$10+1,1))-AVERAGE(OFFSET($H$3,0,0,'Données projet'!$E$10+1,1))</f>
        <v>299.28262372717484</v>
      </c>
      <c r="AO27" s="60">
        <f t="shared" si="36"/>
        <v>294.28794439094889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99.399999999999977</v>
      </c>
      <c r="BE27" s="14">
        <f>BD27*VLOOKUP('Données projet'!$B$11,Paramètres!$A$1:$I$89,3,0)*VLOOKUP('Données projet'!$B$11,Paramètres!$A$1:$I$89,5,0)</f>
        <v>72.880079999999992</v>
      </c>
      <c r="BF27" s="14">
        <f t="shared" si="37"/>
        <v>20.386995943308538</v>
      </c>
      <c r="BG27" s="22">
        <f t="shared" si="7"/>
        <v>162.44015726792901</v>
      </c>
      <c r="BH27" s="60">
        <f t="shared" si="8"/>
        <v>448.44015726792901</v>
      </c>
      <c r="BI27" s="60">
        <f ca="1">AVERAGE(OFFSET($BH$3,0,0,'Données projet'!$E$11+1,1))-AVERAGE(OFFSET($H$3,0,0,'Données projet'!$E$11+1,1))</f>
        <v>278.61904724595763</v>
      </c>
      <c r="BJ27" s="60">
        <f t="shared" si="38"/>
        <v>274.55710362891892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101.71199999999999</v>
      </c>
      <c r="CA27" s="14">
        <f t="shared" si="39"/>
        <v>27.369454120725656</v>
      </c>
      <c r="CB27" s="22">
        <f t="shared" si="10"/>
        <v>224.81686592693052</v>
      </c>
      <c r="CC27" s="60">
        <f t="shared" si="11"/>
        <v>510.81686592693052</v>
      </c>
      <c r="CD27" s="60">
        <f ca="1">AVERAGE(OFFSET($CC$3,0,0,'Données projet'!$E$12+1,1))-AVERAGE(OFFSET($H$3,0,0,'Données projet'!$E$12+1,1))</f>
        <v>292.57482726862594</v>
      </c>
      <c r="CE27" s="60">
        <f t="shared" si="40"/>
        <v>283.48738729114024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3.4358974358974361</v>
      </c>
      <c r="CT27" s="13">
        <f>IF('Données projet'!$A$140&gt;35,CT26+CS27-DB26,IF(A27&lt;'Données projet'!$A$140,$CQ$205^A27,IF(A27='Données projet'!$A$140,'Données projet'!$B$140,CT26+CS27-DB26)))</f>
        <v>40.787694412748245</v>
      </c>
      <c r="CU27" s="18">
        <f>CT27*VLOOKUP('Données projet'!$B$13,Paramètres!$A$1:$I$89,3,0)*VLOOKUP('Données projet'!$B$13,Paramètres!$A$1:$I$89,5,0)</f>
        <v>19.08864098516618</v>
      </c>
      <c r="CV27" s="14">
        <f t="shared" si="41"/>
        <v>6.2408660841484478</v>
      </c>
      <c r="CW27" s="22">
        <f t="shared" si="13"/>
        <v>44.115558145722979</v>
      </c>
      <c r="CX27" s="60">
        <f t="shared" si="14"/>
        <v>330.11555814572296</v>
      </c>
      <c r="CY27" s="60">
        <f ca="1">AVERAGE(OFFSET($CX$3,0,0,'Données projet'!$E$13+1,1))-AVERAGE(OFFSET($H$3,0,0,'Données projet'!$E$13+1,1))</f>
        <v>246.64907095367749</v>
      </c>
      <c r="CZ27" s="60">
        <f t="shared" si="42"/>
        <v>145.34368562171613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8.6</v>
      </c>
      <c r="DO27" s="13">
        <f>IF('Données projet'!$A$166&gt;35,DO26+DN27-DW26,IF(A27&lt;'Données projet'!$A$166,$DL$205^A27,IF(A27='Données projet'!$A$166,'Données projet'!$B$166,DO26+DN27-DW26)))</f>
        <v>93.399999999999977</v>
      </c>
      <c r="DP27" s="18">
        <f>DO27*VLOOKUP('Données projet'!$B$14,Paramètres!$A$1:$I$89,3,0)*VLOOKUP('Données projet'!$B$14,Paramètres!$A$1:$I$89,5,0)</f>
        <v>75.766079999999988</v>
      </c>
      <c r="DQ27" s="14">
        <f t="shared" si="43"/>
        <v>21.09871541273251</v>
      </c>
      <c r="DR27" s="22">
        <f t="shared" si="16"/>
        <v>168.70618534384241</v>
      </c>
      <c r="DS27" s="60">
        <f t="shared" si="17"/>
        <v>454.70618534384244</v>
      </c>
      <c r="DT27" s="60">
        <f ca="1">AVERAGE(OFFSET($DS$3,0,0,'Données projet'!$E$14+1,1))-AVERAGE(OFFSET($H$3,0,0,'Données projet'!$E$14+1,1))</f>
        <v>256.19915261735281</v>
      </c>
      <c r="DU27" s="60">
        <f t="shared" si="44"/>
        <v>297.47246687305056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428.89816692885358</v>
      </c>
      <c r="S28" s="60">
        <f ca="1">AVERAGE(OFFSET($R$3,0,0,'Données projet'!$E$9+1,1))-AVERAGE(OFFSET($H$3,0,0,'Données projet'!$E$9+1,1))</f>
        <v>428.8489304403459</v>
      </c>
      <c r="T28" s="60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115</v>
      </c>
      <c r="AG28" s="13">
        <f>VLOOKUP(A28,'Données projet'!$A$61:$I$81,9,0)</f>
        <v>15.6</v>
      </c>
      <c r="AH28" s="13">
        <f t="array" ref="AH28">INDEX(AG:AG,MIN(IF(ISNUMBER(AG28:AG224),ROW(AG28:AG224),"")))</f>
        <v>15.6</v>
      </c>
      <c r="AI28" s="14">
        <f>IF('Données projet'!$A$62&gt;35,AI27+AH28-AQ27,IF(A28&lt;'Données projet'!$A$62,$AF$205^A28,IF(A28='Données projet'!$A$62,'Données projet'!$B$62,AI27+AH28-AQ27)))</f>
        <v>114.99999999999997</v>
      </c>
      <c r="AJ28" s="14">
        <f>AI28*VLOOKUP('Données projet'!$B$10,Paramètres!$A$1:$I$89,3,0)*VLOOKUP('Données projet'!$B$10,Paramètres!$A$1:$I$89,5,0)</f>
        <v>91.493999999999986</v>
      </c>
      <c r="AK28" s="14">
        <f t="shared" si="35"/>
        <v>24.925195840896517</v>
      </c>
      <c r="AL28" s="22">
        <f t="shared" si="4"/>
        <v>202.76343275622807</v>
      </c>
      <c r="AM28" s="60">
        <f t="shared" si="5"/>
        <v>489.98565497845027</v>
      </c>
      <c r="AN28" s="60">
        <f ca="1">AVERAGE(OFFSET($AM$3,0,0,'Données projet'!$E$10+1,1))-AVERAGE(OFFSET($H$3,0,0,'Données projet'!$E$10+1,1))</f>
        <v>299.28262372717484</v>
      </c>
      <c r="AO28" s="60">
        <f t="shared" si="36"/>
        <v>294.28794439094889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84.317999999999969</v>
      </c>
      <c r="BF28" s="14">
        <f t="shared" si="37"/>
        <v>23.189705803157239</v>
      </c>
      <c r="BG28" s="22">
        <f t="shared" si="7"/>
        <v>187.24258760716546</v>
      </c>
      <c r="BH28" s="60">
        <f t="shared" si="8"/>
        <v>474.46480982938772</v>
      </c>
      <c r="BI28" s="60">
        <f ca="1">AVERAGE(OFFSET($BH$3,0,0,'Données projet'!$E$11+1,1))-AVERAGE(OFFSET($H$3,0,0,'Données projet'!$E$11+1,1))</f>
        <v>278.61904724595763</v>
      </c>
      <c r="BJ28" s="60">
        <f t="shared" si="38"/>
        <v>274.55710362891892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109.97999999999998</v>
      </c>
      <c r="CA28" s="14">
        <f t="shared" si="39"/>
        <v>29.326272366698234</v>
      </c>
      <c r="CB28" s="22">
        <f t="shared" si="10"/>
        <v>242.62509103866606</v>
      </c>
      <c r="CC28" s="60">
        <f t="shared" si="11"/>
        <v>529.84731326088831</v>
      </c>
      <c r="CD28" s="60">
        <f ca="1">AVERAGE(OFFSET($CC$3,0,0,'Données projet'!$E$12+1,1))-AVERAGE(OFFSET($H$3,0,0,'Données projet'!$E$12+1,1))</f>
        <v>292.57482726862594</v>
      </c>
      <c r="CE28" s="60">
        <f t="shared" si="40"/>
        <v>283.48738729114024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3.4358974358974361</v>
      </c>
      <c r="CT28" s="13">
        <f>IF('Données projet'!$A$140&gt;35,CT27+CS28-DB27,IF(A28&lt;'Données projet'!$A$140,$CQ$205^A28,IF(A28='Données projet'!$A$140,'Données projet'!$B$140,CT27+CS28-DB27)))</f>
        <v>47.603023568635017</v>
      </c>
      <c r="CU28" s="18">
        <f>CT28*VLOOKUP('Données projet'!$B$13,Paramètres!$A$1:$I$89,3,0)*VLOOKUP('Données projet'!$B$13,Paramètres!$A$1:$I$89,5,0)</f>
        <v>22.278215030121189</v>
      </c>
      <c r="CV28" s="14">
        <f t="shared" si="41"/>
        <v>7.1538392768580321</v>
      </c>
      <c r="CW28" s="22">
        <f t="shared" si="13"/>
        <v>51.260827917988813</v>
      </c>
      <c r="CX28" s="60">
        <f t="shared" si="14"/>
        <v>338.48305014021105</v>
      </c>
      <c r="CY28" s="60">
        <f ca="1">AVERAGE(OFFSET($CX$3,0,0,'Données projet'!$E$13+1,1))-AVERAGE(OFFSET($H$3,0,0,'Données projet'!$E$13+1,1))</f>
        <v>246.64907095367749</v>
      </c>
      <c r="CZ28" s="60">
        <f t="shared" si="42"/>
        <v>145.34368562171613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102</v>
      </c>
      <c r="DM28" s="13">
        <f>VLOOKUP(A28,'Données projet'!$A$165:$I$185,9,0)</f>
        <v>8.6</v>
      </c>
      <c r="DN28" s="13">
        <f t="array" ref="DN28">INDEX(DM:DM,MIN(IF(ISNUMBER(DM28:DM224),ROW(DM28:DM224),"")))</f>
        <v>8.6</v>
      </c>
      <c r="DO28" s="13">
        <f>IF('Données projet'!$A$166&gt;35,DO27+DN28-DW27,IF(A28&lt;'Données projet'!$A$166,$DL$205^A28,IF(A28='Données projet'!$A$166,'Données projet'!$B$166,DO27+DN28-DW27)))</f>
        <v>101.99999999999997</v>
      </c>
      <c r="DP28" s="18">
        <f>DO28*VLOOKUP('Données projet'!$B$14,Paramètres!$A$1:$I$89,3,0)*VLOOKUP('Données projet'!$B$14,Paramètres!$A$1:$I$89,5,0)</f>
        <v>82.742399999999975</v>
      </c>
      <c r="DQ28" s="14">
        <f t="shared" si="43"/>
        <v>22.806394174303183</v>
      </c>
      <c r="DR28" s="22">
        <f t="shared" si="16"/>
        <v>183.83081652024464</v>
      </c>
      <c r="DS28" s="60">
        <f t="shared" si="17"/>
        <v>471.05303874246687</v>
      </c>
      <c r="DT28" s="60">
        <f ca="1">AVERAGE(OFFSET($DS$3,0,0,'Données projet'!$E$14+1,1))-AVERAGE(OFFSET($H$3,0,0,'Données projet'!$E$14+1,1))</f>
        <v>256.19915261735281</v>
      </c>
      <c r="DU28" s="60">
        <f t="shared" si="44"/>
        <v>297.47246687305056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443.90732670063346</v>
      </c>
      <c r="S29" s="60">
        <f ca="1">AVERAGE(OFFSET($R$3,0,0,'Données projet'!$E$9+1,1))-AVERAGE(OFFSET($H$3,0,0,'Données projet'!$E$9+1,1))</f>
        <v>428.8489304403459</v>
      </c>
      <c r="T29" s="60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6.4</v>
      </c>
      <c r="AI29" s="14">
        <f>IF('Données projet'!$A$62&gt;35,AI28+AH29-AQ28,IF(A29&lt;'Données projet'!$A$62,$AF$205^A29,IF(A29='Données projet'!$A$62,'Données projet'!$B$62,AI28+AH29-AQ28)))</f>
        <v>121.39999999999998</v>
      </c>
      <c r="AJ29" s="14">
        <f>AI29*VLOOKUP('Données projet'!$B$10,Paramètres!$A$1:$I$89,3,0)*VLOOKUP('Données projet'!$B$10,Paramètres!$A$1:$I$89,5,0)</f>
        <v>96.58583999999999</v>
      </c>
      <c r="AK29" s="14">
        <f t="shared" si="35"/>
        <v>26.146983882464014</v>
      </c>
      <c r="AL29" s="22">
        <f t="shared" si="4"/>
        <v>213.75966826195815</v>
      </c>
      <c r="AM29" s="60">
        <f t="shared" si="5"/>
        <v>502.20411270640261</v>
      </c>
      <c r="AN29" s="60">
        <f ca="1">AVERAGE(OFFSET($AM$3,0,0,'Données projet'!$E$10+1,1))-AVERAGE(OFFSET($H$3,0,0,'Données projet'!$E$10+1,1))</f>
        <v>299.28262372717484</v>
      </c>
      <c r="AO29" s="60">
        <f t="shared" si="36"/>
        <v>294.28794439094889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6.4</v>
      </c>
      <c r="BD29" s="13">
        <f>IF('Données projet'!$A$88&gt;35,BD28+BC29-BL28,IF(A29&lt;'Données projet'!$A$88,$BA$205^A29,IF(A29='Données projet'!$A$88,'Données projet'!$B$88,BD28+BC29-BL28)))</f>
        <v>121.39999999999998</v>
      </c>
      <c r="BE29" s="14">
        <f>BD29*VLOOKUP('Données projet'!$B$11,Paramètres!$A$1:$I$89,3,0)*VLOOKUP('Données projet'!$B$11,Paramètres!$A$1:$I$89,5,0)</f>
        <v>89.010479999999987</v>
      </c>
      <c r="BF29" s="14">
        <f t="shared" si="37"/>
        <v>24.326423260408991</v>
      </c>
      <c r="BG29" s="22">
        <f t="shared" si="7"/>
        <v>197.39510651187894</v>
      </c>
      <c r="BH29" s="60">
        <f t="shared" si="8"/>
        <v>485.83955095632336</v>
      </c>
      <c r="BI29" s="60">
        <f ca="1">AVERAGE(OFFSET($BH$3,0,0,'Données projet'!$E$11+1,1))-AVERAGE(OFFSET($H$3,0,0,'Données projet'!$E$11+1,1))</f>
        <v>278.61904724595763</v>
      </c>
      <c r="BJ29" s="60">
        <f t="shared" si="38"/>
        <v>274.55710362891892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0">
        <f t="shared" si="11"/>
        <v>457.76677132916603</v>
      </c>
      <c r="CD29" s="60">
        <f ca="1">AVERAGE(OFFSET($CC$3,0,0,'Données projet'!$E$12+1,1))-AVERAGE(OFFSET($H$3,0,0,'Données projet'!$E$12+1,1))</f>
        <v>292.57482726862594</v>
      </c>
      <c r="CE29" s="60">
        <f t="shared" si="40"/>
        <v>283.48738729114024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3.4358974358974361</v>
      </c>
      <c r="CT29" s="13">
        <f>IF('Données projet'!$A$140&gt;35,CT28+CS29-DB28,IF(A29&lt;'Données projet'!$A$140,$CQ$205^A29,IF(A29='Données projet'!$A$140,'Données projet'!$B$140,CT28+CS29-DB28)))</f>
        <v>55.557145004199242</v>
      </c>
      <c r="CU29" s="18">
        <f>CT29*VLOOKUP('Données projet'!$B$13,Paramètres!$A$1:$I$89,3,0)*VLOOKUP('Données projet'!$B$13,Paramètres!$A$1:$I$89,5,0)</f>
        <v>26.000743861965244</v>
      </c>
      <c r="CV29" s="14">
        <f t="shared" si="41"/>
        <v>8.2003708634455794</v>
      </c>
      <c r="CW29" s="22">
        <f t="shared" si="13"/>
        <v>59.56694148009052</v>
      </c>
      <c r="CX29" s="60">
        <f t="shared" si="14"/>
        <v>348.01138592453498</v>
      </c>
      <c r="CY29" s="60">
        <f ca="1">AVERAGE(OFFSET($CX$3,0,0,'Données projet'!$E$13+1,1))-AVERAGE(OFFSET($H$3,0,0,'Données projet'!$E$13+1,1))</f>
        <v>246.64907095367749</v>
      </c>
      <c r="CZ29" s="60">
        <f t="shared" si="42"/>
        <v>145.34368562171613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8.8000000000000007</v>
      </c>
      <c r="DO29" s="13">
        <f>IF('Données projet'!$A$166&gt;35,DO28+DN29-DW28,IF(A29&lt;'Données projet'!$A$166,$DL$205^A29,IF(A29='Données projet'!$A$166,'Données projet'!$B$166,DO28+DN29-DW28)))</f>
        <v>110.79999999999997</v>
      </c>
      <c r="DP29" s="18">
        <f>DO29*VLOOKUP('Données projet'!$B$14,Paramètres!$A$1:$I$89,3,0)*VLOOKUP('Données projet'!$B$14,Paramètres!$A$1:$I$89,5,0)</f>
        <v>89.880959999999973</v>
      </c>
      <c r="DQ29" s="14">
        <f t="shared" si="43"/>
        <v>24.536513201257339</v>
      </c>
      <c r="DR29" s="22">
        <f t="shared" si="16"/>
        <v>199.27709915885649</v>
      </c>
      <c r="DS29" s="60">
        <f t="shared" si="17"/>
        <v>487.72154360330092</v>
      </c>
      <c r="DT29" s="60">
        <f ca="1">AVERAGE(OFFSET($DS$3,0,0,'Données projet'!$E$14+1,1))-AVERAGE(OFFSET($H$3,0,0,'Données projet'!$E$14+1,1))</f>
        <v>256.19915261735281</v>
      </c>
      <c r="DU29" s="60">
        <f t="shared" si="44"/>
        <v>297.47246687305056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458.88743540273413</v>
      </c>
      <c r="S30" s="60">
        <f ca="1">AVERAGE(OFFSET($R$3,0,0,'Données projet'!$E$9+1,1))-AVERAGE(OFFSET($H$3,0,0,'Données projet'!$E$9+1,1))</f>
        <v>428.8489304403459</v>
      </c>
      <c r="T30" s="60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6.4</v>
      </c>
      <c r="AI30" s="14">
        <f>IF('Données projet'!$A$62&gt;35,AI29+AH30-AQ29,IF(A30&lt;'Données projet'!$A$62,$AF$205^A30,IF(A30='Données projet'!$A$62,'Données projet'!$B$62,AI29+AH30-AQ29)))</f>
        <v>127.79999999999998</v>
      </c>
      <c r="AJ30" s="14">
        <f>AI30*VLOOKUP('Données projet'!$B$10,Paramètres!$A$1:$I$89,3,0)*VLOOKUP('Données projet'!$B$10,Paramètres!$A$1:$I$89,5,0)</f>
        <v>101.67768</v>
      </c>
      <c r="AK30" s="14">
        <f t="shared" si="35"/>
        <v>27.361293833270413</v>
      </c>
      <c r="AL30" s="22">
        <f t="shared" si="4"/>
        <v>224.74287942627927</v>
      </c>
      <c r="AM30" s="60">
        <f t="shared" si="5"/>
        <v>514.4095460929459</v>
      </c>
      <c r="AN30" s="60">
        <f ca="1">AVERAGE(OFFSET($AM$3,0,0,'Données projet'!$E$10+1,1))-AVERAGE(OFFSET($H$3,0,0,'Données projet'!$E$10+1,1))</f>
        <v>299.28262372717484</v>
      </c>
      <c r="AO30" s="60">
        <f t="shared" si="36"/>
        <v>294.28794439094889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6.4</v>
      </c>
      <c r="BD30" s="13">
        <f>IF('Données projet'!$A$88&gt;35,BD29+BC30-BL29,IF(A30&lt;'Données projet'!$A$88,$BA$205^A30,IF(A30='Données projet'!$A$88,'Données projet'!$B$88,BD29+BC30-BL29)))</f>
        <v>127.79999999999998</v>
      </c>
      <c r="BE30" s="14">
        <f>BD30*VLOOKUP('Données projet'!$B$11,Paramètres!$A$1:$I$89,3,0)*VLOOKUP('Données projet'!$B$11,Paramètres!$A$1:$I$89,5,0)</f>
        <v>93.70295999999999</v>
      </c>
      <c r="BF30" s="14">
        <f t="shared" si="37"/>
        <v>25.456183310953627</v>
      </c>
      <c r="BG30" s="22">
        <f t="shared" si="7"/>
        <v>207.53550793324425</v>
      </c>
      <c r="BH30" s="60">
        <f t="shared" si="8"/>
        <v>497.2021745999109</v>
      </c>
      <c r="BI30" s="60">
        <f ca="1">AVERAGE(OFFSET($BH$3,0,0,'Données projet'!$E$11+1,1))-AVERAGE(OFFSET($H$3,0,0,'Données projet'!$E$11+1,1))</f>
        <v>278.61904724595763</v>
      </c>
      <c r="BJ30" s="60">
        <f t="shared" si="38"/>
        <v>274.55710362891892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0">
        <f t="shared" si="11"/>
        <v>478.42888137395715</v>
      </c>
      <c r="CD30" s="60">
        <f ca="1">AVERAGE(OFFSET($CC$3,0,0,'Données projet'!$E$12+1,1))-AVERAGE(OFFSET($H$3,0,0,'Données projet'!$E$12+1,1))</f>
        <v>292.57482726862594</v>
      </c>
      <c r="CE30" s="60">
        <f t="shared" si="40"/>
        <v>283.48738729114024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3.4358974358974361</v>
      </c>
      <c r="CT30" s="13">
        <f>IF('Données projet'!$A$140&gt;35,CT29+CS30-DB29,IF(A30&lt;'Données projet'!$A$140,$CQ$205^A30,IF(A30='Données projet'!$A$140,'Données projet'!$B$140,CT29+CS30-DB29)))</f>
        <v>64.840342684688977</v>
      </c>
      <c r="CU30" s="18">
        <f>CT30*VLOOKUP('Données projet'!$B$13,Paramètres!$A$1:$I$89,3,0)*VLOOKUP('Données projet'!$B$13,Paramètres!$A$1:$I$89,5,0)</f>
        <v>30.345280376434442</v>
      </c>
      <c r="CV30" s="14">
        <f t="shared" si="41"/>
        <v>9.3999990348653313</v>
      </c>
      <c r="CW30" s="22">
        <f t="shared" si="13"/>
        <v>69.223028308013781</v>
      </c>
      <c r="CX30" s="60">
        <f t="shared" si="14"/>
        <v>358.88969497468048</v>
      </c>
      <c r="CY30" s="60">
        <f ca="1">AVERAGE(OFFSET($CX$3,0,0,'Données projet'!$E$13+1,1))-AVERAGE(OFFSET($H$3,0,0,'Données projet'!$E$13+1,1))</f>
        <v>246.64907095367749</v>
      </c>
      <c r="CZ30" s="60">
        <f t="shared" si="42"/>
        <v>145.34368562171613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8.8000000000000007</v>
      </c>
      <c r="DO30" s="13">
        <f>IF('Données projet'!$A$166&gt;35,DO29+DN30-DW29,IF(A30&lt;'Données projet'!$A$166,$DL$205^A30,IF(A30='Données projet'!$A$166,'Données projet'!$B$166,DO29+DN30-DW29)))</f>
        <v>119.59999999999997</v>
      </c>
      <c r="DP30" s="18">
        <f>DO30*VLOOKUP('Données projet'!$B$14,Paramètres!$A$1:$I$89,3,0)*VLOOKUP('Données projet'!$B$14,Paramètres!$A$1:$I$89,5,0)</f>
        <v>97.019519999999986</v>
      </c>
      <c r="DQ30" s="14">
        <f t="shared" si="43"/>
        <v>26.250693712468323</v>
      </c>
      <c r="DR30" s="22">
        <f t="shared" si="16"/>
        <v>214.69562221588228</v>
      </c>
      <c r="DS30" s="60">
        <f t="shared" si="17"/>
        <v>504.36228888254897</v>
      </c>
      <c r="DT30" s="60">
        <f ca="1">AVERAGE(OFFSET($DS$3,0,0,'Données projet'!$E$14+1,1))-AVERAGE(OFFSET($H$3,0,0,'Données projet'!$E$14+1,1))</f>
        <v>256.19915261735281</v>
      </c>
      <c r="DU30" s="60">
        <f t="shared" si="44"/>
        <v>297.47246687305056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473.84118919501418</v>
      </c>
      <c r="S31" s="60">
        <f ca="1">AVERAGE(OFFSET($R$3,0,0,'Données projet'!$E$9+1,1))-AVERAGE(OFFSET($H$3,0,0,'Données projet'!$E$9+1,1))</f>
        <v>428.8489304403459</v>
      </c>
      <c r="T31" s="60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6.4</v>
      </c>
      <c r="AI31" s="14">
        <f>IF('Données projet'!$A$62&gt;35,AI30+AH31-AQ30,IF(A31&lt;'Données projet'!$A$62,$AF$205^A31,IF(A31='Données projet'!$A$62,'Données projet'!$B$62,AI30+AH31-AQ30)))</f>
        <v>134.19999999999999</v>
      </c>
      <c r="AJ31" s="14">
        <f>AI31*VLOOKUP('Données projet'!$B$10,Paramètres!$A$1:$I$89,3,0)*VLOOKUP('Données projet'!$B$10,Paramètres!$A$1:$I$89,5,0)</f>
        <v>106.76951999999999</v>
      </c>
      <c r="AK31" s="14">
        <f t="shared" si="35"/>
        <v>28.568542914630683</v>
      </c>
      <c r="AL31" s="22">
        <f t="shared" si="4"/>
        <v>235.71379290964839</v>
      </c>
      <c r="AM31" s="60">
        <f t="shared" si="5"/>
        <v>526.60268179853722</v>
      </c>
      <c r="AN31" s="60">
        <f ca="1">AVERAGE(OFFSET($AM$3,0,0,'Données projet'!$E$10+1,1))-AVERAGE(OFFSET($H$3,0,0,'Données projet'!$E$10+1,1))</f>
        <v>299.28262372717484</v>
      </c>
      <c r="AO31" s="60">
        <f t="shared" si="36"/>
        <v>294.28794439094889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6.4</v>
      </c>
      <c r="BD31" s="13">
        <f>IF('Données projet'!$A$88&gt;35,BD30+BC31-BL30,IF(A31&lt;'Données projet'!$A$88,$BA$205^A31,IF(A31='Données projet'!$A$88,'Données projet'!$B$88,BD30+BC31-BL30)))</f>
        <v>134.19999999999999</v>
      </c>
      <c r="BE31" s="14">
        <f>BD31*VLOOKUP('Données projet'!$B$11,Paramètres!$A$1:$I$89,3,0)*VLOOKUP('Données projet'!$B$11,Paramètres!$A$1:$I$89,5,0)</f>
        <v>98.395439999999994</v>
      </c>
      <c r="BF31" s="14">
        <f t="shared" si="37"/>
        <v>26.57937412584554</v>
      </c>
      <c r="BG31" s="22">
        <f t="shared" si="7"/>
        <v>217.66446793584763</v>
      </c>
      <c r="BH31" s="60">
        <f t="shared" si="8"/>
        <v>508.55335682473651</v>
      </c>
      <c r="BI31" s="60">
        <f ca="1">AVERAGE(OFFSET($BH$3,0,0,'Données projet'!$E$11+1,1))-AVERAGE(OFFSET($H$3,0,0,'Données projet'!$E$11+1,1))</f>
        <v>278.61904724595763</v>
      </c>
      <c r="BJ31" s="60">
        <f t="shared" si="38"/>
        <v>274.55710362891892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0">
        <f t="shared" si="11"/>
        <v>499.04430950327838</v>
      </c>
      <c r="CD31" s="60">
        <f ca="1">AVERAGE(OFFSET($CC$3,0,0,'Données projet'!$E$12+1,1))-AVERAGE(OFFSET($H$3,0,0,'Données projet'!$E$12+1,1))</f>
        <v>292.57482726862594</v>
      </c>
      <c r="CE31" s="60">
        <f t="shared" si="40"/>
        <v>283.48738729114024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3.4358974358974361</v>
      </c>
      <c r="CT31" s="13">
        <f>IF('Données projet'!$A$140&gt;35,CT30+CS31-DB30,IF(A31&lt;'Données projet'!$A$140,$CQ$205^A31,IF(A31='Données projet'!$A$140,'Données projet'!$B$140,CT30+CS31-DB30)))</f>
        <v>75.674695651659619</v>
      </c>
      <c r="CU31" s="18">
        <f>CT31*VLOOKUP('Données projet'!$B$13,Paramètres!$A$1:$I$89,3,0)*VLOOKUP('Données projet'!$B$13,Paramètres!$A$1:$I$89,5,0)</f>
        <v>35.415757564976701</v>
      </c>
      <c r="CV31" s="14">
        <f t="shared" si="41"/>
        <v>10.775120214299996</v>
      </c>
      <c r="CW31" s="22">
        <f t="shared" si="13"/>
        <v>80.449112132240245</v>
      </c>
      <c r="CX31" s="60">
        <f t="shared" si="14"/>
        <v>371.33800102112912</v>
      </c>
      <c r="CY31" s="60">
        <f ca="1">AVERAGE(OFFSET($CX$3,0,0,'Données projet'!$E$13+1,1))-AVERAGE(OFFSET($H$3,0,0,'Données projet'!$E$13+1,1))</f>
        <v>246.64907095367749</v>
      </c>
      <c r="CZ31" s="60">
        <f t="shared" si="42"/>
        <v>145.34368562171613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8.8000000000000007</v>
      </c>
      <c r="DO31" s="13">
        <f>IF('Données projet'!$A$166&gt;35,DO30+DN31-DW30,IF(A31&lt;'Données projet'!$A$166,$DL$205^A31,IF(A31='Données projet'!$A$166,'Données projet'!$B$166,DO30+DN31-DW30)))</f>
        <v>128.39999999999998</v>
      </c>
      <c r="DP31" s="18">
        <f>DO31*VLOOKUP('Données projet'!$B$14,Paramètres!$A$1:$I$89,3,0)*VLOOKUP('Données projet'!$B$14,Paramètres!$A$1:$I$89,5,0)</f>
        <v>104.15807999999998</v>
      </c>
      <c r="DQ31" s="14">
        <f t="shared" si="43"/>
        <v>27.950241801489337</v>
      </c>
      <c r="DR31" s="22">
        <f t="shared" si="16"/>
        <v>230.08866047092724</v>
      </c>
      <c r="DS31" s="60">
        <f t="shared" si="17"/>
        <v>520.97754935981607</v>
      </c>
      <c r="DT31" s="60">
        <f ca="1">AVERAGE(OFFSET($DS$3,0,0,'Données projet'!$E$14+1,1))-AVERAGE(OFFSET($H$3,0,0,'Données projet'!$E$14+1,1))</f>
        <v>256.19915261735281</v>
      </c>
      <c r="DU31" s="60">
        <f t="shared" si="44"/>
        <v>297.47246687305056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488.77084588054998</v>
      </c>
      <c r="S32" s="60">
        <f ca="1">AVERAGE(OFFSET($R$3,0,0,'Données projet'!$E$9+1,1))-AVERAGE(OFFSET($H$3,0,0,'Données projet'!$E$9+1,1))</f>
        <v>428.8489304403459</v>
      </c>
      <c r="T32" s="60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6.4</v>
      </c>
      <c r="AI32" s="14">
        <f>IF('Données projet'!$A$62&gt;35,AI31+AH32-AQ31,IF(A32&lt;'Données projet'!$A$62,$AF$205^A32,IF(A32='Données projet'!$A$62,'Données projet'!$B$62,AI31+AH32-AQ31)))</f>
        <v>140.6</v>
      </c>
      <c r="AJ32" s="14">
        <f>AI32*VLOOKUP('Données projet'!$B$10,Paramètres!$A$1:$I$89,3,0)*VLOOKUP('Données projet'!$B$10,Paramètres!$A$1:$I$89,5,0)</f>
        <v>111.86136</v>
      </c>
      <c r="AK32" s="14">
        <f t="shared" si="35"/>
        <v>29.769106304683568</v>
      </c>
      <c r="AL32" s="22">
        <f t="shared" si="4"/>
        <v>246.67306214732389</v>
      </c>
      <c r="AM32" s="60">
        <f t="shared" si="5"/>
        <v>538.78417325843498</v>
      </c>
      <c r="AN32" s="60">
        <f ca="1">AVERAGE(OFFSET($AM$3,0,0,'Données projet'!$E$10+1,1))-AVERAGE(OFFSET($H$3,0,0,'Données projet'!$E$10+1,1))</f>
        <v>299.28262372717484</v>
      </c>
      <c r="AO32" s="60">
        <f t="shared" si="36"/>
        <v>294.28794439094889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6.4</v>
      </c>
      <c r="BD32" s="13">
        <f>IF('Données projet'!$A$88&gt;35,BD31+BC32-BL31,IF(A32&lt;'Données projet'!$A$88,$BA$205^A32,IF(A32='Données projet'!$A$88,'Données projet'!$B$88,BD31+BC32-BL31)))</f>
        <v>140.6</v>
      </c>
      <c r="BE32" s="14">
        <f>BD32*VLOOKUP('Données projet'!$B$11,Paramètres!$A$1:$I$89,3,0)*VLOOKUP('Données projet'!$B$11,Paramètres!$A$1:$I$89,5,0)</f>
        <v>103.08792</v>
      </c>
      <c r="BF32" s="14">
        <f t="shared" si="37"/>
        <v>27.696344760342487</v>
      </c>
      <c r="BG32" s="22">
        <f t="shared" si="7"/>
        <v>227.7825944575965</v>
      </c>
      <c r="BH32" s="60">
        <f t="shared" si="8"/>
        <v>519.89370556870767</v>
      </c>
      <c r="BI32" s="60">
        <f ca="1">AVERAGE(OFFSET($BH$3,0,0,'Données projet'!$E$11+1,1))-AVERAGE(OFFSET($H$3,0,0,'Données projet'!$E$11+1,1))</f>
        <v>278.61904724595763</v>
      </c>
      <c r="BJ32" s="60">
        <f t="shared" si="38"/>
        <v>274.55710362891892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0">
        <f t="shared" si="11"/>
        <v>519.61801770943021</v>
      </c>
      <c r="CD32" s="60">
        <f ca="1">AVERAGE(OFFSET($CC$3,0,0,'Données projet'!$E$12+1,1))-AVERAGE(OFFSET($H$3,0,0,'Données projet'!$E$12+1,1))</f>
        <v>292.57482726862594</v>
      </c>
      <c r="CE32" s="60">
        <f t="shared" si="40"/>
        <v>283.48738729114024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3.4358974358974361</v>
      </c>
      <c r="CT32" s="13">
        <f>IF('Données projet'!$A$140&gt;35,CT31+CS32-DB31,IF(A32&lt;'Données projet'!$A$140,$CQ$205^A32,IF(A32='Données projet'!$A$140,'Données projet'!$B$140,CT31+CS32-DB31)))</f>
        <v>88.319390750591623</v>
      </c>
      <c r="CU32" s="18">
        <f>CT32*VLOOKUP('Données projet'!$B$13,Paramètres!$A$1:$I$89,3,0)*VLOOKUP('Données projet'!$B$13,Paramètres!$A$1:$I$89,5,0)</f>
        <v>41.333474871276877</v>
      </c>
      <c r="CV32" s="14">
        <f t="shared" si="41"/>
        <v>12.351407186530604</v>
      </c>
      <c r="CW32" s="22">
        <f t="shared" si="13"/>
        <v>93.501169584014704</v>
      </c>
      <c r="CX32" s="60">
        <f t="shared" si="14"/>
        <v>385.61228069512583</v>
      </c>
      <c r="CY32" s="60">
        <f ca="1">AVERAGE(OFFSET($CX$3,0,0,'Données projet'!$E$13+1,1))-AVERAGE(OFFSET($H$3,0,0,'Données projet'!$E$13+1,1))</f>
        <v>246.64907095367749</v>
      </c>
      <c r="CZ32" s="60">
        <f t="shared" si="42"/>
        <v>145.34368562171613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8.8000000000000007</v>
      </c>
      <c r="DO32" s="13">
        <f>IF('Données projet'!$A$166&gt;35,DO31+DN32-DW31,IF(A32&lt;'Données projet'!$A$166,$DL$205^A32,IF(A32='Données projet'!$A$166,'Données projet'!$B$166,DO31+DN32-DW31)))</f>
        <v>137.19999999999999</v>
      </c>
      <c r="DP32" s="18">
        <f>DO32*VLOOKUP('Données projet'!$B$14,Paramètres!$A$1:$I$89,3,0)*VLOOKUP('Données projet'!$B$14,Paramètres!$A$1:$I$89,5,0)</f>
        <v>111.29664</v>
      </c>
      <c r="DQ32" s="14">
        <f t="shared" si="43"/>
        <v>29.636274399319777</v>
      </c>
      <c r="DR32" s="22">
        <f t="shared" si="16"/>
        <v>245.45815924548194</v>
      </c>
      <c r="DS32" s="60">
        <f t="shared" si="17"/>
        <v>537.56927035659305</v>
      </c>
      <c r="DT32" s="60">
        <f ca="1">AVERAGE(OFFSET($DS$3,0,0,'Données projet'!$E$14+1,1))-AVERAGE(OFFSET($H$3,0,0,'Données projet'!$E$14+1,1))</f>
        <v>256.19915261735281</v>
      </c>
      <c r="DU32" s="60">
        <f t="shared" si="44"/>
        <v>297.47246687305056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503.67832244229635</v>
      </c>
      <c r="S33" s="60">
        <f ca="1">AVERAGE(OFFSET($R$3,0,0,'Données projet'!$E$9+1,1))-AVERAGE(OFFSET($H$3,0,0,'Données projet'!$E$9+1,1))</f>
        <v>428.8489304403459</v>
      </c>
      <c r="T33" s="60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6.4</v>
      </c>
      <c r="AH33" s="13">
        <f t="array" ref="AH33">INDEX(AG:AG,MIN(IF(ISNUMBER(AG33:AG229),ROW(AG33:AG229),"")))</f>
        <v>6.4</v>
      </c>
      <c r="AI33" s="14">
        <f>IF('Données projet'!$A$62&gt;35,AI32+AH33-AQ32,IF(A33&lt;'Données projet'!$A$62,$AF$205^A33,IF(A33='Données projet'!$A$62,'Données projet'!$B$62,AI32+AH33-AQ32)))</f>
        <v>147</v>
      </c>
      <c r="AJ33" s="14">
        <f>AI33*VLOOKUP('Données projet'!$B$10,Paramètres!$A$1:$I$89,3,0)*VLOOKUP('Données projet'!$B$10,Paramètres!$A$1:$I$89,5,0)</f>
        <v>116.9532</v>
      </c>
      <c r="AK33" s="14">
        <f t="shared" si="35"/>
        <v>30.963323095281662</v>
      </c>
      <c r="AL33" s="22">
        <f t="shared" si="4"/>
        <v>257.62127772428227</v>
      </c>
      <c r="AM33" s="60">
        <f t="shared" si="5"/>
        <v>550.95461105761558</v>
      </c>
      <c r="AN33" s="60">
        <f ca="1">AVERAGE(OFFSET($AM$3,0,0,'Données projet'!$E$10+1,1))-AVERAGE(OFFSET($H$3,0,0,'Données projet'!$E$10+1,1))</f>
        <v>299.28262372717484</v>
      </c>
      <c r="AO33" s="60">
        <f t="shared" si="36"/>
        <v>294.28794439094889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6.4</v>
      </c>
      <c r="BC33" s="13">
        <f t="array" ref="BC33">INDEX(BB:BB,MIN(IF(ISNUMBER(BB33:BB229),ROW(BB33:BB229),"")))</f>
        <v>6.4</v>
      </c>
      <c r="BD33" s="13">
        <f>IF('Données projet'!$A$88&gt;35,BD32+BC33-BL32,IF(A33&lt;'Données projet'!$A$88,$BA$205^A33,IF(A33='Données projet'!$A$88,'Données projet'!$B$88,BD32+BC33-BL32)))</f>
        <v>147</v>
      </c>
      <c r="BE33" s="14">
        <f>BD33*VLOOKUP('Données projet'!$B$11,Paramètres!$A$1:$I$89,3,0)*VLOOKUP('Données projet'!$B$11,Paramètres!$A$1:$I$89,5,0)</f>
        <v>107.78039999999999</v>
      </c>
      <c r="BF33" s="14">
        <f t="shared" si="37"/>
        <v>28.807410696030036</v>
      </c>
      <c r="BG33" s="22">
        <f t="shared" si="7"/>
        <v>237.89043696225227</v>
      </c>
      <c r="BH33" s="60">
        <f t="shared" si="8"/>
        <v>531.22377029558561</v>
      </c>
      <c r="BI33" s="60">
        <f ca="1">AVERAGE(OFFSET($BH$3,0,0,'Données projet'!$E$11+1,1))-AVERAGE(OFFSET($H$3,0,0,'Données projet'!$E$11+1,1))</f>
        <v>278.61904724595763</v>
      </c>
      <c r="BJ33" s="60">
        <f t="shared" si="38"/>
        <v>274.55710362891892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0">
        <f t="shared" si="11"/>
        <v>540.15405395780692</v>
      </c>
      <c r="CD33" s="60">
        <f ca="1">AVERAGE(OFFSET($CC$3,0,0,'Données projet'!$E$12+1,1))-AVERAGE(OFFSET($H$3,0,0,'Données projet'!$E$12+1,1))</f>
        <v>292.57482726862594</v>
      </c>
      <c r="CE33" s="60">
        <f t="shared" si="40"/>
        <v>283.48738729114024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103.07692307692308</v>
      </c>
      <c r="CR33" s="13">
        <f>VLOOKUP(A33,'Données projet'!$A$139:$I$159,9,0)</f>
        <v>3.4358974358974361</v>
      </c>
      <c r="CS33" s="13">
        <f t="array" ref="CS33">INDEX(CR:CR,MIN(IF(ISNUMBER(CR33:CR229),ROW(CR33:CR229),"")))</f>
        <v>3.4358974358974361</v>
      </c>
      <c r="CT33" s="13">
        <f>IF('Données projet'!$A$140&gt;35,CT32+CS33-DB32,IF(A33&lt;'Données projet'!$A$140,$CQ$205^A33,IF(A33='Données projet'!$A$140,'Données projet'!$B$140,CT32+CS33-DB32)))</f>
        <v>103.07692307692308</v>
      </c>
      <c r="CU33" s="18">
        <f>CT33*VLOOKUP('Données projet'!$B$13,Paramètres!$A$1:$I$89,3,0)*VLOOKUP('Données projet'!$B$13,Paramètres!$A$1:$I$89,5,0)</f>
        <v>48.240000000000009</v>
      </c>
      <c r="CV33" s="14">
        <f t="shared" si="41"/>
        <v>14.15828839524373</v>
      </c>
      <c r="CW33" s="22">
        <f t="shared" si="13"/>
        <v>108.6770189550495</v>
      </c>
      <c r="CX33" s="60">
        <f t="shared" si="14"/>
        <v>402.01035228838282</v>
      </c>
      <c r="CY33" s="60">
        <f ca="1">AVERAGE(OFFSET($CX$3,0,0,'Données projet'!$E$13+1,1))-AVERAGE(OFFSET($H$3,0,0,'Données projet'!$E$13+1,1))</f>
        <v>246.64907095367749</v>
      </c>
      <c r="CZ33" s="60">
        <f t="shared" si="42"/>
        <v>145.34368562171613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146</v>
      </c>
      <c r="DM33" s="13">
        <f>VLOOKUP(A33,'Données projet'!$A$165:$I$185,9,0)</f>
        <v>8.8000000000000007</v>
      </c>
      <c r="DN33" s="13">
        <f t="array" ref="DN33">INDEX(DM:DM,MIN(IF(ISNUMBER(DM33:DM229),ROW(DM33:DM229),"")))</f>
        <v>8.8000000000000007</v>
      </c>
      <c r="DO33" s="13">
        <f>IF('Données projet'!$A$166&gt;35,DO32+DN33-DW32,IF(A33&lt;'Données projet'!$A$166,$DL$205^A33,IF(A33='Données projet'!$A$166,'Données projet'!$B$166,DO32+DN33-DW32)))</f>
        <v>146</v>
      </c>
      <c r="DP33" s="18">
        <f>DO33*VLOOKUP('Données projet'!$B$14,Paramètres!$A$1:$I$89,3,0)*VLOOKUP('Données projet'!$B$14,Paramètres!$A$1:$I$89,5,0)</f>
        <v>118.43520000000001</v>
      </c>
      <c r="DQ33" s="14">
        <f t="shared" si="43"/>
        <v>31.309757056296963</v>
      </c>
      <c r="DR33" s="22">
        <f t="shared" si="16"/>
        <v>260.80580020638394</v>
      </c>
      <c r="DS33" s="60">
        <f t="shared" si="17"/>
        <v>554.13913353971725</v>
      </c>
      <c r="DT33" s="60">
        <f ca="1">AVERAGE(OFFSET($DS$3,0,0,'Données projet'!$E$14+1,1))-AVERAGE(OFFSET($H$3,0,0,'Données projet'!$E$14+1,1))</f>
        <v>256.19915261735281</v>
      </c>
      <c r="DU33" s="60">
        <f t="shared" si="44"/>
        <v>297.47246687305056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462.55410206940076</v>
      </c>
      <c r="S34" s="60">
        <f ca="1">AVERAGE(OFFSET($R$3,0,0,'Données projet'!$E$9+1,1))-AVERAGE(OFFSET($H$3,0,0,'Données projet'!$E$9+1,1))</f>
        <v>428.8489304403459</v>
      </c>
      <c r="T34" s="60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16.2</v>
      </c>
      <c r="AI34" s="14">
        <f>IF('Données projet'!$A$62&gt;35,AI33+AH34-AQ33,IF(A34&lt;'Données projet'!$A$62,$AF$205^A34,IF(A34='Données projet'!$A$62,'Données projet'!$B$62,AI33+AH34-AQ33)))</f>
        <v>107.19999999999999</v>
      </c>
      <c r="AJ34" s="14">
        <f>AI34*VLOOKUP('Données projet'!$B$10,Paramètres!$A$1:$I$89,3,0)*VLOOKUP('Données projet'!$B$10,Paramètres!$A$1:$I$89,5,0)</f>
        <v>85.288319999999999</v>
      </c>
      <c r="AK34" s="14">
        <f t="shared" si="35"/>
        <v>23.425349540470684</v>
      </c>
      <c r="AL34" s="22">
        <f t="shared" si="4"/>
        <v>189.34297444965307</v>
      </c>
      <c r="AM34" s="60">
        <f t="shared" si="5"/>
        <v>482.67630778298638</v>
      </c>
      <c r="AN34" s="60">
        <f ca="1">AVERAGE(OFFSET($AM$3,0,0,'Données projet'!$E$10+1,1))-AVERAGE(OFFSET($H$3,0,0,'Données projet'!$E$10+1,1))</f>
        <v>299.28262372717484</v>
      </c>
      <c r="AO34" s="60">
        <f t="shared" si="36"/>
        <v>294.28794439094889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16.2</v>
      </c>
      <c r="BD34" s="13">
        <f>IF('Données projet'!$A$88&gt;35,BD33+BC34-BL33,IF(A34&lt;'Données projet'!$A$88,$BA$205^A34,IF(A34='Données projet'!$A$88,'Données projet'!$B$88,BD33+BC34-BL33)))</f>
        <v>107.19999999999999</v>
      </c>
      <c r="BE34" s="14">
        <f>BD34*VLOOKUP('Données projet'!$B$11,Paramètres!$A$1:$I$89,3,0)*VLOOKUP('Données projet'!$B$11,Paramètres!$A$1:$I$89,5,0)</f>
        <v>78.599039999999988</v>
      </c>
      <c r="BF34" s="14">
        <f t="shared" si="37"/>
        <v>21.79429071078065</v>
      </c>
      <c r="BG34" s="22">
        <f t="shared" si="7"/>
        <v>174.85171765460962</v>
      </c>
      <c r="BH34" s="60">
        <f t="shared" si="8"/>
        <v>468.18505098794293</v>
      </c>
      <c r="BI34" s="60">
        <f ca="1">AVERAGE(OFFSET($BH$3,0,0,'Données projet'!$E$11+1,1))-AVERAGE(OFFSET($H$3,0,0,'Données projet'!$E$11+1,1))</f>
        <v>278.61904724595763</v>
      </c>
      <c r="BJ34" s="60">
        <f t="shared" si="38"/>
        <v>274.55710362891892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0">
        <f t="shared" si="11"/>
        <v>559.43355826633729</v>
      </c>
      <c r="CD34" s="60">
        <f ca="1">AVERAGE(OFFSET($CC$3,0,0,'Données projet'!$E$12+1,1))-AVERAGE(OFFSET($H$3,0,0,'Données projet'!$E$12+1,1))</f>
        <v>292.57482726862594</v>
      </c>
      <c r="CE34" s="60">
        <f t="shared" si="40"/>
        <v>283.48738729114024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10.402930402930403</v>
      </c>
      <c r="CT34" s="13">
        <f>IF('Données projet'!$A$140&gt;35,CT33+CS34-DB33,IF(A34&lt;'Données projet'!$A$140,$CQ$205^A34,IF(A34='Données projet'!$A$140,'Données projet'!$B$140,CT33+CS34-DB33)))</f>
        <v>113.47985347985349</v>
      </c>
      <c r="CU34" s="18">
        <f>CT34*VLOOKUP('Données projet'!$B$13,Paramètres!$A$1:$I$89,3,0)*VLOOKUP('Données projet'!$B$13,Paramètres!$A$1:$I$89,5,0)</f>
        <v>53.108571428571437</v>
      </c>
      <c r="CV34" s="14">
        <f t="shared" si="41"/>
        <v>15.413722027781299</v>
      </c>
      <c r="CW34" s="22">
        <f t="shared" si="13"/>
        <v>119.34299443648099</v>
      </c>
      <c r="CX34" s="60">
        <f t="shared" si="14"/>
        <v>412.67632776981429</v>
      </c>
      <c r="CY34" s="60">
        <f ca="1">AVERAGE(OFFSET($CX$3,0,0,'Données projet'!$E$13+1,1))-AVERAGE(OFFSET($H$3,0,0,'Données projet'!$E$13+1,1))</f>
        <v>246.64907095367749</v>
      </c>
      <c r="CZ34" s="60">
        <f t="shared" si="42"/>
        <v>145.34368562171613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8.8000000000000007</v>
      </c>
      <c r="DO34" s="13">
        <f>IF('Données projet'!$A$166&gt;35,DO33+DN34-DW33,IF(A34&lt;'Données projet'!$A$166,$DL$205^A34,IF(A34='Données projet'!$A$166,'Données projet'!$B$166,DO33+DN34-DW33)))</f>
        <v>154.80000000000001</v>
      </c>
      <c r="DP34" s="18">
        <f>DO34*VLOOKUP('Données projet'!$B$14,Paramètres!$A$1:$I$89,3,0)*VLOOKUP('Données projet'!$B$14,Paramètres!$A$1:$I$89,5,0)</f>
        <v>125.57376000000002</v>
      </c>
      <c r="DQ34" s="14">
        <f t="shared" si="43"/>
        <v>32.97153235129214</v>
      </c>
      <c r="DR34" s="22">
        <f t="shared" si="16"/>
        <v>276.13305084516719</v>
      </c>
      <c r="DS34" s="60">
        <f t="shared" si="17"/>
        <v>569.46638417850045</v>
      </c>
      <c r="DT34" s="60">
        <f ca="1">AVERAGE(OFFSET($DS$3,0,0,'Données projet'!$E$14+1,1))-AVERAGE(OFFSET($H$3,0,0,'Données projet'!$E$14+1,1))</f>
        <v>256.19915261735281</v>
      </c>
      <c r="DU34" s="60">
        <f t="shared" si="44"/>
        <v>297.47246687305056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478.24526587136597</v>
      </c>
      <c r="S35" s="60">
        <f ca="1">AVERAGE(OFFSET($R$3,0,0,'Données projet'!$E$9+1,1))-AVERAGE(OFFSET($H$3,0,0,'Données projet'!$E$9+1,1))</f>
        <v>428.8489304403459</v>
      </c>
      <c r="T35" s="60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16.2</v>
      </c>
      <c r="AI35" s="14">
        <f>IF('Données projet'!$A$62&gt;35,AI34+AH35-AQ34,IF(A35&lt;'Données projet'!$A$62,$AF$205^A35,IF(A35='Données projet'!$A$62,'Données projet'!$B$62,AI34+AH35-AQ34)))</f>
        <v>123.39999999999999</v>
      </c>
      <c r="AJ35" s="14">
        <f>AI35*VLOOKUP('Données projet'!$B$10,Paramètres!$A$1:$I$89,3,0)*VLOOKUP('Données projet'!$B$10,Paramètres!$A$1:$I$89,5,0)</f>
        <v>98.177040000000005</v>
      </c>
      <c r="AK35" s="14">
        <f t="shared" si="35"/>
        <v>26.527238539170206</v>
      </c>
      <c r="AL35" s="22">
        <f t="shared" si="4"/>
        <v>217.19328512238812</v>
      </c>
      <c r="AM35" s="60">
        <f t="shared" si="5"/>
        <v>510.5266184557214</v>
      </c>
      <c r="AN35" s="60">
        <f ca="1">AVERAGE(OFFSET($AM$3,0,0,'Données projet'!$E$10+1,1))-AVERAGE(OFFSET($H$3,0,0,'Données projet'!$E$10+1,1))</f>
        <v>299.28262372717484</v>
      </c>
      <c r="AO35" s="60">
        <f t="shared" si="36"/>
        <v>294.28794439094889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16.2</v>
      </c>
      <c r="BD35" s="13">
        <f>IF('Données projet'!$A$88&gt;35,BD34+BC35-BL34,IF(A35&lt;'Données projet'!$A$88,$BA$205^A35,IF(A35='Données projet'!$A$88,'Données projet'!$B$88,BD34+BC35-BL34)))</f>
        <v>123.39999999999999</v>
      </c>
      <c r="BE35" s="14">
        <f>BD35*VLOOKUP('Données projet'!$B$11,Paramètres!$A$1:$I$89,3,0)*VLOOKUP('Données projet'!$B$11,Paramètres!$A$1:$I$89,5,0)</f>
        <v>90.476879999999994</v>
      </c>
      <c r="BF35" s="14">
        <f t="shared" si="37"/>
        <v>24.680201568735427</v>
      </c>
      <c r="BG35" s="22">
        <f t="shared" si="7"/>
        <v>200.56525039888083</v>
      </c>
      <c r="BH35" s="60">
        <f t="shared" si="8"/>
        <v>493.89858373221415</v>
      </c>
      <c r="BI35" s="60">
        <f ca="1">AVERAGE(OFFSET($BH$3,0,0,'Données projet'!$E$11+1,1))-AVERAGE(OFFSET($H$3,0,0,'Données projet'!$E$11+1,1))</f>
        <v>278.61904724595763</v>
      </c>
      <c r="BJ35" s="60">
        <f t="shared" si="38"/>
        <v>274.55710362891892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0">
        <f t="shared" si="11"/>
        <v>518.31834832248774</v>
      </c>
      <c r="CD35" s="60">
        <f ca="1">AVERAGE(OFFSET($CC$3,0,0,'Données projet'!$E$12+1,1))-AVERAGE(OFFSET($H$3,0,0,'Données projet'!$E$12+1,1))</f>
        <v>292.57482726862594</v>
      </c>
      <c r="CE35" s="60">
        <f t="shared" si="40"/>
        <v>283.48738729114024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10.402930402930403</v>
      </c>
      <c r="CT35" s="13">
        <f>IF('Données projet'!$A$140&gt;35,CT34+CS35-DB34,IF(A35&lt;'Données projet'!$A$140,$CQ$205^A35,IF(A35='Données projet'!$A$140,'Données projet'!$B$140,CT34+CS35-DB34)))</f>
        <v>123.8827838827839</v>
      </c>
      <c r="CU35" s="18">
        <f>CT35*VLOOKUP('Données projet'!$B$13,Paramètres!$A$1:$I$89,3,0)*VLOOKUP('Données projet'!$B$13,Paramètres!$A$1:$I$89,5,0)</f>
        <v>57.977142857142866</v>
      </c>
      <c r="CV35" s="14">
        <f t="shared" si="41"/>
        <v>16.655810903261287</v>
      </c>
      <c r="CW35" s="22">
        <f t="shared" si="13"/>
        <v>129.98572779937055</v>
      </c>
      <c r="CX35" s="60">
        <f t="shared" si="14"/>
        <v>423.31906113270384</v>
      </c>
      <c r="CY35" s="60">
        <f ca="1">AVERAGE(OFFSET($CX$3,0,0,'Données projet'!$E$13+1,1))-AVERAGE(OFFSET($H$3,0,0,'Données projet'!$E$13+1,1))</f>
        <v>246.64907095367749</v>
      </c>
      <c r="CZ35" s="60">
        <f t="shared" si="42"/>
        <v>145.34368562171613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8.8000000000000007</v>
      </c>
      <c r="DO35" s="13">
        <f>IF('Données projet'!$A$166&gt;35,DO34+DN35-DW34,IF(A35&lt;'Données projet'!$A$166,$DL$205^A35,IF(A35='Données projet'!$A$166,'Données projet'!$B$166,DO34+DN35-DW34)))</f>
        <v>163.60000000000002</v>
      </c>
      <c r="DP35" s="18">
        <f>DO35*VLOOKUP('Données projet'!$B$14,Paramètres!$A$1:$I$89,3,0)*VLOOKUP('Données projet'!$B$14,Paramètres!$A$1:$I$89,5,0)</f>
        <v>132.71232000000003</v>
      </c>
      <c r="DQ35" s="14">
        <f t="shared" si="43"/>
        <v>34.622341655285041</v>
      </c>
      <c r="DR35" s="22">
        <f t="shared" si="16"/>
        <v>291.44120238295483</v>
      </c>
      <c r="DS35" s="60">
        <f t="shared" si="17"/>
        <v>584.77453571628814</v>
      </c>
      <c r="DT35" s="60">
        <f ca="1">AVERAGE(OFFSET($DS$3,0,0,'Données projet'!$E$14+1,1))-AVERAGE(OFFSET($H$3,0,0,'Données projet'!$E$14+1,1))</f>
        <v>256.19915261735281</v>
      </c>
      <c r="DU35" s="60">
        <f t="shared" si="44"/>
        <v>297.47246687305056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493.9053274736159</v>
      </c>
      <c r="S36" s="60">
        <f ca="1">AVERAGE(OFFSET($R$3,0,0,'Données projet'!$E$9+1,1))-AVERAGE(OFFSET($H$3,0,0,'Données projet'!$E$9+1,1))</f>
        <v>428.8489304403459</v>
      </c>
      <c r="T36" s="60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16.2</v>
      </c>
      <c r="AI36" s="14">
        <f>IF('Données projet'!$A$62&gt;35,AI35+AH36-AQ35,IF(A36&lt;'Données projet'!$A$62,$AF$205^A36,IF(A36='Données projet'!$A$62,'Données projet'!$B$62,AI35+AH36-AQ35)))</f>
        <v>139.6</v>
      </c>
      <c r="AJ36" s="14">
        <f>AI36*VLOOKUP('Données projet'!$B$10,Paramètres!$A$1:$I$89,3,0)*VLOOKUP('Données projet'!$B$10,Paramètres!$A$1:$I$89,5,0)</f>
        <v>111.06576</v>
      </c>
      <c r="AK36" s="14">
        <f t="shared" si="35"/>
        <v>29.581944857062648</v>
      </c>
      <c r="AL36" s="22">
        <f t="shared" si="4"/>
        <v>244.96141929271744</v>
      </c>
      <c r="AM36" s="60">
        <f t="shared" si="5"/>
        <v>538.29475262605069</v>
      </c>
      <c r="AN36" s="60">
        <f ca="1">AVERAGE(OFFSET($AM$3,0,0,'Données projet'!$E$10+1,1))-AVERAGE(OFFSET($H$3,0,0,'Données projet'!$E$10+1,1))</f>
        <v>299.28262372717484</v>
      </c>
      <c r="AO36" s="60">
        <f t="shared" si="36"/>
        <v>294.28794439094889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16.2</v>
      </c>
      <c r="BD36" s="13">
        <f>IF('Données projet'!$A$88&gt;35,BD35+BC36-BL35,IF(A36&lt;'Données projet'!$A$88,$BA$205^A36,IF(A36='Données projet'!$A$88,'Données projet'!$B$88,BD35+BC36-BL35)))</f>
        <v>139.6</v>
      </c>
      <c r="BE36" s="14">
        <f>BD36*VLOOKUP('Données projet'!$B$11,Paramètres!$A$1:$I$89,3,0)*VLOOKUP('Données projet'!$B$11,Paramètres!$A$1:$I$89,5,0)</f>
        <v>102.35472</v>
      </c>
      <c r="BF36" s="14">
        <f t="shared" si="37"/>
        <v>27.522214978746117</v>
      </c>
      <c r="BG36" s="22">
        <f t="shared" si="7"/>
        <v>226.20232842131611</v>
      </c>
      <c r="BH36" s="60">
        <f t="shared" si="8"/>
        <v>519.53566175464948</v>
      </c>
      <c r="BI36" s="60">
        <f ca="1">AVERAGE(OFFSET($BH$3,0,0,'Données projet'!$E$11+1,1))-AVERAGE(OFFSET($H$3,0,0,'Données projet'!$E$11+1,1))</f>
        <v>278.61904724595763</v>
      </c>
      <c r="BJ36" s="60">
        <f t="shared" si="38"/>
        <v>274.55710362891892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0">
        <f t="shared" si="11"/>
        <v>537.63687257178208</v>
      </c>
      <c r="CD36" s="60">
        <f ca="1">AVERAGE(OFFSET($CC$3,0,0,'Données projet'!$E$12+1,1))-AVERAGE(OFFSET($H$3,0,0,'Données projet'!$E$12+1,1))</f>
        <v>292.57482726862594</v>
      </c>
      <c r="CE36" s="60">
        <f t="shared" si="40"/>
        <v>283.48738729114024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10.402930402930403</v>
      </c>
      <c r="CT36" s="13">
        <f>IF('Données projet'!$A$140&gt;35,CT35+CS36-DB35,IF(A36&lt;'Données projet'!$A$140,$CQ$205^A36,IF(A36='Données projet'!$A$140,'Données projet'!$B$140,CT35+CS36-DB35)))</f>
        <v>134.28571428571431</v>
      </c>
      <c r="CU36" s="18">
        <f>CT36*VLOOKUP('Données projet'!$B$13,Paramètres!$A$1:$I$89,3,0)*VLOOKUP('Données projet'!$B$13,Paramètres!$A$1:$I$89,5,0)</f>
        <v>62.845714285714294</v>
      </c>
      <c r="CV36" s="14">
        <f t="shared" si="41"/>
        <v>17.885803038990584</v>
      </c>
      <c r="CW36" s="22">
        <f t="shared" si="13"/>
        <v>140.60739267386097</v>
      </c>
      <c r="CX36" s="60">
        <f t="shared" si="14"/>
        <v>433.94072600719426</v>
      </c>
      <c r="CY36" s="60">
        <f ca="1">AVERAGE(OFFSET($CX$3,0,0,'Données projet'!$E$13+1,1))-AVERAGE(OFFSET($H$3,0,0,'Données projet'!$E$13+1,1))</f>
        <v>246.64907095367749</v>
      </c>
      <c r="CZ36" s="60">
        <f t="shared" si="42"/>
        <v>145.34368562171613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8.8000000000000007</v>
      </c>
      <c r="DO36" s="13">
        <f>IF('Données projet'!$A$166&gt;35,DO35+DN36-DW35,IF(A36&lt;'Données projet'!$A$166,$DL$205^A36,IF(A36='Données projet'!$A$166,'Données projet'!$B$166,DO35+DN36-DW35)))</f>
        <v>172.40000000000003</v>
      </c>
      <c r="DP36" s="18">
        <f>DO36*VLOOKUP('Données projet'!$B$14,Paramètres!$A$1:$I$89,3,0)*VLOOKUP('Données projet'!$B$14,Paramètres!$A$1:$I$89,5,0)</f>
        <v>139.85088000000005</v>
      </c>
      <c r="DQ36" s="14">
        <f t="shared" si="43"/>
        <v>36.262842078476233</v>
      </c>
      <c r="DR36" s="22">
        <f t="shared" si="16"/>
        <v>306.7313992866795</v>
      </c>
      <c r="DS36" s="60">
        <f t="shared" si="17"/>
        <v>600.06473262001282</v>
      </c>
      <c r="DT36" s="60">
        <f ca="1">AVERAGE(OFFSET($DS$3,0,0,'Données projet'!$E$14+1,1))-AVERAGE(OFFSET($H$3,0,0,'Données projet'!$E$14+1,1))</f>
        <v>256.19915261735281</v>
      </c>
      <c r="DU36" s="60">
        <f t="shared" si="44"/>
        <v>297.47246687305056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509.537057935093</v>
      </c>
      <c r="S37" s="60">
        <f ca="1">AVERAGE(OFFSET($R$3,0,0,'Données projet'!$E$9+1,1))-AVERAGE(OFFSET($H$3,0,0,'Données projet'!$E$9+1,1))</f>
        <v>428.8489304403459</v>
      </c>
      <c r="T37" s="60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16.2</v>
      </c>
      <c r="AI37" s="14">
        <f>IF('Données projet'!$A$62&gt;35,AI36+AH37-AQ36,IF(A37&lt;'Données projet'!$A$62,$AF$205^A37,IF(A37='Données projet'!$A$62,'Données projet'!$B$62,AI36+AH37-AQ36)))</f>
        <v>155.79999999999998</v>
      </c>
      <c r="AJ37" s="14">
        <f>AI37*VLOOKUP('Données projet'!$B$10,Paramètres!$A$1:$I$89,3,0)*VLOOKUP('Données projet'!$B$10,Paramètres!$A$1:$I$89,5,0)</f>
        <v>123.95448</v>
      </c>
      <c r="AK37" s="14">
        <f t="shared" si="35"/>
        <v>32.595569202682604</v>
      </c>
      <c r="AL37" s="22">
        <f t="shared" si="4"/>
        <v>272.6580023613389</v>
      </c>
      <c r="AM37" s="60">
        <f t="shared" si="5"/>
        <v>565.99133569467222</v>
      </c>
      <c r="AN37" s="60">
        <f ca="1">AVERAGE(OFFSET($AM$3,0,0,'Données projet'!$E$10+1,1))-AVERAGE(OFFSET($H$3,0,0,'Données projet'!$E$10+1,1))</f>
        <v>299.28262372717484</v>
      </c>
      <c r="AO37" s="60">
        <f t="shared" si="36"/>
        <v>294.28794439094889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16.2</v>
      </c>
      <c r="BD37" s="13">
        <f>IF('Données projet'!$A$88&gt;35,BD36+BC37-BL36,IF(A37&lt;'Données projet'!$A$88,$BA$205^A37,IF(A37='Données projet'!$A$88,'Données projet'!$B$88,BD36+BC37-BL36)))</f>
        <v>155.79999999999998</v>
      </c>
      <c r="BE37" s="14">
        <f>BD37*VLOOKUP('Données projet'!$B$11,Paramètres!$A$1:$I$89,3,0)*VLOOKUP('Données projet'!$B$11,Paramètres!$A$1:$I$89,5,0)</f>
        <v>114.23255999999998</v>
      </c>
      <c r="BF37" s="14">
        <f t="shared" si="37"/>
        <v>30.326006869580276</v>
      </c>
      <c r="BG37" s="22">
        <f t="shared" si="7"/>
        <v>251.77283729785225</v>
      </c>
      <c r="BH37" s="60">
        <f t="shared" si="8"/>
        <v>545.10617063118559</v>
      </c>
      <c r="BI37" s="60">
        <f ca="1">AVERAGE(OFFSET($BH$3,0,0,'Données projet'!$E$11+1,1))-AVERAGE(OFFSET($H$3,0,0,'Données projet'!$E$11+1,1))</f>
        <v>278.61904724595763</v>
      </c>
      <c r="BJ37" s="60">
        <f t="shared" si="38"/>
        <v>274.55710362891892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0">
        <f t="shared" si="11"/>
        <v>556.92068130609346</v>
      </c>
      <c r="CD37" s="60">
        <f ca="1">AVERAGE(OFFSET($CC$3,0,0,'Données projet'!$E$12+1,1))-AVERAGE(OFFSET($H$3,0,0,'Données projet'!$E$12+1,1))</f>
        <v>292.57482726862594</v>
      </c>
      <c r="CE37" s="60">
        <f t="shared" si="40"/>
        <v>283.48738729114024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10.402930402930403</v>
      </c>
      <c r="CT37" s="13">
        <f>IF('Données projet'!$A$140&gt;35,CT36+CS37-DB36,IF(A37&lt;'Données projet'!$A$140,$CQ$205^A37,IF(A37='Données projet'!$A$140,'Données projet'!$B$140,CT36+CS37-DB36)))</f>
        <v>144.6886446886447</v>
      </c>
      <c r="CU37" s="18">
        <f>CT37*VLOOKUP('Données projet'!$B$13,Paramètres!$A$1:$I$89,3,0)*VLOOKUP('Données projet'!$B$13,Paramètres!$A$1:$I$89,5,0)</f>
        <v>67.714285714285722</v>
      </c>
      <c r="CV37" s="14">
        <f t="shared" si="41"/>
        <v>19.104742100396511</v>
      </c>
      <c r="CW37" s="22">
        <f t="shared" si="13"/>
        <v>151.20980677723819</v>
      </c>
      <c r="CX37" s="60">
        <f t="shared" si="14"/>
        <v>444.54314011057147</v>
      </c>
      <c r="CY37" s="60">
        <f ca="1">AVERAGE(OFFSET($CX$3,0,0,'Données projet'!$E$13+1,1))-AVERAGE(OFFSET($H$3,0,0,'Données projet'!$E$13+1,1))</f>
        <v>246.64907095367749</v>
      </c>
      <c r="CZ37" s="60">
        <f t="shared" si="42"/>
        <v>145.34368562171613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8.8000000000000007</v>
      </c>
      <c r="DO37" s="13">
        <f>IF('Données projet'!$A$166&gt;35,DO36+DN37-DW36,IF(A37&lt;'Données projet'!$A$166,$DL$205^A37,IF(A37='Données projet'!$A$166,'Données projet'!$B$166,DO36+DN37-DW36)))</f>
        <v>181.20000000000005</v>
      </c>
      <c r="DP37" s="18">
        <f>DO37*VLOOKUP('Données projet'!$B$14,Paramètres!$A$1:$I$89,3,0)*VLOOKUP('Données projet'!$B$14,Paramètres!$A$1:$I$89,5,0)</f>
        <v>146.98944000000006</v>
      </c>
      <c r="DQ37" s="14">
        <f t="shared" si="43"/>
        <v>37.893619858723746</v>
      </c>
      <c r="DR37" s="22">
        <f t="shared" si="16"/>
        <v>322.00466258727732</v>
      </c>
      <c r="DS37" s="60">
        <f t="shared" si="17"/>
        <v>615.33799592061064</v>
      </c>
      <c r="DT37" s="60">
        <f ca="1">AVERAGE(OFFSET($DS$3,0,0,'Données projet'!$E$14+1,1))-AVERAGE(OFFSET($H$3,0,0,'Données projet'!$E$14+1,1))</f>
        <v>256.19915261735281</v>
      </c>
      <c r="DU37" s="60">
        <f t="shared" si="44"/>
        <v>297.47246687305056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525.14279449916307</v>
      </c>
      <c r="S38" s="60">
        <f ca="1">AVERAGE(OFFSET($R$3,0,0,'Données projet'!$E$9+1,1))-AVERAGE(OFFSET($H$3,0,0,'Données projet'!$E$9+1,1))</f>
        <v>428.8489304403459</v>
      </c>
      <c r="T38" s="60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16.2</v>
      </c>
      <c r="AH38" s="13">
        <f t="array" ref="AH38">INDEX(AG:AG,MIN(IF(ISNUMBER(AG38:AG234),ROW(AG38:AG234),"")))</f>
        <v>16.2</v>
      </c>
      <c r="AI38" s="14">
        <f>IF('Données projet'!$A$62&gt;35,AI37+AH38-AQ37,IF(A38&lt;'Données projet'!$A$62,$AF$205^A38,IF(A38='Données projet'!$A$62,'Données projet'!$B$62,AI37+AH38-AQ37)))</f>
        <v>171.99999999999997</v>
      </c>
      <c r="AJ38" s="14">
        <f>AI38*VLOOKUP('Données projet'!$B$10,Paramètres!$A$1:$I$89,3,0)*VLOOKUP('Données projet'!$B$10,Paramètres!$A$1:$I$89,5,0)</f>
        <v>136.84319999999997</v>
      </c>
      <c r="AK38" s="14">
        <f t="shared" si="35"/>
        <v>35.572869837729648</v>
      </c>
      <c r="AL38" s="22">
        <f t="shared" si="4"/>
        <v>300.2913216340458</v>
      </c>
      <c r="AM38" s="60">
        <f t="shared" si="5"/>
        <v>593.62465496737912</v>
      </c>
      <c r="AN38" s="60">
        <f ca="1">AVERAGE(OFFSET($AM$3,0,0,'Données projet'!$E$10+1,1))-AVERAGE(OFFSET($H$3,0,0,'Données projet'!$E$10+1,1))</f>
        <v>299.28262372717484</v>
      </c>
      <c r="AO38" s="60">
        <f t="shared" si="36"/>
        <v>294.28794439094889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16.2</v>
      </c>
      <c r="BC38" s="13">
        <f t="array" ref="BC38">INDEX(BB:BB,MIN(IF(ISNUMBER(BB38:BB234),ROW(BB38:BB234),"")))</f>
        <v>16.2</v>
      </c>
      <c r="BD38" s="13">
        <f>IF('Données projet'!$A$88&gt;35,BD37+BC38-BL37,IF(A38&lt;'Données projet'!$A$88,$BA$205^A38,IF(A38='Données projet'!$A$88,'Données projet'!$B$88,BD37+BC38-BL37)))</f>
        <v>171.99999999999997</v>
      </c>
      <c r="BE38" s="14">
        <f>BD38*VLOOKUP('Données projet'!$B$11,Paramètres!$A$1:$I$89,3,0)*VLOOKUP('Données projet'!$B$11,Paramètres!$A$1:$I$89,5,0)</f>
        <v>126.11039999999997</v>
      </c>
      <c r="BF38" s="14">
        <f t="shared" si="37"/>
        <v>33.096004194977844</v>
      </c>
      <c r="BG38" s="22">
        <f t="shared" si="7"/>
        <v>277.28448730625303</v>
      </c>
      <c r="BH38" s="60">
        <f t="shared" si="8"/>
        <v>570.6178206395864</v>
      </c>
      <c r="BI38" s="60">
        <f ca="1">AVERAGE(OFFSET($BH$3,0,0,'Données projet'!$E$11+1,1))-AVERAGE(OFFSET($H$3,0,0,'Données projet'!$E$11+1,1))</f>
        <v>278.61904724595763</v>
      </c>
      <c r="BJ38" s="60">
        <f t="shared" si="38"/>
        <v>274.55710362891892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0">
        <f t="shared" si="11"/>
        <v>576.17267110008243</v>
      </c>
      <c r="CD38" s="60">
        <f ca="1">AVERAGE(OFFSET($CC$3,0,0,'Données projet'!$E$12+1,1))-AVERAGE(OFFSET($H$3,0,0,'Données projet'!$E$12+1,1))</f>
        <v>292.57482726862594</v>
      </c>
      <c r="CE38" s="60">
        <f t="shared" si="40"/>
        <v>283.48738729114024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10.402930402930403</v>
      </c>
      <c r="CT38" s="13">
        <f>IF('Données projet'!$A$140&gt;35,CT37+CS38-DB37,IF(A38&lt;'Données projet'!$A$140,$CQ$205^A38,IF(A38='Données projet'!$A$140,'Données projet'!$B$140,CT37+CS38-DB37)))</f>
        <v>155.09157509157509</v>
      </c>
      <c r="CU38" s="18">
        <f>CT38*VLOOKUP('Données projet'!$B$13,Paramètres!$A$1:$I$89,3,0)*VLOOKUP('Données projet'!$B$13,Paramètres!$A$1:$I$89,5,0)</f>
        <v>72.582857142857151</v>
      </c>
      <c r="CV38" s="14">
        <f t="shared" si="41"/>
        <v>20.31351317084026</v>
      </c>
      <c r="CW38" s="22">
        <f t="shared" si="13"/>
        <v>161.79451162968965</v>
      </c>
      <c r="CX38" s="60">
        <f t="shared" si="14"/>
        <v>455.12784496302299</v>
      </c>
      <c r="CY38" s="60">
        <f ca="1">AVERAGE(OFFSET($CX$3,0,0,'Données projet'!$E$13+1,1))-AVERAGE(OFFSET($H$3,0,0,'Données projet'!$E$13+1,1))</f>
        <v>246.64907095367749</v>
      </c>
      <c r="CZ38" s="60">
        <f t="shared" si="42"/>
        <v>145.34368562171613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190</v>
      </c>
      <c r="DM38" s="13">
        <f>VLOOKUP(A38,'Données projet'!$A$165:$I$185,9,0)</f>
        <v>8.8000000000000007</v>
      </c>
      <c r="DN38" s="13">
        <f t="array" ref="DN38">INDEX(DM:DM,MIN(IF(ISNUMBER(DM38:DM234),ROW(DM38:DM234),"")))</f>
        <v>8.8000000000000007</v>
      </c>
      <c r="DO38" s="13">
        <f>IF('Données projet'!$A$166&gt;35,DO37+DN38-DW37,IF(A38&lt;'Données projet'!$A$166,$DL$205^A38,IF(A38='Données projet'!$A$166,'Données projet'!$B$166,DO37+DN38-DW37)))</f>
        <v>190.00000000000006</v>
      </c>
      <c r="DP38" s="18">
        <f>DO38*VLOOKUP('Données projet'!$B$14,Paramètres!$A$1:$I$89,3,0)*VLOOKUP('Données projet'!$B$14,Paramètres!$A$1:$I$89,5,0)</f>
        <v>154.12800000000007</v>
      </c>
      <c r="DQ38" s="14">
        <f t="shared" si="43"/>
        <v>39.51520107536119</v>
      </c>
      <c r="DR38" s="22">
        <f t="shared" si="16"/>
        <v>337.26190853958752</v>
      </c>
      <c r="DS38" s="60">
        <f t="shared" si="17"/>
        <v>630.59524187292084</v>
      </c>
      <c r="DT38" s="60">
        <f ca="1">AVERAGE(OFFSET($DS$3,0,0,'Données projet'!$E$14+1,1))-AVERAGE(OFFSET($H$3,0,0,'Données projet'!$E$14+1,1))</f>
        <v>256.19915261735281</v>
      </c>
      <c r="DU38" s="60">
        <f t="shared" si="44"/>
        <v>297.47246687305056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76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541.50302276112825</v>
      </c>
      <c r="S39" s="60">
        <f ca="1">AVERAGE(OFFSET($R$3,0,0,'Données projet'!$E$9+1,1))-AVERAGE(OFFSET($H$3,0,0,'Données projet'!$E$9+1,1))</f>
        <v>428.8489304403459</v>
      </c>
      <c r="T39" s="60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175.99999999999997</v>
      </c>
      <c r="AJ39" s="14">
        <f>AI39*VLOOKUP('Données projet'!$B$10,Paramètres!$A$1:$I$89,3,0)*VLOOKUP('Données projet'!$B$10,Paramètres!$A$1:$I$89,5,0)</f>
        <v>140.0256</v>
      </c>
      <c r="AK39" s="14">
        <f t="shared" si="35"/>
        <v>36.302870033112463</v>
      </c>
      <c r="AL39" s="22">
        <f t="shared" si="4"/>
        <v>307.10541864100418</v>
      </c>
      <c r="AM39" s="60">
        <f t="shared" si="5"/>
        <v>600.43875197433749</v>
      </c>
      <c r="AN39" s="60">
        <f ca="1">AVERAGE(OFFSET($AM$3,0,0,'Données projet'!$E$10+1,1))-AVERAGE(OFFSET($H$3,0,0,'Données projet'!$E$10+1,1))</f>
        <v>299.28262372717484</v>
      </c>
      <c r="AO39" s="60">
        <f t="shared" si="36"/>
        <v>294.28794439094889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</v>
      </c>
      <c r="BD39" s="13">
        <f>IF('Données projet'!$A$88&gt;35,BD38+BC39-BL38,IF(A39&lt;'Données projet'!$A$88,$BA$205^A39,IF(A39='Données projet'!$A$88,'Données projet'!$B$88,BD38+BC39-BL38)))</f>
        <v>175.99999999999997</v>
      </c>
      <c r="BE39" s="14">
        <f>BD39*VLOOKUP('Données projet'!$B$11,Paramètres!$A$1:$I$89,3,0)*VLOOKUP('Données projet'!$B$11,Paramètres!$A$1:$I$89,5,0)</f>
        <v>129.04319999999998</v>
      </c>
      <c r="BF39" s="14">
        <f t="shared" si="37"/>
        <v>33.775175980637393</v>
      </c>
      <c r="BG39" s="22">
        <f t="shared" si="7"/>
        <v>283.57533816627671</v>
      </c>
      <c r="BH39" s="60">
        <f t="shared" si="8"/>
        <v>576.90867149961002</v>
      </c>
      <c r="BI39" s="60">
        <f ca="1">AVERAGE(OFFSET($BH$3,0,0,'Données projet'!$E$11+1,1))-AVERAGE(OFFSET($H$3,0,0,'Données projet'!$E$11+1,1))</f>
        <v>278.61904724595763</v>
      </c>
      <c r="BJ39" s="60">
        <f t="shared" si="38"/>
        <v>274.55710362891892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0">
        <f t="shared" si="11"/>
        <v>595.3953118988635</v>
      </c>
      <c r="CD39" s="60">
        <f ca="1">AVERAGE(OFFSET($CC$3,0,0,'Données projet'!$E$12+1,1))-AVERAGE(OFFSET($H$3,0,0,'Données projet'!$E$12+1,1))</f>
        <v>292.57482726862594</v>
      </c>
      <c r="CE39" s="60">
        <f t="shared" si="40"/>
        <v>283.48738729114024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10.402930402930403</v>
      </c>
      <c r="CT39" s="13">
        <f>IF('Données projet'!$A$140&gt;35,CT38+CS39-DB38,IF(A39&lt;'Données projet'!$A$140,$CQ$205^A39,IF(A39='Données projet'!$A$140,'Données projet'!$B$140,CT38+CS39-DB38)))</f>
        <v>165.49450549450549</v>
      </c>
      <c r="CU39" s="18">
        <f>CT39*VLOOKUP('Données projet'!$B$13,Paramètres!$A$1:$I$89,3,0)*VLOOKUP('Données projet'!$B$13,Paramètres!$A$1:$I$89,5,0)</f>
        <v>77.451428571428565</v>
      </c>
      <c r="CV39" s="14">
        <f t="shared" si="41"/>
        <v>21.512875879677669</v>
      </c>
      <c r="CW39" s="22">
        <f t="shared" si="13"/>
        <v>172.36283025234334</v>
      </c>
      <c r="CX39" s="60">
        <f t="shared" si="14"/>
        <v>465.69616358567669</v>
      </c>
      <c r="CY39" s="60">
        <f ca="1">AVERAGE(OFFSET($CX$3,0,0,'Données projet'!$E$13+1,1))-AVERAGE(OFFSET($H$3,0,0,'Données projet'!$E$13+1,1))</f>
        <v>246.64907095367749</v>
      </c>
      <c r="CZ39" s="60">
        <f t="shared" si="42"/>
        <v>145.34368562171613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7.6</v>
      </c>
      <c r="DO39" s="13">
        <f>IF('Données projet'!$A$166&gt;35,DO38+DN39-DW38,IF(A39&lt;'Données projet'!$A$166,$DL$205^A39,IF(A39='Données projet'!$A$166,'Données projet'!$B$166,DO38+DN39-DW38)))</f>
        <v>121.60000000000005</v>
      </c>
      <c r="DP39" s="18">
        <f>DO39*VLOOKUP('Données projet'!$B$14,Paramètres!$A$1:$I$89,3,0)*VLOOKUP('Données projet'!$B$14,Paramètres!$A$1:$I$89,5,0)</f>
        <v>98.641920000000042</v>
      </c>
      <c r="DQ39" s="14">
        <f t="shared" si="43"/>
        <v>26.638196684151392</v>
      </c>
      <c r="DR39" s="22">
        <f t="shared" si="16"/>
        <v>218.19620322489709</v>
      </c>
      <c r="DS39" s="60">
        <f t="shared" si="17"/>
        <v>511.5295365582304</v>
      </c>
      <c r="DT39" s="60">
        <f ca="1">AVERAGE(OFFSET($DS$3,0,0,'Données projet'!$E$14+1,1))-AVERAGE(OFFSET($H$3,0,0,'Données projet'!$E$14+1,1))</f>
        <v>256.19915261735281</v>
      </c>
      <c r="DU39" s="60">
        <f t="shared" si="44"/>
        <v>297.47246687305056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557.83878140250943</v>
      </c>
      <c r="S40" s="60">
        <f ca="1">AVERAGE(OFFSET($R$3,0,0,'Données projet'!$E$9+1,1))-AVERAGE(OFFSET($H$3,0,0,'Données projet'!$E$9+1,1))</f>
        <v>428.8489304403459</v>
      </c>
      <c r="T40" s="60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179.99999999999997</v>
      </c>
      <c r="AJ40" s="14">
        <f>AI40*VLOOKUP('Données projet'!$B$10,Paramètres!$A$1:$I$89,3,0)*VLOOKUP('Données projet'!$B$10,Paramètres!$A$1:$I$89,5,0)</f>
        <v>143.20799999999997</v>
      </c>
      <c r="AK40" s="14">
        <f t="shared" si="35"/>
        <v>37.030941422835802</v>
      </c>
      <c r="AL40" s="22">
        <f t="shared" si="4"/>
        <v>313.91615631143895</v>
      </c>
      <c r="AM40" s="60">
        <f t="shared" si="5"/>
        <v>607.24948964477221</v>
      </c>
      <c r="AN40" s="60">
        <f ca="1">AVERAGE(OFFSET($AM$3,0,0,'Données projet'!$E$10+1,1))-AVERAGE(OFFSET($H$3,0,0,'Données projet'!$E$10+1,1))</f>
        <v>299.28262372717484</v>
      </c>
      <c r="AO40" s="60">
        <f t="shared" si="36"/>
        <v>294.28794439094889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</v>
      </c>
      <c r="BD40" s="13">
        <f>IF('Données projet'!$A$88&gt;35,BD39+BC40-BL39,IF(A40&lt;'Données projet'!$A$88,$BA$205^A40,IF(A40='Données projet'!$A$88,'Données projet'!$B$88,BD39+BC40-BL39)))</f>
        <v>179.99999999999997</v>
      </c>
      <c r="BE40" s="14">
        <f>BD40*VLOOKUP('Données projet'!$B$11,Paramètres!$A$1:$I$89,3,0)*VLOOKUP('Données projet'!$B$11,Paramètres!$A$1:$I$89,5,0)</f>
        <v>131.97599999999997</v>
      </c>
      <c r="BF40" s="14">
        <f t="shared" si="37"/>
        <v>34.452553259401945</v>
      </c>
      <c r="BG40" s="22">
        <f t="shared" si="7"/>
        <v>289.86306359345832</v>
      </c>
      <c r="BH40" s="60">
        <f t="shared" si="8"/>
        <v>583.19639692679164</v>
      </c>
      <c r="BI40" s="60">
        <f ca="1">AVERAGE(OFFSET($BH$3,0,0,'Données projet'!$E$11+1,1))-AVERAGE(OFFSET($H$3,0,0,'Données projet'!$E$11+1,1))</f>
        <v>278.61904724595763</v>
      </c>
      <c r="BJ40" s="60">
        <f t="shared" si="38"/>
        <v>274.55710362891892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0">
        <f t="shared" si="11"/>
        <v>614.59073358295768</v>
      </c>
      <c r="CD40" s="60">
        <f ca="1">AVERAGE(OFFSET($CC$3,0,0,'Données projet'!$E$12+1,1))-AVERAGE(OFFSET($H$3,0,0,'Données projet'!$E$12+1,1))</f>
        <v>292.57482726862594</v>
      </c>
      <c r="CE40" s="60">
        <f t="shared" si="40"/>
        <v>283.48738729114024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10.402930402930403</v>
      </c>
      <c r="CT40" s="13">
        <f>IF('Données projet'!$A$140&gt;35,CT39+CS40-DB39,IF(A40&lt;'Données projet'!$A$140,$CQ$205^A40,IF(A40='Données projet'!$A$140,'Données projet'!$B$140,CT39+CS40-DB39)))</f>
        <v>175.89743589743588</v>
      </c>
      <c r="CU40" s="18">
        <f>CT40*VLOOKUP('Données projet'!$B$13,Paramètres!$A$1:$I$89,3,0)*VLOOKUP('Données projet'!$B$13,Paramètres!$A$1:$I$89,5,0)</f>
        <v>82.32</v>
      </c>
      <c r="CV40" s="14">
        <f t="shared" si="41"/>
        <v>22.703488958112253</v>
      </c>
      <c r="CW40" s="22">
        <f t="shared" si="13"/>
        <v>182.91590993537883</v>
      </c>
      <c r="CX40" s="60">
        <f t="shared" si="14"/>
        <v>476.24924326871212</v>
      </c>
      <c r="CY40" s="60">
        <f ca="1">AVERAGE(OFFSET($CX$3,0,0,'Données projet'!$E$13+1,1))-AVERAGE(OFFSET($H$3,0,0,'Données projet'!$E$13+1,1))</f>
        <v>246.64907095367749</v>
      </c>
      <c r="CZ40" s="60">
        <f t="shared" si="42"/>
        <v>145.34368562171613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7.6</v>
      </c>
      <c r="DO40" s="13">
        <f>IF('Données projet'!$A$166&gt;35,DO39+DN40-DW39,IF(A40&lt;'Données projet'!$A$166,$DL$205^A40,IF(A40='Données projet'!$A$166,'Données projet'!$B$166,DO39+DN40-DW39)))</f>
        <v>129.20000000000005</v>
      </c>
      <c r="DP40" s="18">
        <f>DO40*VLOOKUP('Données projet'!$B$14,Paramètres!$A$1:$I$89,3,0)*VLOOKUP('Données projet'!$B$14,Paramètres!$A$1:$I$89,5,0)</f>
        <v>104.80704000000004</v>
      </c>
      <c r="DQ40" s="14">
        <f t="shared" si="43"/>
        <v>28.104060486002457</v>
      </c>
      <c r="DR40" s="22">
        <f t="shared" si="16"/>
        <v>231.48683334645435</v>
      </c>
      <c r="DS40" s="60">
        <f t="shared" si="17"/>
        <v>524.82016667978769</v>
      </c>
      <c r="DT40" s="60">
        <f ca="1">AVERAGE(OFFSET($DS$3,0,0,'Données projet'!$E$14+1,1))-AVERAGE(OFFSET($H$3,0,0,'Données projet'!$E$14+1,1))</f>
        <v>256.19915261735281</v>
      </c>
      <c r="DU40" s="60">
        <f t="shared" si="44"/>
        <v>297.47246687305056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574.15179438724942</v>
      </c>
      <c r="S41" s="60">
        <f ca="1">AVERAGE(OFFSET($R$3,0,0,'Données projet'!$E$9+1,1))-AVERAGE(OFFSET($H$3,0,0,'Données projet'!$E$9+1,1))</f>
        <v>428.8489304403459</v>
      </c>
      <c r="T41" s="60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183.99999999999997</v>
      </c>
      <c r="AJ41" s="14">
        <f>AI41*VLOOKUP('Données projet'!$B$10,Paramètres!$A$1:$I$89,3,0)*VLOOKUP('Données projet'!$B$10,Paramètres!$A$1:$I$89,5,0)</f>
        <v>146.3904</v>
      </c>
      <c r="AK41" s="14">
        <f t="shared" si="35"/>
        <v>37.757131804538304</v>
      </c>
      <c r="AL41" s="22">
        <f t="shared" si="4"/>
        <v>320.7236178929042</v>
      </c>
      <c r="AM41" s="60">
        <f t="shared" si="5"/>
        <v>614.05695122623752</v>
      </c>
      <c r="AN41" s="60">
        <f ca="1">AVERAGE(OFFSET($AM$3,0,0,'Données projet'!$E$10+1,1))-AVERAGE(OFFSET($H$3,0,0,'Données projet'!$E$10+1,1))</f>
        <v>299.28262372717484</v>
      </c>
      <c r="AO41" s="60">
        <f t="shared" si="36"/>
        <v>294.28794439094889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</v>
      </c>
      <c r="BD41" s="13">
        <f>IF('Données projet'!$A$88&gt;35,BD40+BC41-BL40,IF(A41&lt;'Données projet'!$A$88,$BA$205^A41,IF(A41='Données projet'!$A$88,'Données projet'!$B$88,BD40+BC41-BL40)))</f>
        <v>183.99999999999997</v>
      </c>
      <c r="BE41" s="14">
        <f>BD41*VLOOKUP('Données projet'!$B$11,Paramètres!$A$1:$I$89,3,0)*VLOOKUP('Données projet'!$B$11,Paramètres!$A$1:$I$89,5,0)</f>
        <v>134.90879999999996</v>
      </c>
      <c r="BF41" s="14">
        <f t="shared" si="37"/>
        <v>35.128180500859067</v>
      </c>
      <c r="BG41" s="22">
        <f t="shared" si="7"/>
        <v>296.14774103899612</v>
      </c>
      <c r="BH41" s="60">
        <f t="shared" si="8"/>
        <v>589.48107437232943</v>
      </c>
      <c r="BI41" s="60">
        <f ca="1">AVERAGE(OFFSET($BH$3,0,0,'Données projet'!$E$11+1,1))-AVERAGE(OFFSET($H$3,0,0,'Données projet'!$E$11+1,1))</f>
        <v>278.61904724595763</v>
      </c>
      <c r="BJ41" s="60">
        <f t="shared" si="38"/>
        <v>274.55710362891892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0">
        <f t="shared" si="11"/>
        <v>573.06570146912838</v>
      </c>
      <c r="CD41" s="60">
        <f ca="1">AVERAGE(OFFSET($CC$3,0,0,'Données projet'!$E$12+1,1))-AVERAGE(OFFSET($H$3,0,0,'Données projet'!$E$12+1,1))</f>
        <v>292.57482726862594</v>
      </c>
      <c r="CE41" s="60">
        <f t="shared" si="40"/>
        <v>283.48738729114024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10.402930402930403</v>
      </c>
      <c r="CT41" s="13">
        <f>IF('Données projet'!$A$140&gt;35,CT40+CS41-DB40,IF(A41&lt;'Données projet'!$A$140,$CQ$205^A41,IF(A41='Données projet'!$A$140,'Données projet'!$B$140,CT40+CS41-DB40)))</f>
        <v>186.30036630036628</v>
      </c>
      <c r="CU41" s="18">
        <f>CT41*VLOOKUP('Données projet'!$B$13,Paramètres!$A$1:$I$89,3,0)*VLOOKUP('Données projet'!$B$13,Paramètres!$A$1:$I$89,5,0)</f>
        <v>87.188571428571422</v>
      </c>
      <c r="CV41" s="14">
        <f t="shared" si="41"/>
        <v>23.885928818198035</v>
      </c>
      <c r="CW41" s="22">
        <f t="shared" si="13"/>
        <v>193.45475459645681</v>
      </c>
      <c r="CX41" s="60">
        <f t="shared" si="14"/>
        <v>486.78808792979009</v>
      </c>
      <c r="CY41" s="60">
        <f ca="1">AVERAGE(OFFSET($CX$3,0,0,'Données projet'!$E$13+1,1))-AVERAGE(OFFSET($H$3,0,0,'Données projet'!$E$13+1,1))</f>
        <v>246.64907095367749</v>
      </c>
      <c r="CZ41" s="60">
        <f t="shared" si="42"/>
        <v>145.34368562171613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7.6</v>
      </c>
      <c r="DO41" s="13">
        <f>IF('Données projet'!$A$166&gt;35,DO40+DN41-DW40,IF(A41&lt;'Données projet'!$A$166,$DL$205^A41,IF(A41='Données projet'!$A$166,'Données projet'!$B$166,DO40+DN41-DW40)))</f>
        <v>136.80000000000004</v>
      </c>
      <c r="DP41" s="18">
        <f>DO41*VLOOKUP('Données projet'!$B$14,Paramètres!$A$1:$I$89,3,0)*VLOOKUP('Données projet'!$B$14,Paramètres!$A$1:$I$89,5,0)</f>
        <v>110.97216000000004</v>
      </c>
      <c r="DQ41" s="14">
        <f t="shared" si="43"/>
        <v>29.559915623187329</v>
      </c>
      <c r="DR41" s="22">
        <f t="shared" si="16"/>
        <v>244.76003171038471</v>
      </c>
      <c r="DS41" s="60">
        <f t="shared" si="17"/>
        <v>538.09336504371799</v>
      </c>
      <c r="DT41" s="60">
        <f ca="1">AVERAGE(OFFSET($DS$3,0,0,'Données projet'!$E$14+1,1))-AVERAGE(OFFSET($H$3,0,0,'Données projet'!$E$14+1,1))</f>
        <v>256.19915261735281</v>
      </c>
      <c r="DU41" s="60">
        <f t="shared" si="44"/>
        <v>297.47246687305056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590.44356897369653</v>
      </c>
      <c r="S42" s="60">
        <f ca="1">AVERAGE(OFFSET($R$3,0,0,'Données projet'!$E$9+1,1))-AVERAGE(OFFSET($H$3,0,0,'Données projet'!$E$9+1,1))</f>
        <v>428.8489304403459</v>
      </c>
      <c r="T42" s="60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187.99999999999997</v>
      </c>
      <c r="AJ42" s="14">
        <f>AI42*VLOOKUP('Données projet'!$B$10,Paramètres!$A$1:$I$89,3,0)*VLOOKUP('Données projet'!$B$10,Paramètres!$A$1:$I$89,5,0)</f>
        <v>149.57279999999997</v>
      </c>
      <c r="AK42" s="14">
        <f t="shared" si="35"/>
        <v>38.481486779011689</v>
      </c>
      <c r="AL42" s="22">
        <f t="shared" si="4"/>
        <v>327.52788280677856</v>
      </c>
      <c r="AM42" s="60">
        <f t="shared" si="5"/>
        <v>620.86121614011188</v>
      </c>
      <c r="AN42" s="60">
        <f ca="1">AVERAGE(OFFSET($AM$3,0,0,'Données projet'!$E$10+1,1))-AVERAGE(OFFSET($H$3,0,0,'Données projet'!$E$10+1,1))</f>
        <v>299.28262372717484</v>
      </c>
      <c r="AO42" s="60">
        <f t="shared" si="36"/>
        <v>294.28794439094889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</v>
      </c>
      <c r="BD42" s="13">
        <f>IF('Données projet'!$A$88&gt;35,BD41+BC42-BL41,IF(A42&lt;'Données projet'!$A$88,$BA$205^A42,IF(A42='Données projet'!$A$88,'Données projet'!$B$88,BD41+BC42-BL41)))</f>
        <v>187.99999999999997</v>
      </c>
      <c r="BE42" s="14">
        <f>BD42*VLOOKUP('Données projet'!$B$11,Paramètres!$A$1:$I$89,3,0)*VLOOKUP('Données projet'!$B$11,Paramètres!$A$1:$I$89,5,0)</f>
        <v>137.84159999999997</v>
      </c>
      <c r="BF42" s="14">
        <f t="shared" si="37"/>
        <v>35.802100130711302</v>
      </c>
      <c r="BG42" s="22">
        <f t="shared" si="7"/>
        <v>302.4294443943221</v>
      </c>
      <c r="BH42" s="60">
        <f t="shared" si="8"/>
        <v>595.76277772765548</v>
      </c>
      <c r="BI42" s="60">
        <f ca="1">AVERAGE(OFFSET($BH$3,0,0,'Données projet'!$E$11+1,1))-AVERAGE(OFFSET($H$3,0,0,'Données projet'!$E$11+1,1))</f>
        <v>278.61904724595763</v>
      </c>
      <c r="BJ42" s="60">
        <f t="shared" si="38"/>
        <v>274.55710362891892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0">
        <f t="shared" si="11"/>
        <v>591.69623561735898</v>
      </c>
      <c r="CD42" s="60">
        <f ca="1">AVERAGE(OFFSET($CC$3,0,0,'Données projet'!$E$12+1,1))-AVERAGE(OFFSET($H$3,0,0,'Données projet'!$E$12+1,1))</f>
        <v>292.57482726862594</v>
      </c>
      <c r="CE42" s="60">
        <f t="shared" si="40"/>
        <v>283.48738729114024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10.402930402930403</v>
      </c>
      <c r="CT42" s="13">
        <f>IF('Données projet'!$A$140&gt;35,CT41+CS42-DB41,IF(A42&lt;'Données projet'!$A$140,$CQ$205^A42,IF(A42='Données projet'!$A$140,'Données projet'!$B$140,CT41+CS42-DB41)))</f>
        <v>196.70329670329667</v>
      </c>
      <c r="CU42" s="18">
        <f>CT42*VLOOKUP('Données projet'!$B$13,Paramètres!$A$1:$I$89,3,0)*VLOOKUP('Données projet'!$B$13,Paramètres!$A$1:$I$89,5,0)</f>
        <v>92.05714285714285</v>
      </c>
      <c r="CV42" s="14">
        <f t="shared" si="41"/>
        <v>25.060703863036977</v>
      </c>
      <c r="CW42" s="22">
        <f t="shared" si="13"/>
        <v>203.9802497043132</v>
      </c>
      <c r="CX42" s="60">
        <f t="shared" si="14"/>
        <v>497.31358303764648</v>
      </c>
      <c r="CY42" s="60">
        <f ca="1">AVERAGE(OFFSET($CX$3,0,0,'Données projet'!$E$13+1,1))-AVERAGE(OFFSET($H$3,0,0,'Données projet'!$E$13+1,1))</f>
        <v>246.64907095367749</v>
      </c>
      <c r="CZ42" s="60">
        <f t="shared" si="42"/>
        <v>145.34368562171613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7.6</v>
      </c>
      <c r="DO42" s="13">
        <f>IF('Données projet'!$A$166&gt;35,DO41+DN42-DW41,IF(A42&lt;'Données projet'!$A$166,$DL$205^A42,IF(A42='Données projet'!$A$166,'Données projet'!$B$166,DO41+DN42-DW41)))</f>
        <v>144.40000000000003</v>
      </c>
      <c r="DP42" s="18">
        <f>DO42*VLOOKUP('Données projet'!$B$14,Paramètres!$A$1:$I$89,3,0)*VLOOKUP('Données projet'!$B$14,Paramètres!$A$1:$I$89,5,0)</f>
        <v>117.13728000000003</v>
      </c>
      <c r="DQ42" s="14">
        <f t="shared" si="43"/>
        <v>31.006381507018595</v>
      </c>
      <c r="DR42" s="22">
        <f t="shared" si="16"/>
        <v>258.01687712472409</v>
      </c>
      <c r="DS42" s="60">
        <f t="shared" si="17"/>
        <v>551.3502104580574</v>
      </c>
      <c r="DT42" s="60">
        <f ca="1">AVERAGE(OFFSET($DS$3,0,0,'Données projet'!$E$14+1,1))-AVERAGE(OFFSET($H$3,0,0,'Données projet'!$E$14+1,1))</f>
        <v>256.19915261735281</v>
      </c>
      <c r="DU42" s="60">
        <f t="shared" si="44"/>
        <v>297.47246687305056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606.71543359582972</v>
      </c>
      <c r="S43" s="60">
        <f ca="1">AVERAGE(OFFSET($R$3,0,0,'Données projet'!$E$9+1,1))-AVERAGE(OFFSET($H$3,0,0,'Données projet'!$E$9+1,1))</f>
        <v>428.8489304403459</v>
      </c>
      <c r="T43" s="60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191.99999999999997</v>
      </c>
      <c r="AJ43" s="14">
        <f>AI43*VLOOKUP('Données projet'!$B$10,Paramètres!$A$1:$I$89,3,0)*VLOOKUP('Données projet'!$B$10,Paramètres!$A$1:$I$89,5,0)</f>
        <v>152.75519999999997</v>
      </c>
      <c r="AK43" s="14">
        <f t="shared" si="35"/>
        <v>39.204049895729561</v>
      </c>
      <c r="AL43" s="22">
        <f t="shared" si="4"/>
        <v>334.32902690172892</v>
      </c>
      <c r="AM43" s="60">
        <f t="shared" si="5"/>
        <v>627.66236023506224</v>
      </c>
      <c r="AN43" s="60">
        <f ca="1">AVERAGE(OFFSET($AM$3,0,0,'Données projet'!$E$10+1,1))-AVERAGE(OFFSET($H$3,0,0,'Données projet'!$E$10+1,1))</f>
        <v>299.28262372717484</v>
      </c>
      <c r="AO43" s="60">
        <f t="shared" si="36"/>
        <v>294.28794439094889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4</v>
      </c>
      <c r="BC43" s="13">
        <f t="array" ref="BC43">INDEX(BB:BB,MIN(IF(ISNUMBER(BB43:BB239),ROW(BB43:BB239),"")))</f>
        <v>4</v>
      </c>
      <c r="BD43" s="13">
        <f>IF('Données projet'!$A$88&gt;35,BD42+BC43-BL42,IF(A43&lt;'Données projet'!$A$88,$BA$205^A43,IF(A43='Données projet'!$A$88,'Données projet'!$B$88,BD42+BC43-BL42)))</f>
        <v>191.99999999999997</v>
      </c>
      <c r="BE43" s="14">
        <f>BD43*VLOOKUP('Données projet'!$B$11,Paramètres!$A$1:$I$89,3,0)*VLOOKUP('Données projet'!$B$11,Paramètres!$A$1:$I$89,5,0)</f>
        <v>140.77439999999999</v>
      </c>
      <c r="BF43" s="14">
        <f t="shared" si="37"/>
        <v>36.474352666172102</v>
      </c>
      <c r="BG43" s="22">
        <f t="shared" si="7"/>
        <v>308.70824422691641</v>
      </c>
      <c r="BH43" s="60">
        <f t="shared" si="8"/>
        <v>602.04157756024972</v>
      </c>
      <c r="BI43" s="60">
        <f ca="1">AVERAGE(OFFSET($BH$3,0,0,'Données projet'!$E$11+1,1))-AVERAGE(OFFSET($H$3,0,0,'Données projet'!$E$11+1,1))</f>
        <v>278.61904724595763</v>
      </c>
      <c r="BJ43" s="60">
        <f t="shared" si="38"/>
        <v>274.55710362891892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0">
        <f t="shared" si="11"/>
        <v>610.30085310437994</v>
      </c>
      <c r="CD43" s="60">
        <f ca="1">AVERAGE(OFFSET($CC$3,0,0,'Données projet'!$E$12+1,1))-AVERAGE(OFFSET($H$3,0,0,'Données projet'!$E$12+1,1))</f>
        <v>292.57482726862594</v>
      </c>
      <c r="CE43" s="60">
        <f t="shared" si="40"/>
        <v>283.48738729114024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10.402930402930403</v>
      </c>
      <c r="CT43" s="13">
        <f>IF('Données projet'!$A$140&gt;35,CT42+CS43-DB42,IF(A43&lt;'Données projet'!$A$140,$CQ$205^A43,IF(A43='Données projet'!$A$140,'Données projet'!$B$140,CT42+CS43-DB42)))</f>
        <v>207.10622710622707</v>
      </c>
      <c r="CU43" s="18">
        <f>CT43*VLOOKUP('Données projet'!$B$13,Paramètres!$A$1:$I$89,3,0)*VLOOKUP('Données projet'!$B$13,Paramètres!$A$1:$I$89,5,0)</f>
        <v>96.925714285714264</v>
      </c>
      <c r="CV43" s="14">
        <f t="shared" si="41"/>
        <v>26.228265683321183</v>
      </c>
      <c r="CW43" s="22">
        <f t="shared" si="13"/>
        <v>214.49318177940339</v>
      </c>
      <c r="CX43" s="60">
        <f t="shared" si="14"/>
        <v>507.82651511273673</v>
      </c>
      <c r="CY43" s="60">
        <f ca="1">AVERAGE(OFFSET($CX$3,0,0,'Données projet'!$E$13+1,1))-AVERAGE(OFFSET($H$3,0,0,'Données projet'!$E$13+1,1))</f>
        <v>246.64907095367749</v>
      </c>
      <c r="CZ43" s="60">
        <f t="shared" si="42"/>
        <v>145.34368562171613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</v>
      </c>
      <c r="DM43" s="13">
        <f>VLOOKUP(A43,'Données projet'!$A$165:$I$185,9,0)</f>
        <v>7.6</v>
      </c>
      <c r="DN43" s="13">
        <f t="array" ref="DN43">INDEX(DM:DM,MIN(IF(ISNUMBER(DM43:DM239),ROW(DM43:DM239),"")))</f>
        <v>7.6</v>
      </c>
      <c r="DO43" s="13">
        <f>IF('Données projet'!$A$166&gt;35,DO42+DN43-DW42,IF(A43&lt;'Données projet'!$A$166,$DL$205^A43,IF(A43='Données projet'!$A$166,'Données projet'!$B$166,DO42+DN43-DW42)))</f>
        <v>152.00000000000003</v>
      </c>
      <c r="DP43" s="18">
        <f>DO43*VLOOKUP('Données projet'!$B$14,Paramètres!$A$1:$I$89,3,0)*VLOOKUP('Données projet'!$B$14,Paramètres!$A$1:$I$89,5,0)</f>
        <v>123.30240000000003</v>
      </c>
      <c r="DQ43" s="14">
        <f t="shared" si="43"/>
        <v>32.444008665071891</v>
      </c>
      <c r="DR43" s="22">
        <f t="shared" si="16"/>
        <v>271.25832842500023</v>
      </c>
      <c r="DS43" s="60">
        <f t="shared" si="17"/>
        <v>564.59166175833354</v>
      </c>
      <c r="DT43" s="60">
        <f ca="1">AVERAGE(OFFSET($DS$3,0,0,'Données projet'!$E$14+1,1))-AVERAGE(OFFSET($H$3,0,0,'Données projet'!$E$14+1,1))</f>
        <v>256.19915261735281</v>
      </c>
      <c r="DU43" s="60">
        <f t="shared" si="44"/>
        <v>297.47246687305056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541.50302276112825</v>
      </c>
      <c r="S44" s="60">
        <f ca="1">AVERAGE(OFFSET($R$3,0,0,'Données projet'!$E$9+1,1))-AVERAGE(OFFSET($H$3,0,0,'Données projet'!$E$9+1,1))</f>
        <v>428.8489304403459</v>
      </c>
      <c r="T44" s="60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13.8</v>
      </c>
      <c r="AI44" s="14">
        <f>IF('Données projet'!$A$62&gt;35,AI43+AH44-AQ43,IF(A44&lt;'Données projet'!$A$62,$AF$205^A44,IF(A44='Données projet'!$A$62,'Données projet'!$B$62,AI43+AH44-AQ43)))</f>
        <v>149.79999999999998</v>
      </c>
      <c r="AJ44" s="14">
        <f>AI44*VLOOKUP('Données projet'!$B$10,Paramètres!$A$1:$I$89,3,0)*VLOOKUP('Données projet'!$B$10,Paramètres!$A$1:$I$89,5,0)</f>
        <v>119.18088</v>
      </c>
      <c r="AK44" s="14">
        <f t="shared" si="35"/>
        <v>31.483876914537184</v>
      </c>
      <c r="AL44" s="22">
        <f t="shared" si="4"/>
        <v>262.40778495948558</v>
      </c>
      <c r="AM44" s="60">
        <f t="shared" si="5"/>
        <v>555.7411182928189</v>
      </c>
      <c r="AN44" s="60">
        <f ca="1">AVERAGE(OFFSET($AM$3,0,0,'Données projet'!$E$10+1,1))-AVERAGE(OFFSET($H$3,0,0,'Données projet'!$E$10+1,1))</f>
        <v>299.28262372717484</v>
      </c>
      <c r="AO44" s="60">
        <f t="shared" si="36"/>
        <v>294.28794439094889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149.79999999999998</v>
      </c>
      <c r="BE44" s="14">
        <f>BD44*VLOOKUP('Données projet'!$B$11,Paramètres!$A$1:$I$89,3,0)*VLOOKUP('Données projet'!$B$11,Paramètres!$A$1:$I$89,5,0)</f>
        <v>109.83335999999998</v>
      </c>
      <c r="BF44" s="14">
        <f t="shared" si="37"/>
        <v>29.291719425249283</v>
      </c>
      <c r="BG44" s="22">
        <f t="shared" si="7"/>
        <v>242.30951333230917</v>
      </c>
      <c r="BH44" s="60">
        <f t="shared" si="8"/>
        <v>535.64284666564254</v>
      </c>
      <c r="BI44" s="60">
        <f ca="1">AVERAGE(OFFSET($BH$3,0,0,'Données projet'!$E$11+1,1))-AVERAGE(OFFSET($H$3,0,0,'Données projet'!$E$11+1,1))</f>
        <v>278.61904724595763</v>
      </c>
      <c r="BJ44" s="60">
        <f t="shared" si="38"/>
        <v>274.55710362891892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0">
        <f t="shared" si="11"/>
        <v>628.88128868979697</v>
      </c>
      <c r="CD44" s="60">
        <f ca="1">AVERAGE(OFFSET($CC$3,0,0,'Données projet'!$E$12+1,1))-AVERAGE(OFFSET($H$3,0,0,'Données projet'!$E$12+1,1))</f>
        <v>292.57482726862594</v>
      </c>
      <c r="CE44" s="60">
        <f t="shared" si="40"/>
        <v>283.48738729114024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10.402930402930403</v>
      </c>
      <c r="CT44" s="13">
        <f>IF('Données projet'!$A$140&gt;35,CT43+CS44-DB43,IF(A44&lt;'Données projet'!$A$140,$CQ$205^A44,IF(A44='Données projet'!$A$140,'Données projet'!$B$140,CT43+CS44-DB43)))</f>
        <v>217.50915750915746</v>
      </c>
      <c r="CU44" s="18">
        <f>CT44*VLOOKUP('Données projet'!$B$13,Paramètres!$A$1:$I$89,3,0)*VLOOKUP('Données projet'!$B$13,Paramètres!$A$1:$I$89,5,0)</f>
        <v>101.79428571428569</v>
      </c>
      <c r="CV44" s="14">
        <f t="shared" si="41"/>
        <v>27.389017940319118</v>
      </c>
      <c r="CW44" s="22">
        <f t="shared" si="13"/>
        <v>224.99425386510336</v>
      </c>
      <c r="CX44" s="60">
        <f t="shared" si="14"/>
        <v>518.32758719843673</v>
      </c>
      <c r="CY44" s="60">
        <f ca="1">AVERAGE(OFFSET($CX$3,0,0,'Données projet'!$E$13+1,1))-AVERAGE(OFFSET($H$3,0,0,'Données projet'!$E$13+1,1))</f>
        <v>246.64907095367749</v>
      </c>
      <c r="CZ44" s="60">
        <f t="shared" si="42"/>
        <v>145.34368562171613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7.6</v>
      </c>
      <c r="DO44" s="13">
        <f>IF('Données projet'!$A$166&gt;35,DO43+DN44-DW43,IF(A44&lt;'Données projet'!$A$166,$DL$205^A44,IF(A44='Données projet'!$A$166,'Données projet'!$B$166,DO43+DN44-DW43)))</f>
        <v>159.60000000000002</v>
      </c>
      <c r="DP44" s="18">
        <f>DO44*VLOOKUP('Données projet'!$B$14,Paramètres!$A$1:$I$89,3,0)*VLOOKUP('Données projet'!$B$14,Paramètres!$A$1:$I$89,5,0)</f>
        <v>129.46752000000004</v>
      </c>
      <c r="DQ44" s="14">
        <f t="shared" si="43"/>
        <v>33.873289462262882</v>
      </c>
      <c r="DR44" s="22">
        <f t="shared" si="16"/>
        <v>284.48524314677451</v>
      </c>
      <c r="DS44" s="60">
        <f t="shared" si="17"/>
        <v>577.81857648010782</v>
      </c>
      <c r="DT44" s="60">
        <f ca="1">AVERAGE(OFFSET($DS$3,0,0,'Données projet'!$E$14+1,1))-AVERAGE(OFFSET($H$3,0,0,'Données projet'!$E$14+1,1))</f>
        <v>256.19915261735281</v>
      </c>
      <c r="DU44" s="60">
        <f t="shared" si="44"/>
        <v>297.47246687305056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557.83878140250954</v>
      </c>
      <c r="S45" s="60">
        <f ca="1">AVERAGE(OFFSET($R$3,0,0,'Données projet'!$E$9+1,1))-AVERAGE(OFFSET($H$3,0,0,'Données projet'!$E$9+1,1))</f>
        <v>428.8489304403459</v>
      </c>
      <c r="T45" s="60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13.8</v>
      </c>
      <c r="AI45" s="14">
        <f>IF('Données projet'!$A$62&gt;35,AI44+AH45-AQ44,IF(A45&lt;'Données projet'!$A$62,$AF$205^A45,IF(A45='Données projet'!$A$62,'Données projet'!$B$62,AI44+AH45-AQ44)))</f>
        <v>163.6</v>
      </c>
      <c r="AJ45" s="14">
        <f>AI45*VLOOKUP('Données projet'!$B$10,Paramètres!$A$1:$I$89,3,0)*VLOOKUP('Données projet'!$B$10,Paramètres!$A$1:$I$89,5,0)</f>
        <v>130.16015999999999</v>
      </c>
      <c r="AK45" s="14">
        <f t="shared" si="35"/>
        <v>34.033364953570199</v>
      </c>
      <c r="AL45" s="22">
        <f t="shared" si="4"/>
        <v>285.97038929413475</v>
      </c>
      <c r="AM45" s="60">
        <f t="shared" si="5"/>
        <v>579.30372262746801</v>
      </c>
      <c r="AN45" s="60">
        <f ca="1">AVERAGE(OFFSET($AM$3,0,0,'Données projet'!$E$10+1,1))-AVERAGE(OFFSET($H$3,0,0,'Données projet'!$E$10+1,1))</f>
        <v>299.28262372717484</v>
      </c>
      <c r="AO45" s="60">
        <f t="shared" si="36"/>
        <v>294.28794439094889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163.6</v>
      </c>
      <c r="BE45" s="14">
        <f>BD45*VLOOKUP('Données projet'!$B$11,Paramètres!$A$1:$I$89,3,0)*VLOOKUP('Données projet'!$B$11,Paramètres!$A$1:$I$89,5,0)</f>
        <v>119.95152</v>
      </c>
      <c r="BF45" s="14">
        <f t="shared" si="37"/>
        <v>31.663691864351986</v>
      </c>
      <c r="BG45" s="22">
        <f t="shared" si="7"/>
        <v>264.06316066374637</v>
      </c>
      <c r="BH45" s="60">
        <f t="shared" si="8"/>
        <v>557.39649399707969</v>
      </c>
      <c r="BI45" s="60">
        <f ca="1">AVERAGE(OFFSET($BH$3,0,0,'Données projet'!$E$11+1,1))-AVERAGE(OFFSET($H$3,0,0,'Données projet'!$E$11+1,1))</f>
        <v>278.61904724595763</v>
      </c>
      <c r="BJ45" s="60">
        <f t="shared" si="38"/>
        <v>274.55710362891892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0">
        <f t="shared" si="11"/>
        <v>647.43906935148379</v>
      </c>
      <c r="CD45" s="60">
        <f ca="1">AVERAGE(OFFSET($CC$3,0,0,'Données projet'!$E$12+1,1))-AVERAGE(OFFSET($H$3,0,0,'Données projet'!$E$12+1,1))</f>
        <v>292.57482726862594</v>
      </c>
      <c r="CE45" s="60">
        <f t="shared" si="40"/>
        <v>283.48738729114024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10.402930402930403</v>
      </c>
      <c r="CT45" s="13">
        <f>IF('Données projet'!$A$140&gt;35,CT44+CS45-DB44,IF(A45&lt;'Données projet'!$A$140,$CQ$205^A45,IF(A45='Données projet'!$A$140,'Données projet'!$B$140,CT44+CS45-DB44)))</f>
        <v>227.91208791208786</v>
      </c>
      <c r="CU45" s="18">
        <f>CT45*VLOOKUP('Données projet'!$B$13,Paramètres!$A$1:$I$89,3,0)*VLOOKUP('Données projet'!$B$13,Paramètres!$A$1:$I$89,5,0)</f>
        <v>106.66285714285712</v>
      </c>
      <c r="CV45" s="14">
        <f t="shared" si="41"/>
        <v>28.543323501294243</v>
      </c>
      <c r="CW45" s="22">
        <f t="shared" si="13"/>
        <v>235.48409795523028</v>
      </c>
      <c r="CX45" s="60">
        <f t="shared" si="14"/>
        <v>528.81743128856363</v>
      </c>
      <c r="CY45" s="60">
        <f ca="1">AVERAGE(OFFSET($CX$3,0,0,'Données projet'!$E$13+1,1))-AVERAGE(OFFSET($H$3,0,0,'Données projet'!$E$13+1,1))</f>
        <v>246.64907095367749</v>
      </c>
      <c r="CZ45" s="60">
        <f t="shared" si="42"/>
        <v>145.34368562171613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7.6</v>
      </c>
      <c r="DO45" s="13">
        <f>IF('Données projet'!$A$166&gt;35,DO44+DN45-DW44,IF(A45&lt;'Données projet'!$A$166,$DL$205^A45,IF(A45='Données projet'!$A$166,'Données projet'!$B$166,DO44+DN45-DW44)))</f>
        <v>167.20000000000002</v>
      </c>
      <c r="DP45" s="18">
        <f>DO45*VLOOKUP('Données projet'!$B$14,Paramètres!$A$1:$I$89,3,0)*VLOOKUP('Données projet'!$B$14,Paramètres!$A$1:$I$89,5,0)</f>
        <v>135.63264000000004</v>
      </c>
      <c r="DQ45" s="14">
        <f t="shared" si="43"/>
        <v>35.294666721954265</v>
      </c>
      <c r="DR45" s="22">
        <f t="shared" si="16"/>
        <v>297.69839254073707</v>
      </c>
      <c r="DS45" s="60">
        <f t="shared" si="17"/>
        <v>591.03172587407039</v>
      </c>
      <c r="DT45" s="60">
        <f ca="1">AVERAGE(OFFSET($DS$3,0,0,'Données projet'!$E$14+1,1))-AVERAGE(OFFSET($H$3,0,0,'Données projet'!$E$14+1,1))</f>
        <v>256.19915261735281</v>
      </c>
      <c r="DU45" s="60">
        <f t="shared" si="44"/>
        <v>297.47246687305056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574.15179438724942</v>
      </c>
      <c r="S46" s="60">
        <f ca="1">AVERAGE(OFFSET($R$3,0,0,'Données projet'!$E$9+1,1))-AVERAGE(OFFSET($H$3,0,0,'Données projet'!$E$9+1,1))</f>
        <v>428.8489304403459</v>
      </c>
      <c r="T46" s="60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13.8</v>
      </c>
      <c r="AI46" s="14">
        <f>IF('Données projet'!$A$62&gt;35,AI45+AH46-AQ45,IF(A46&lt;'Données projet'!$A$62,$AF$205^A46,IF(A46='Données projet'!$A$62,'Données projet'!$B$62,AI45+AH46-AQ45)))</f>
        <v>177.4</v>
      </c>
      <c r="AJ46" s="14">
        <f>AI46*VLOOKUP('Données projet'!$B$10,Paramètres!$A$1:$I$89,3,0)*VLOOKUP('Données projet'!$B$10,Paramètres!$A$1:$I$89,5,0)</f>
        <v>141.13944000000001</v>
      </c>
      <c r="AK46" s="14">
        <f t="shared" si="35"/>
        <v>36.557911926411755</v>
      </c>
      <c r="AL46" s="22">
        <f t="shared" si="4"/>
        <v>309.48955460516714</v>
      </c>
      <c r="AM46" s="60">
        <f t="shared" si="5"/>
        <v>602.82288793850046</v>
      </c>
      <c r="AN46" s="60">
        <f ca="1">AVERAGE(OFFSET($AM$3,0,0,'Données projet'!$E$10+1,1))-AVERAGE(OFFSET($H$3,0,0,'Données projet'!$E$10+1,1))</f>
        <v>299.28262372717484</v>
      </c>
      <c r="AO46" s="60">
        <f t="shared" si="36"/>
        <v>294.28794439094889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177.4</v>
      </c>
      <c r="BE46" s="14">
        <f>BD46*VLOOKUP('Données projet'!$B$11,Paramètres!$A$1:$I$89,3,0)*VLOOKUP('Données projet'!$B$11,Paramètres!$A$1:$I$89,5,0)</f>
        <v>130.06968000000001</v>
      </c>
      <c r="BF46" s="14">
        <f t="shared" si="37"/>
        <v>34.012459832320815</v>
      </c>
      <c r="BG46" s="22">
        <f t="shared" si="7"/>
        <v>285.77639354129207</v>
      </c>
      <c r="BH46" s="60">
        <f t="shared" si="8"/>
        <v>579.10972687462538</v>
      </c>
      <c r="BI46" s="60">
        <f ca="1">AVERAGE(OFFSET($BH$3,0,0,'Données projet'!$E$11+1,1))-AVERAGE(OFFSET($H$3,0,0,'Données projet'!$E$11+1,1))</f>
        <v>278.61904724595763</v>
      </c>
      <c r="BJ46" s="60">
        <f t="shared" si="38"/>
        <v>274.55710362891892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0">
        <f t="shared" si="11"/>
        <v>665.97554898467797</v>
      </c>
      <c r="CD46" s="60">
        <f ca="1">AVERAGE(OFFSET($CC$3,0,0,'Données projet'!$E$12+1,1))-AVERAGE(OFFSET($H$3,0,0,'Données projet'!$E$12+1,1))</f>
        <v>292.57482726862594</v>
      </c>
      <c r="CE46" s="60">
        <f t="shared" si="40"/>
        <v>283.48738729114024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10.402930402930403</v>
      </c>
      <c r="CT46" s="13">
        <f>IF('Données projet'!$A$140&gt;35,CT45+CS46-DB45,IF(A46&lt;'Données projet'!$A$140,$CQ$205^A46,IF(A46='Données projet'!$A$140,'Données projet'!$B$140,CT45+CS46-DB45)))</f>
        <v>238.31501831501825</v>
      </c>
      <c r="CU46" s="18">
        <f>CT46*VLOOKUP('Données projet'!$B$13,Paramètres!$A$1:$I$89,3,0)*VLOOKUP('Données projet'!$B$13,Paramètres!$A$1:$I$89,5,0)</f>
        <v>111.53142857142855</v>
      </c>
      <c r="CV46" s="14">
        <f t="shared" si="41"/>
        <v>29.691510235320177</v>
      </c>
      <c r="CW46" s="22">
        <f t="shared" si="13"/>
        <v>245.96328508842066</v>
      </c>
      <c r="CX46" s="60">
        <f t="shared" si="14"/>
        <v>539.29661842175392</v>
      </c>
      <c r="CY46" s="60">
        <f ca="1">AVERAGE(OFFSET($CX$3,0,0,'Données projet'!$E$13+1,1))-AVERAGE(OFFSET($H$3,0,0,'Données projet'!$E$13+1,1))</f>
        <v>246.64907095367749</v>
      </c>
      <c r="CZ46" s="60">
        <f t="shared" si="42"/>
        <v>145.34368562171613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7.6</v>
      </c>
      <c r="DO46" s="13">
        <f>IF('Données projet'!$A$166&gt;35,DO45+DN46-DW45,IF(A46&lt;'Données projet'!$A$166,$DL$205^A46,IF(A46='Données projet'!$A$166,'Données projet'!$B$166,DO45+DN46-DW45)))</f>
        <v>174.8</v>
      </c>
      <c r="DP46" s="18">
        <f>DO46*VLOOKUP('Données projet'!$B$14,Paramètres!$A$1:$I$89,3,0)*VLOOKUP('Données projet'!$B$14,Paramètres!$A$1:$I$89,5,0)</f>
        <v>141.79776000000004</v>
      </c>
      <c r="DQ46" s="14">
        <f t="shared" si="43"/>
        <v>36.708540735279854</v>
      </c>
      <c r="DR46" s="22">
        <f t="shared" si="16"/>
        <v>310.89847378061245</v>
      </c>
      <c r="DS46" s="60">
        <f t="shared" si="17"/>
        <v>604.23180711394571</v>
      </c>
      <c r="DT46" s="60">
        <f ca="1">AVERAGE(OFFSET($DS$3,0,0,'Données projet'!$E$14+1,1))-AVERAGE(OFFSET($H$3,0,0,'Données projet'!$E$14+1,1))</f>
        <v>256.19915261735281</v>
      </c>
      <c r="DU46" s="60">
        <f t="shared" si="44"/>
        <v>297.47246687305056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590.44356897369653</v>
      </c>
      <c r="S47" s="60">
        <f ca="1">AVERAGE(OFFSET($R$3,0,0,'Données projet'!$E$9+1,1))-AVERAGE(OFFSET($H$3,0,0,'Données projet'!$E$9+1,1))</f>
        <v>428.8489304403459</v>
      </c>
      <c r="T47" s="60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13.8</v>
      </c>
      <c r="AI47" s="14">
        <f>IF('Données projet'!$A$62&gt;35,AI46+AH47-AQ46,IF(A47&lt;'Données projet'!$A$62,$AF$205^A47,IF(A47='Données projet'!$A$62,'Données projet'!$B$62,AI46+AH47-AQ46)))</f>
        <v>191.20000000000002</v>
      </c>
      <c r="AJ47" s="14">
        <f>AI47*VLOOKUP('Données projet'!$B$10,Paramètres!$A$1:$I$89,3,0)*VLOOKUP('Données projet'!$B$10,Paramètres!$A$1:$I$89,5,0)</f>
        <v>152.11872000000002</v>
      </c>
      <c r="AK47" s="14">
        <f t="shared" si="35"/>
        <v>39.059678596099225</v>
      </c>
      <c r="AL47" s="22">
        <f t="shared" si="4"/>
        <v>332.96904422153949</v>
      </c>
      <c r="AM47" s="60">
        <f t="shared" si="5"/>
        <v>626.30237755487281</v>
      </c>
      <c r="AN47" s="60">
        <f ca="1">AVERAGE(OFFSET($AM$3,0,0,'Données projet'!$E$10+1,1))-AVERAGE(OFFSET($H$3,0,0,'Données projet'!$E$10+1,1))</f>
        <v>299.28262372717484</v>
      </c>
      <c r="AO47" s="60">
        <f t="shared" si="36"/>
        <v>294.28794439094889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191.20000000000002</v>
      </c>
      <c r="BE47" s="14">
        <f>BD47*VLOOKUP('Données projet'!$B$11,Paramètres!$A$1:$I$89,3,0)*VLOOKUP('Données projet'!$B$11,Paramètres!$A$1:$I$89,5,0)</f>
        <v>140.18784000000002</v>
      </c>
      <c r="BF47" s="14">
        <f t="shared" si="37"/>
        <v>36.340033642714168</v>
      </c>
      <c r="BG47" s="22">
        <f t="shared" si="7"/>
        <v>307.45271326106052</v>
      </c>
      <c r="BH47" s="60">
        <f t="shared" si="8"/>
        <v>600.78604659439384</v>
      </c>
      <c r="BI47" s="60">
        <f ca="1">AVERAGE(OFFSET($BH$3,0,0,'Données projet'!$E$11+1,1))-AVERAGE(OFFSET($H$3,0,0,'Données projet'!$E$11+1,1))</f>
        <v>278.61904724595763</v>
      </c>
      <c r="BJ47" s="60">
        <f t="shared" si="38"/>
        <v>274.55710362891892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0">
        <f t="shared" si="11"/>
        <v>684.49193583334397</v>
      </c>
      <c r="CD47" s="60">
        <f ca="1">AVERAGE(OFFSET($CC$3,0,0,'Données projet'!$E$12+1,1))-AVERAGE(OFFSET($H$3,0,0,'Données projet'!$E$12+1,1))</f>
        <v>292.57482726862594</v>
      </c>
      <c r="CE47" s="60">
        <f t="shared" si="40"/>
        <v>283.48738729114024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10.402930402930403</v>
      </c>
      <c r="CT47" s="13">
        <f>IF('Données projet'!$A$140&gt;35,CT46+CS47-DB46,IF(A47&lt;'Données projet'!$A$140,$CQ$205^A47,IF(A47='Données projet'!$A$140,'Données projet'!$B$140,CT46+CS47-DB46)))</f>
        <v>248.71794871794864</v>
      </c>
      <c r="CU47" s="18">
        <f>CT47*VLOOKUP('Données projet'!$B$13,Paramètres!$A$1:$I$89,3,0)*VLOOKUP('Données projet'!$B$13,Paramètres!$A$1:$I$89,5,0)</f>
        <v>116.39999999999996</v>
      </c>
      <c r="CV47" s="14">
        <f t="shared" si="41"/>
        <v>30.833875768540434</v>
      </c>
      <c r="CW47" s="22">
        <f t="shared" si="13"/>
        <v>256.43233363020784</v>
      </c>
      <c r="CX47" s="60">
        <f t="shared" si="14"/>
        <v>549.76566696354121</v>
      </c>
      <c r="CY47" s="60">
        <f ca="1">AVERAGE(OFFSET($CX$3,0,0,'Données projet'!$E$13+1,1))-AVERAGE(OFFSET($H$3,0,0,'Données projet'!$E$13+1,1))</f>
        <v>246.64907095367749</v>
      </c>
      <c r="CZ47" s="60">
        <f t="shared" si="42"/>
        <v>145.34368562171613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7.6</v>
      </c>
      <c r="DO47" s="13">
        <f>IF('Données projet'!$A$166&gt;35,DO46+DN47-DW46,IF(A47&lt;'Données projet'!$A$166,$DL$205^A47,IF(A47='Données projet'!$A$166,'Données projet'!$B$166,DO46+DN47-DW46)))</f>
        <v>182.4</v>
      </c>
      <c r="DP47" s="18">
        <f>DO47*VLOOKUP('Données projet'!$B$14,Paramètres!$A$1:$I$89,3,0)*VLOOKUP('Données projet'!$B$14,Paramètres!$A$1:$I$89,5,0)</f>
        <v>147.96288000000001</v>
      </c>
      <c r="DQ47" s="14">
        <f t="shared" si="43"/>
        <v>38.115275017059226</v>
      </c>
      <c r="DR47" s="22">
        <f t="shared" si="16"/>
        <v>324.0861199880448</v>
      </c>
      <c r="DS47" s="60">
        <f t="shared" si="17"/>
        <v>617.41945332137811</v>
      </c>
      <c r="DT47" s="60">
        <f ca="1">AVERAGE(OFFSET($DS$3,0,0,'Données projet'!$E$14+1,1))-AVERAGE(OFFSET($H$3,0,0,'Données projet'!$E$14+1,1))</f>
        <v>256.19915261735281</v>
      </c>
      <c r="DU47" s="60">
        <f t="shared" si="44"/>
        <v>297.47246687305056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606.71543359582972</v>
      </c>
      <c r="S48" s="60">
        <f ca="1">AVERAGE(OFFSET($R$3,0,0,'Données projet'!$E$9+1,1))-AVERAGE(OFFSET($H$3,0,0,'Données projet'!$E$9+1,1))</f>
        <v>428.8489304403459</v>
      </c>
      <c r="T48" s="60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13.8</v>
      </c>
      <c r="AH48" s="13">
        <f t="array" ref="AH48">INDEX(AG:AG,MIN(IF(ISNUMBER(AG48:AG244),ROW(AG48:AG244),"")))</f>
        <v>13.8</v>
      </c>
      <c r="AI48" s="14">
        <f>IF('Données projet'!$A$62&gt;35,AI47+AH48-AQ47,IF(A48&lt;'Données projet'!$A$62,$AF$205^A48,IF(A48='Données projet'!$A$62,'Données projet'!$B$62,AI47+AH48-AQ47)))</f>
        <v>205.00000000000003</v>
      </c>
      <c r="AJ48" s="14">
        <f>AI48*VLOOKUP('Données projet'!$B$10,Paramètres!$A$1:$I$89,3,0)*VLOOKUP('Données projet'!$B$10,Paramètres!$A$1:$I$89,5,0)</f>
        <v>163.09800000000001</v>
      </c>
      <c r="AK48" s="14">
        <f t="shared" si="35"/>
        <v>41.540496136845142</v>
      </c>
      <c r="AL48" s="22">
        <f t="shared" si="4"/>
        <v>356.41204743833867</v>
      </c>
      <c r="AM48" s="60">
        <f t="shared" si="5"/>
        <v>649.74538077167199</v>
      </c>
      <c r="AN48" s="60">
        <f ca="1">AVERAGE(OFFSET($AM$3,0,0,'Données projet'!$E$10+1,1))-AVERAGE(OFFSET($H$3,0,0,'Données projet'!$E$10+1,1))</f>
        <v>299.28262372717484</v>
      </c>
      <c r="AO48" s="60">
        <f t="shared" si="36"/>
        <v>294.28794439094889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205.00000000000003</v>
      </c>
      <c r="BE48" s="14">
        <f>BD48*VLOOKUP('Données projet'!$B$11,Paramètres!$A$1:$I$89,3,0)*VLOOKUP('Données projet'!$B$11,Paramètres!$A$1:$I$89,5,0)</f>
        <v>150.30600000000001</v>
      </c>
      <c r="BF48" s="14">
        <f t="shared" si="37"/>
        <v>38.648116968856677</v>
      </c>
      <c r="BG48" s="22">
        <f t="shared" si="7"/>
        <v>329.09508705409206</v>
      </c>
      <c r="BH48" s="60">
        <f t="shared" si="8"/>
        <v>622.42842038742538</v>
      </c>
      <c r="BI48" s="60">
        <f ca="1">AVERAGE(OFFSET($BH$3,0,0,'Données projet'!$E$11+1,1))-AVERAGE(OFFSET($H$3,0,0,'Données projet'!$E$11+1,1))</f>
        <v>278.61904724595763</v>
      </c>
      <c r="BJ48" s="60">
        <f t="shared" si="38"/>
        <v>274.55710362891892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0">
        <f t="shared" si="11"/>
        <v>630.2203310414834</v>
      </c>
      <c r="CD48" s="60">
        <f ca="1">AVERAGE(OFFSET($CC$3,0,0,'Données projet'!$E$12+1,1))-AVERAGE(OFFSET($H$3,0,0,'Données projet'!$E$12+1,1))</f>
        <v>292.57482726862594</v>
      </c>
      <c r="CE48" s="60">
        <f t="shared" si="40"/>
        <v>283.48738729114024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10.402930402930403</v>
      </c>
      <c r="CT48" s="13">
        <f>IF('Données projet'!$A$140&gt;35,CT47+CS48-DB47,IF(A48&lt;'Données projet'!$A$140,$CQ$205^A48,IF(A48='Données projet'!$A$140,'Données projet'!$B$140,CT47+CS48-DB47)))</f>
        <v>259.12087912087907</v>
      </c>
      <c r="CU48" s="18">
        <f>CT48*VLOOKUP('Données projet'!$B$13,Paramètres!$A$1:$I$89,3,0)*VLOOKUP('Données projet'!$B$13,Paramètres!$A$1:$I$89,5,0)</f>
        <v>121.26857142857141</v>
      </c>
      <c r="CV48" s="14">
        <f t="shared" si="41"/>
        <v>31.970691421429557</v>
      </c>
      <c r="CW48" s="22">
        <f t="shared" si="13"/>
        <v>266.89171613041833</v>
      </c>
      <c r="CX48" s="60">
        <f t="shared" si="14"/>
        <v>560.2250494637517</v>
      </c>
      <c r="CY48" s="60">
        <f ca="1">AVERAGE(OFFSET($CX$3,0,0,'Données projet'!$E$13+1,1))-AVERAGE(OFFSET($H$3,0,0,'Données projet'!$E$13+1,1))</f>
        <v>246.64907095367749</v>
      </c>
      <c r="CZ48" s="60">
        <f t="shared" si="42"/>
        <v>145.34368562171613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</v>
      </c>
      <c r="DM48" s="13">
        <f>VLOOKUP(A48,'Données projet'!$A$165:$I$185,9,0)</f>
        <v>7.6</v>
      </c>
      <c r="DN48" s="13">
        <f t="array" ref="DN48">INDEX(DM:DM,MIN(IF(ISNUMBER(DM48:DM244),ROW(DM48:DM244),"")))</f>
        <v>7.6</v>
      </c>
      <c r="DO48" s="13">
        <f>IF('Données projet'!$A$166&gt;35,DO47+DN48-DW47,IF(A48&lt;'Données projet'!$A$166,$DL$205^A48,IF(A48='Données projet'!$A$166,'Données projet'!$B$166,DO47+DN48-DW47)))</f>
        <v>190</v>
      </c>
      <c r="DP48" s="18">
        <f>DO48*VLOOKUP('Données projet'!$B$14,Paramètres!$A$1:$I$89,3,0)*VLOOKUP('Données projet'!$B$14,Paramètres!$A$1:$I$89,5,0)</f>
        <v>154.12800000000001</v>
      </c>
      <c r="DQ48" s="14">
        <f t="shared" si="43"/>
        <v>39.515201075361155</v>
      </c>
      <c r="DR48" s="22">
        <f t="shared" si="16"/>
        <v>337.26190853958735</v>
      </c>
      <c r="DS48" s="60">
        <f t="shared" si="17"/>
        <v>630.59524187292072</v>
      </c>
      <c r="DT48" s="60">
        <f ca="1">AVERAGE(OFFSET($DS$3,0,0,'Données projet'!$E$14+1,1))-AVERAGE(OFFSET($H$3,0,0,'Données projet'!$E$14+1,1))</f>
        <v>256.19915261735281</v>
      </c>
      <c r="DU48" s="60">
        <f t="shared" si="44"/>
        <v>297.47246687305056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622.58179746983251</v>
      </c>
      <c r="S49" s="60">
        <f ca="1">AVERAGE(OFFSET($R$3,0,0,'Données projet'!$E$9+1,1))-AVERAGE(OFFSET($H$3,0,0,'Données projet'!$E$9+1,1))</f>
        <v>428.8489304403459</v>
      </c>
      <c r="T49" s="60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2.6</v>
      </c>
      <c r="AI49" s="14">
        <f>IF('Données projet'!$A$62&gt;35,AI48+AH49-AQ48,IF(A49&lt;'Données projet'!$A$62,$AF$205^A49,IF(A49='Données projet'!$A$62,'Données projet'!$B$62,AI48+AH49-AQ48)))</f>
        <v>207.60000000000002</v>
      </c>
      <c r="AJ49" s="14">
        <f>AI49*VLOOKUP('Données projet'!$B$10,Paramètres!$A$1:$I$89,3,0)*VLOOKUP('Données projet'!$B$10,Paramètres!$A$1:$I$89,5,0)</f>
        <v>165.16656000000003</v>
      </c>
      <c r="AK49" s="14">
        <f t="shared" si="35"/>
        <v>42.00568326171458</v>
      </c>
      <c r="AL49" s="22">
        <f t="shared" si="4"/>
        <v>360.82499034748622</v>
      </c>
      <c r="AM49" s="60">
        <f t="shared" si="5"/>
        <v>654.15832368081954</v>
      </c>
      <c r="AN49" s="60">
        <f ca="1">AVERAGE(OFFSET($AM$3,0,0,'Données projet'!$E$10+1,1))-AVERAGE(OFFSET($H$3,0,0,'Données projet'!$E$10+1,1))</f>
        <v>299.28262372717484</v>
      </c>
      <c r="AO49" s="60">
        <f t="shared" si="36"/>
        <v>294.28794439094889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2.6</v>
      </c>
      <c r="BD49" s="13">
        <f>IF('Données projet'!$A$88&gt;35,BD48+BC49-BL48,IF(A49&lt;'Données projet'!$A$88,$BA$205^A49,IF(A49='Données projet'!$A$88,'Données projet'!$B$88,BD48+BC49-BL48)))</f>
        <v>207.60000000000002</v>
      </c>
      <c r="BE49" s="14">
        <f>BD49*VLOOKUP('Données projet'!$B$11,Paramètres!$A$1:$I$89,3,0)*VLOOKUP('Données projet'!$B$11,Paramètres!$A$1:$I$89,5,0)</f>
        <v>152.21232000000001</v>
      </c>
      <c r="BF49" s="14">
        <f t="shared" si="37"/>
        <v>39.080914072558386</v>
      </c>
      <c r="BG49" s="22">
        <f t="shared" si="7"/>
        <v>333.16904934303915</v>
      </c>
      <c r="BH49" s="60">
        <f t="shared" si="8"/>
        <v>626.50238267637246</v>
      </c>
      <c r="BI49" s="60">
        <f ca="1">AVERAGE(OFFSET($BH$3,0,0,'Données projet'!$E$11+1,1))-AVERAGE(OFFSET($H$3,0,0,'Données projet'!$E$11+1,1))</f>
        <v>278.61904724595763</v>
      </c>
      <c r="BJ49" s="60">
        <f t="shared" si="38"/>
        <v>274.55710362891892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0">
        <f t="shared" si="11"/>
        <v>647.49851449037362</v>
      </c>
      <c r="CD49" s="60">
        <f ca="1">AVERAGE(OFFSET($CC$3,0,0,'Données projet'!$E$12+1,1))-AVERAGE(OFFSET($H$3,0,0,'Données projet'!$E$12+1,1))</f>
        <v>292.57482726862594</v>
      </c>
      <c r="CE49" s="60">
        <f t="shared" si="40"/>
        <v>283.48738729114024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10.402930402930403</v>
      </c>
      <c r="CT49" s="13">
        <f>IF('Données projet'!$A$140&gt;35,CT48+CS49-DB48,IF(A49&lt;'Données projet'!$A$140,$CQ$205^A49,IF(A49='Données projet'!$A$140,'Données projet'!$B$140,CT48+CS49-DB48)))</f>
        <v>269.52380952380946</v>
      </c>
      <c r="CU49" s="18">
        <f>CT49*VLOOKUP('Données projet'!$B$13,Paramètres!$A$1:$I$89,3,0)*VLOOKUP('Données projet'!$B$13,Paramètres!$A$1:$I$89,5,0)</f>
        <v>126.13714285714282</v>
      </c>
      <c r="CV49" s="14">
        <f t="shared" si="41"/>
        <v>33.102205495977692</v>
      </c>
      <c r="CW49" s="22">
        <f t="shared" si="13"/>
        <v>277.34186504835151</v>
      </c>
      <c r="CX49" s="60">
        <f t="shared" si="14"/>
        <v>570.67519838168482</v>
      </c>
      <c r="CY49" s="60">
        <f ca="1">AVERAGE(OFFSET($CX$3,0,0,'Données projet'!$E$13+1,1))-AVERAGE(OFFSET($H$3,0,0,'Données projet'!$E$13+1,1))</f>
        <v>246.64907095367749</v>
      </c>
      <c r="CZ49" s="60">
        <f t="shared" si="42"/>
        <v>145.34368562171613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7.6</v>
      </c>
      <c r="DO49" s="13">
        <f>IF('Données projet'!$A$166&gt;35,DO48+DN49-DW48,IF(A49&lt;'Données projet'!$A$166,$DL$205^A49,IF(A49='Données projet'!$A$166,'Données projet'!$B$166,DO48+DN49-DW48)))</f>
        <v>197.6</v>
      </c>
      <c r="DP49" s="18">
        <f>DO49*VLOOKUP('Données projet'!$B$14,Paramètres!$A$1:$I$89,3,0)*VLOOKUP('Données projet'!$B$14,Paramètres!$A$1:$I$89,5,0)</f>
        <v>160.29311999999999</v>
      </c>
      <c r="DQ49" s="14">
        <f t="shared" si="43"/>
        <v>40.908622396455648</v>
      </c>
      <c r="DR49" s="22">
        <f t="shared" si="16"/>
        <v>350.42636800716019</v>
      </c>
      <c r="DS49" s="60">
        <f t="shared" si="17"/>
        <v>643.75970134049351</v>
      </c>
      <c r="DT49" s="60">
        <f ca="1">AVERAGE(OFFSET($DS$3,0,0,'Données projet'!$E$14+1,1))-AVERAGE(OFFSET($H$3,0,0,'Données projet'!$E$14+1,1))</f>
        <v>256.19915261735281</v>
      </c>
      <c r="DU49" s="60">
        <f t="shared" si="44"/>
        <v>297.47246687305056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638.43129351369294</v>
      </c>
      <c r="S50" s="60">
        <f ca="1">AVERAGE(OFFSET($R$3,0,0,'Données projet'!$E$9+1,1))-AVERAGE(OFFSET($H$3,0,0,'Données projet'!$E$9+1,1))</f>
        <v>428.8489304403459</v>
      </c>
      <c r="T50" s="60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2.6</v>
      </c>
      <c r="AI50" s="14">
        <f>IF('Données projet'!$A$62&gt;35,AI49+AH50-AQ49,IF(A50&lt;'Données projet'!$A$62,$AF$205^A50,IF(A50='Données projet'!$A$62,'Données projet'!$B$62,AI49+AH50-AQ49)))</f>
        <v>210.20000000000002</v>
      </c>
      <c r="AJ50" s="14">
        <f>AI50*VLOOKUP('Données projet'!$B$10,Paramètres!$A$1:$I$89,3,0)*VLOOKUP('Données projet'!$B$10,Paramètres!$A$1:$I$89,5,0)</f>
        <v>167.23512000000002</v>
      </c>
      <c r="AK50" s="14">
        <f t="shared" si="35"/>
        <v>42.470192710511604</v>
      </c>
      <c r="AL50" s="22">
        <f t="shared" si="4"/>
        <v>365.2367529708078</v>
      </c>
      <c r="AM50" s="60">
        <f t="shared" si="5"/>
        <v>658.57008630414111</v>
      </c>
      <c r="AN50" s="60">
        <f ca="1">AVERAGE(OFFSET($AM$3,0,0,'Données projet'!$E$10+1,1))-AVERAGE(OFFSET($H$3,0,0,'Données projet'!$E$10+1,1))</f>
        <v>299.28262372717484</v>
      </c>
      <c r="AO50" s="60">
        <f t="shared" si="36"/>
        <v>294.28794439094889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2.6</v>
      </c>
      <c r="BD50" s="13">
        <f>IF('Données projet'!$A$88&gt;35,BD49+BC50-BL49,IF(A50&lt;'Données projet'!$A$88,$BA$205^A50,IF(A50='Données projet'!$A$88,'Données projet'!$B$88,BD49+BC50-BL49)))</f>
        <v>210.20000000000002</v>
      </c>
      <c r="BE50" s="14">
        <f>BD50*VLOOKUP('Données projet'!$B$11,Paramètres!$A$1:$I$89,3,0)*VLOOKUP('Données projet'!$B$11,Paramètres!$A$1:$I$89,5,0)</f>
        <v>154.11864</v>
      </c>
      <c r="BF50" s="14">
        <f t="shared" si="37"/>
        <v>39.513080685376593</v>
      </c>
      <c r="BG50" s="22">
        <f t="shared" si="7"/>
        <v>337.24191352703087</v>
      </c>
      <c r="BH50" s="60">
        <f t="shared" si="8"/>
        <v>630.57524686036413</v>
      </c>
      <c r="BI50" s="60">
        <f ca="1">AVERAGE(OFFSET($BH$3,0,0,'Données projet'!$E$11+1,1))-AVERAGE(OFFSET($H$3,0,0,'Données projet'!$E$11+1,1))</f>
        <v>278.61904724595763</v>
      </c>
      <c r="BJ50" s="60">
        <f t="shared" si="38"/>
        <v>274.55710362891892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0">
        <f t="shared" si="11"/>
        <v>664.75823642060936</v>
      </c>
      <c r="CD50" s="60">
        <f ca="1">AVERAGE(OFFSET($CC$3,0,0,'Données projet'!$E$12+1,1))-AVERAGE(OFFSET($H$3,0,0,'Données projet'!$E$12+1,1))</f>
        <v>292.57482726862594</v>
      </c>
      <c r="CE50" s="60">
        <f t="shared" si="40"/>
        <v>283.48738729114024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10.402930402930403</v>
      </c>
      <c r="CT50" s="13">
        <f>IF('Données projet'!$A$140&gt;35,CT49+CS50-DB49,IF(A50&lt;'Données projet'!$A$140,$CQ$205^A50,IF(A50='Données projet'!$A$140,'Données projet'!$B$140,CT49+CS50-DB49)))</f>
        <v>279.92673992673986</v>
      </c>
      <c r="CU50" s="18">
        <f>CT50*VLOOKUP('Données projet'!$B$13,Paramètres!$A$1:$I$89,3,0)*VLOOKUP('Données projet'!$B$13,Paramètres!$A$1:$I$89,5,0)</f>
        <v>131.00571428571425</v>
      </c>
      <c r="CV50" s="14">
        <f t="shared" si="41"/>
        <v>34.228646041091935</v>
      </c>
      <c r="CW50" s="22">
        <f t="shared" si="13"/>
        <v>287.78317756918744</v>
      </c>
      <c r="CX50" s="60">
        <f t="shared" si="14"/>
        <v>581.11651090252076</v>
      </c>
      <c r="CY50" s="60">
        <f ca="1">AVERAGE(OFFSET($CX$3,0,0,'Données projet'!$E$13+1,1))-AVERAGE(OFFSET($H$3,0,0,'Données projet'!$E$13+1,1))</f>
        <v>246.64907095367749</v>
      </c>
      <c r="CZ50" s="60">
        <f t="shared" si="42"/>
        <v>145.34368562171613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7.6</v>
      </c>
      <c r="DO50" s="13">
        <f>IF('Données projet'!$A$166&gt;35,DO49+DN50-DW49,IF(A50&lt;'Données projet'!$A$166,$DL$205^A50,IF(A50='Données projet'!$A$166,'Données projet'!$B$166,DO49+DN50-DW49)))</f>
        <v>205.2</v>
      </c>
      <c r="DP50" s="18">
        <f>DO50*VLOOKUP('Données projet'!$B$14,Paramètres!$A$1:$I$89,3,0)*VLOOKUP('Données projet'!$B$14,Paramètres!$A$1:$I$89,5,0)</f>
        <v>166.45823999999999</v>
      </c>
      <c r="DQ50" s="14">
        <f t="shared" si="43"/>
        <v>42.295817799452642</v>
      </c>
      <c r="DR50" s="22">
        <f t="shared" si="16"/>
        <v>363.5799840007133</v>
      </c>
      <c r="DS50" s="60">
        <f t="shared" si="17"/>
        <v>656.91331733404661</v>
      </c>
      <c r="DT50" s="60">
        <f ca="1">AVERAGE(OFFSET($DS$3,0,0,'Données projet'!$E$14+1,1))-AVERAGE(OFFSET($H$3,0,0,'Données projet'!$E$14+1,1))</f>
        <v>256.19915261735281</v>
      </c>
      <c r="DU50" s="60">
        <f t="shared" si="44"/>
        <v>297.47246687305056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654.26480538883823</v>
      </c>
      <c r="S51" s="60">
        <f ca="1">AVERAGE(OFFSET($R$3,0,0,'Données projet'!$E$9+1,1))-AVERAGE(OFFSET($H$3,0,0,'Données projet'!$E$9+1,1))</f>
        <v>428.8489304403459</v>
      </c>
      <c r="T51" s="60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2.6</v>
      </c>
      <c r="AI51" s="14">
        <f>IF('Données projet'!$A$62&gt;35,AI50+AH51-AQ50,IF(A51&lt;'Données projet'!$A$62,$AF$205^A51,IF(A51='Données projet'!$A$62,'Données projet'!$B$62,AI50+AH51-AQ50)))</f>
        <v>212.8</v>
      </c>
      <c r="AJ51" s="14">
        <f>AI51*VLOOKUP('Données projet'!$B$10,Paramètres!$A$1:$I$89,3,0)*VLOOKUP('Données projet'!$B$10,Paramètres!$A$1:$I$89,5,0)</f>
        <v>169.30368000000001</v>
      </c>
      <c r="AK51" s="14">
        <f t="shared" si="35"/>
        <v>42.934033834973214</v>
      </c>
      <c r="AL51" s="22">
        <f t="shared" si="4"/>
        <v>369.64735159591169</v>
      </c>
      <c r="AM51" s="60">
        <f t="shared" si="5"/>
        <v>662.98068492924494</v>
      </c>
      <c r="AN51" s="60">
        <f ca="1">AVERAGE(OFFSET($AM$3,0,0,'Données projet'!$E$10+1,1))-AVERAGE(OFFSET($H$3,0,0,'Données projet'!$E$10+1,1))</f>
        <v>299.28262372717484</v>
      </c>
      <c r="AO51" s="60">
        <f t="shared" si="36"/>
        <v>294.28794439094889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2.6</v>
      </c>
      <c r="BD51" s="13">
        <f>IF('Données projet'!$A$88&gt;35,BD50+BC51-BL50,IF(A51&lt;'Données projet'!$A$88,$BA$205^A51,IF(A51='Données projet'!$A$88,'Données projet'!$B$88,BD50+BC51-BL50)))</f>
        <v>212.8</v>
      </c>
      <c r="BE51" s="14">
        <f>BD51*VLOOKUP('Données projet'!$B$11,Paramètres!$A$1:$I$89,3,0)*VLOOKUP('Données projet'!$B$11,Paramètres!$A$1:$I$89,5,0)</f>
        <v>156.02496000000002</v>
      </c>
      <c r="BF51" s="14">
        <f t="shared" si="37"/>
        <v>39.944625507905997</v>
      </c>
      <c r="BG51" s="22">
        <f t="shared" si="7"/>
        <v>341.31369475960292</v>
      </c>
      <c r="BH51" s="60">
        <f t="shared" si="8"/>
        <v>634.64702809293624</v>
      </c>
      <c r="BI51" s="60">
        <f ca="1">AVERAGE(OFFSET($BH$3,0,0,'Données projet'!$E$11+1,1))-AVERAGE(OFFSET($H$3,0,0,'Données projet'!$E$11+1,1))</f>
        <v>278.61904724595763</v>
      </c>
      <c r="BJ51" s="60">
        <f t="shared" si="38"/>
        <v>274.55710362891892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0">
        <f t="shared" si="11"/>
        <v>682.00047520268288</v>
      </c>
      <c r="CD51" s="60">
        <f ca="1">AVERAGE(OFFSET($CC$3,0,0,'Données projet'!$E$12+1,1))-AVERAGE(OFFSET($H$3,0,0,'Données projet'!$E$12+1,1))</f>
        <v>292.57482726862594</v>
      </c>
      <c r="CE51" s="60">
        <f t="shared" si="40"/>
        <v>283.48738729114024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10.402930402930403</v>
      </c>
      <c r="CT51" s="13">
        <f>IF('Données projet'!$A$140&gt;35,CT50+CS51-DB50,IF(A51&lt;'Données projet'!$A$140,$CQ$205^A51,IF(A51='Données projet'!$A$140,'Données projet'!$B$140,CT50+CS51-DB50)))</f>
        <v>290.32967032967025</v>
      </c>
      <c r="CU51" s="18">
        <f>CT51*VLOOKUP('Données projet'!$B$13,Paramètres!$A$1:$I$89,3,0)*VLOOKUP('Données projet'!$B$13,Paramètres!$A$1:$I$89,5,0)</f>
        <v>135.87428571428569</v>
      </c>
      <c r="CV51" s="14">
        <f t="shared" si="41"/>
        <v>35.350223195357941</v>
      </c>
      <c r="CW51" s="22">
        <f t="shared" si="13"/>
        <v>298.21601968429599</v>
      </c>
      <c r="CX51" s="60">
        <f t="shared" si="14"/>
        <v>591.5493530176293</v>
      </c>
      <c r="CY51" s="60">
        <f ca="1">AVERAGE(OFFSET($CX$3,0,0,'Données projet'!$E$13+1,1))-AVERAGE(OFFSET($H$3,0,0,'Données projet'!$E$13+1,1))</f>
        <v>246.64907095367749</v>
      </c>
      <c r="CZ51" s="60">
        <f t="shared" si="42"/>
        <v>145.34368562171613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7.6</v>
      </c>
      <c r="DO51" s="13">
        <f>IF('Données projet'!$A$166&gt;35,DO50+DN51-DW50,IF(A51&lt;'Données projet'!$A$166,$DL$205^A51,IF(A51='Données projet'!$A$166,'Données projet'!$B$166,DO50+DN51-DW50)))</f>
        <v>212.79999999999998</v>
      </c>
      <c r="DP51" s="18">
        <f>DO51*VLOOKUP('Données projet'!$B$14,Paramètres!$A$1:$I$89,3,0)*VLOOKUP('Données projet'!$B$14,Paramètres!$A$1:$I$89,5,0)</f>
        <v>172.62335999999999</v>
      </c>
      <c r="DQ51" s="14">
        <f t="shared" si="43"/>
        <v>43.67704427998607</v>
      </c>
      <c r="DR51" s="22">
        <f t="shared" si="16"/>
        <v>376.72320412097571</v>
      </c>
      <c r="DS51" s="60">
        <f t="shared" si="17"/>
        <v>670.05653745430902</v>
      </c>
      <c r="DT51" s="60">
        <f ca="1">AVERAGE(OFFSET($DS$3,0,0,'Données projet'!$E$14+1,1))-AVERAGE(OFFSET($H$3,0,0,'Données projet'!$E$14+1,1))</f>
        <v>256.19915261735281</v>
      </c>
      <c r="DU51" s="60">
        <f t="shared" si="44"/>
        <v>297.47246687305056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670.08313290501178</v>
      </c>
      <c r="S52" s="60">
        <f ca="1">AVERAGE(OFFSET($R$3,0,0,'Données projet'!$E$9+1,1))-AVERAGE(OFFSET($H$3,0,0,'Données projet'!$E$9+1,1))</f>
        <v>428.8489304403459</v>
      </c>
      <c r="T52" s="60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2.6</v>
      </c>
      <c r="AI52" s="14">
        <f>IF('Données projet'!$A$62&gt;35,AI51+AH52-AQ51,IF(A52&lt;'Données projet'!$A$62,$AF$205^A52,IF(A52='Données projet'!$A$62,'Données projet'!$B$62,AI51+AH52-AQ51)))</f>
        <v>215.4</v>
      </c>
      <c r="AJ52" s="14">
        <f>AI52*VLOOKUP('Données projet'!$B$10,Paramètres!$A$1:$I$89,3,0)*VLOOKUP('Données projet'!$B$10,Paramètres!$A$1:$I$89,5,0)</f>
        <v>171.37224000000001</v>
      </c>
      <c r="AK52" s="14">
        <f t="shared" si="35"/>
        <v>43.397215745170669</v>
      </c>
      <c r="AL52" s="22">
        <f t="shared" si="4"/>
        <v>374.05680208950554</v>
      </c>
      <c r="AM52" s="60">
        <f t="shared" si="5"/>
        <v>667.39013542283885</v>
      </c>
      <c r="AN52" s="60">
        <f ca="1">AVERAGE(OFFSET($AM$3,0,0,'Données projet'!$E$10+1,1))-AVERAGE(OFFSET($H$3,0,0,'Données projet'!$E$10+1,1))</f>
        <v>299.28262372717484</v>
      </c>
      <c r="AO52" s="60">
        <f t="shared" si="36"/>
        <v>294.28794439094889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2.6</v>
      </c>
      <c r="BD52" s="13">
        <f>IF('Données projet'!$A$88&gt;35,BD51+BC52-BL51,IF(A52&lt;'Données projet'!$A$88,$BA$205^A52,IF(A52='Données projet'!$A$88,'Données projet'!$B$88,BD51+BC52-BL51)))</f>
        <v>215.4</v>
      </c>
      <c r="BE52" s="14">
        <f>BD52*VLOOKUP('Données projet'!$B$11,Paramètres!$A$1:$I$89,3,0)*VLOOKUP('Données projet'!$B$11,Paramètres!$A$1:$I$89,5,0)</f>
        <v>157.93128000000002</v>
      </c>
      <c r="BF52" s="14">
        <f t="shared" si="37"/>
        <v>40.375557015902373</v>
      </c>
      <c r="BG52" s="22">
        <f t="shared" si="7"/>
        <v>345.38440780269661</v>
      </c>
      <c r="BH52" s="60">
        <f t="shared" si="8"/>
        <v>638.71774113602987</v>
      </c>
      <c r="BI52" s="60">
        <f ca="1">AVERAGE(OFFSET($BH$3,0,0,'Données projet'!$E$11+1,1))-AVERAGE(OFFSET($H$3,0,0,'Données projet'!$E$11+1,1))</f>
        <v>278.61904724595763</v>
      </c>
      <c r="BJ52" s="60">
        <f t="shared" si="38"/>
        <v>274.55710362891892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0">
        <f t="shared" si="11"/>
        <v>699.22611533947588</v>
      </c>
      <c r="CD52" s="60">
        <f ca="1">AVERAGE(OFFSET($CC$3,0,0,'Données projet'!$E$12+1,1))-AVERAGE(OFFSET($H$3,0,0,'Données projet'!$E$12+1,1))</f>
        <v>292.57482726862594</v>
      </c>
      <c r="CE52" s="60">
        <f t="shared" si="40"/>
        <v>283.48738729114024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10.402930402930403</v>
      </c>
      <c r="CT52" s="13">
        <f>IF('Données projet'!$A$140&gt;35,CT51+CS52-DB51,IF(A52&lt;'Données projet'!$A$140,$CQ$205^A52,IF(A52='Données projet'!$A$140,'Données projet'!$B$140,CT51+CS52-DB51)))</f>
        <v>300.73260073260064</v>
      </c>
      <c r="CU52" s="18">
        <f>CT52*VLOOKUP('Données projet'!$B$13,Paramètres!$A$1:$I$89,3,0)*VLOOKUP('Données projet'!$B$13,Paramètres!$A$1:$I$89,5,0)</f>
        <v>140.7428571428571</v>
      </c>
      <c r="CV52" s="14">
        <f t="shared" si="41"/>
        <v>36.467131184587252</v>
      </c>
      <c r="CW52" s="22">
        <f t="shared" si="13"/>
        <v>308.64072967029892</v>
      </c>
      <c r="CX52" s="60">
        <f t="shared" si="14"/>
        <v>601.97406300363218</v>
      </c>
      <c r="CY52" s="60">
        <f ca="1">AVERAGE(OFFSET($CX$3,0,0,'Données projet'!$E$13+1,1))-AVERAGE(OFFSET($H$3,0,0,'Données projet'!$E$13+1,1))</f>
        <v>246.64907095367749</v>
      </c>
      <c r="CZ52" s="60">
        <f t="shared" si="42"/>
        <v>145.34368562171613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7.6</v>
      </c>
      <c r="DO52" s="13">
        <f>IF('Données projet'!$A$166&gt;35,DO51+DN52-DW51,IF(A52&lt;'Données projet'!$A$166,$DL$205^A52,IF(A52='Données projet'!$A$166,'Données projet'!$B$166,DO51+DN52-DW51)))</f>
        <v>220.39999999999998</v>
      </c>
      <c r="DP52" s="18">
        <f>DO52*VLOOKUP('Données projet'!$B$14,Paramètres!$A$1:$I$89,3,0)*VLOOKUP('Données projet'!$B$14,Paramètres!$A$1:$I$89,5,0)</f>
        <v>178.78847999999999</v>
      </c>
      <c r="DQ52" s="14">
        <f t="shared" si="43"/>
        <v>45.052539436241446</v>
      </c>
      <c r="DR52" s="22">
        <f t="shared" si="16"/>
        <v>389.85644218478711</v>
      </c>
      <c r="DS52" s="60">
        <f t="shared" si="17"/>
        <v>683.18977551812043</v>
      </c>
      <c r="DT52" s="60">
        <f ca="1">AVERAGE(OFFSET($DS$3,0,0,'Données projet'!$E$14+1,1))-AVERAGE(OFFSET($H$3,0,0,'Données projet'!$E$14+1,1))</f>
        <v>256.19915261735281</v>
      </c>
      <c r="DU52" s="60">
        <f t="shared" si="44"/>
        <v>297.47246687305056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685.88700323711032</v>
      </c>
      <c r="S53" s="60">
        <f ca="1">AVERAGE(OFFSET($R$3,0,0,'Données projet'!$E$9+1,1))-AVERAGE(OFFSET($H$3,0,0,'Données projet'!$E$9+1,1))</f>
        <v>428.8489304403459</v>
      </c>
      <c r="T53" s="60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2.6</v>
      </c>
      <c r="AH53" s="13">
        <f t="array" ref="AH53">INDEX(AG:AG,MIN(IF(ISNUMBER(AG53:AG249),ROW(AG53:AG249),"")))</f>
        <v>2.6</v>
      </c>
      <c r="AI53" s="14">
        <f>IF('Données projet'!$A$62&gt;35,AI52+AH53-AQ52,IF(A53&lt;'Données projet'!$A$62,$AF$205^A53,IF(A53='Données projet'!$A$62,'Données projet'!$B$62,AI52+AH53-AQ52)))</f>
        <v>218</v>
      </c>
      <c r="AJ53" s="14">
        <f>AI53*VLOOKUP('Données projet'!$B$10,Paramètres!$A$1:$I$89,3,0)*VLOOKUP('Données projet'!$B$10,Paramètres!$A$1:$I$89,5,0)</f>
        <v>173.44080000000002</v>
      </c>
      <c r="AK53" s="14">
        <f t="shared" si="35"/>
        <v>43.859747318594479</v>
      </c>
      <c r="AL53" s="22">
        <f t="shared" si="4"/>
        <v>378.46511991321876</v>
      </c>
      <c r="AM53" s="60">
        <f t="shared" si="5"/>
        <v>671.79845324655207</v>
      </c>
      <c r="AN53" s="60">
        <f ca="1">AVERAGE(OFFSET($AM$3,0,0,'Données projet'!$E$10+1,1))-AVERAGE(OFFSET($H$3,0,0,'Données projet'!$E$10+1,1))</f>
        <v>299.28262372717484</v>
      </c>
      <c r="AO53" s="60">
        <f t="shared" si="36"/>
        <v>294.28794439094889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2.6</v>
      </c>
      <c r="BC53" s="13">
        <f t="array" ref="BC53">INDEX(BB:BB,MIN(IF(ISNUMBER(BB53:BB249),ROW(BB53:BB249),"")))</f>
        <v>2.6</v>
      </c>
      <c r="BD53" s="13">
        <f>IF('Données projet'!$A$88&gt;35,BD52+BC53-BL52,IF(A53&lt;'Données projet'!$A$88,$BA$205^A53,IF(A53='Données projet'!$A$88,'Données projet'!$B$88,BD52+BC53-BL52)))</f>
        <v>218</v>
      </c>
      <c r="BE53" s="14">
        <f>BD53*VLOOKUP('Données projet'!$B$11,Paramètres!$A$1:$I$89,3,0)*VLOOKUP('Données projet'!$B$11,Paramètres!$A$1:$I$89,5,0)</f>
        <v>159.83760000000001</v>
      </c>
      <c r="BF53" s="14">
        <f t="shared" si="37"/>
        <v>40.805883468734919</v>
      </c>
      <c r="BG53" s="22">
        <f t="shared" si="7"/>
        <v>349.45406704138003</v>
      </c>
      <c r="BH53" s="60">
        <f t="shared" si="8"/>
        <v>642.78740037471334</v>
      </c>
      <c r="BI53" s="60">
        <f ca="1">AVERAGE(OFFSET($BH$3,0,0,'Données projet'!$E$11+1,1))-AVERAGE(OFFSET($H$3,0,0,'Données projet'!$E$11+1,1))</f>
        <v>278.61904724595763</v>
      </c>
      <c r="BJ53" s="60">
        <f t="shared" si="38"/>
        <v>274.55710362891892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0">
        <f t="shared" si="11"/>
        <v>716.43596015612616</v>
      </c>
      <c r="CD53" s="60">
        <f ca="1">AVERAGE(OFFSET($CC$3,0,0,'Données projet'!$E$12+1,1))-AVERAGE(OFFSET($H$3,0,0,'Données projet'!$E$12+1,1))</f>
        <v>292.57482726862594</v>
      </c>
      <c r="CE53" s="60">
        <f t="shared" si="40"/>
        <v>283.48738729114024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10.402930402930403</v>
      </c>
      <c r="CT53" s="13">
        <f>IF('Données projet'!$A$140&gt;35,CT52+CS53-DB52,IF(A53&lt;'Données projet'!$A$140,$CQ$205^A53,IF(A53='Données projet'!$A$140,'Données projet'!$B$140,CT52+CS53-DB52)))</f>
        <v>311.13553113553104</v>
      </c>
      <c r="CU53" s="18">
        <f>CT53*VLOOKUP('Données projet'!$B$13,Paramètres!$A$1:$I$89,3,0)*VLOOKUP('Données projet'!$B$13,Paramètres!$A$1:$I$89,5,0)</f>
        <v>145.61142857142852</v>
      </c>
      <c r="CV53" s="14">
        <f t="shared" si="41"/>
        <v>37.579550035203404</v>
      </c>
      <c r="CW53" s="22">
        <f t="shared" si="13"/>
        <v>319.05762107321726</v>
      </c>
      <c r="CX53" s="60">
        <f t="shared" si="14"/>
        <v>612.39095440655058</v>
      </c>
      <c r="CY53" s="60">
        <f ca="1">AVERAGE(OFFSET($CX$3,0,0,'Données projet'!$E$13+1,1))-AVERAGE(OFFSET($H$3,0,0,'Données projet'!$E$13+1,1))</f>
        <v>246.64907095367749</v>
      </c>
      <c r="CZ53" s="60">
        <f t="shared" si="42"/>
        <v>145.34368562171613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228</v>
      </c>
      <c r="DM53" s="13">
        <f>VLOOKUP(A53,'Données projet'!$A$165:$I$185,9,0)</f>
        <v>7.6</v>
      </c>
      <c r="DN53" s="13">
        <f t="array" ref="DN53">INDEX(DM:DM,MIN(IF(ISNUMBER(DM53:DM249),ROW(DM53:DM249),"")))</f>
        <v>7.6</v>
      </c>
      <c r="DO53" s="13">
        <f>IF('Données projet'!$A$166&gt;35,DO52+DN53-DW52,IF(A53&lt;'Données projet'!$A$166,$DL$205^A53,IF(A53='Données projet'!$A$166,'Données projet'!$B$166,DO52+DN53-DW52)))</f>
        <v>227.99999999999997</v>
      </c>
      <c r="DP53" s="18">
        <f>DO53*VLOOKUP('Données projet'!$B$14,Paramètres!$A$1:$I$89,3,0)*VLOOKUP('Données projet'!$B$14,Paramètres!$A$1:$I$89,5,0)</f>
        <v>184.95359999999999</v>
      </c>
      <c r="DQ53" s="14">
        <f t="shared" si="43"/>
        <v>46.42252355095799</v>
      </c>
      <c r="DR53" s="22">
        <f t="shared" si="16"/>
        <v>402.98008185125178</v>
      </c>
      <c r="DS53" s="60">
        <f t="shared" si="17"/>
        <v>696.3134151845851</v>
      </c>
      <c r="DT53" s="60">
        <f ca="1">AVERAGE(OFFSET($DS$3,0,0,'Données projet'!$E$14+1,1))-AVERAGE(OFFSET($H$3,0,0,'Données projet'!$E$14+1,1))</f>
        <v>256.19915261735281</v>
      </c>
      <c r="DU53" s="60">
        <f t="shared" si="44"/>
        <v>297.47246687305056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620.26096644164511</v>
      </c>
      <c r="S54" s="60">
        <f ca="1">AVERAGE(OFFSET($R$3,0,0,'Données projet'!$E$9+1,1))-AVERAGE(OFFSET($H$3,0,0,'Données projet'!$E$9+1,1))</f>
        <v>428.8489304403459</v>
      </c>
      <c r="T54" s="60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10.8</v>
      </c>
      <c r="AI54" s="14">
        <f>IF('Données projet'!$A$62&gt;35,AI53+AH54-AQ53,IF(A54&lt;'Données projet'!$A$62,$AF$205^A54,IF(A54='Données projet'!$A$62,'Données projet'!$B$62,AI53+AH54-AQ53)))</f>
        <v>189.8</v>
      </c>
      <c r="AJ54" s="14">
        <f>AI54*VLOOKUP('Données projet'!$B$10,Paramètres!$A$1:$I$89,3,0)*VLOOKUP('Données projet'!$B$10,Paramètres!$A$1:$I$89,5,0)</f>
        <v>151.00488000000001</v>
      </c>
      <c r="AK54" s="14">
        <f t="shared" si="35"/>
        <v>38.80685939084016</v>
      </c>
      <c r="AL54" s="22">
        <f t="shared" si="4"/>
        <v>330.58877943904662</v>
      </c>
      <c r="AM54" s="60">
        <f t="shared" si="5"/>
        <v>623.92211277237993</v>
      </c>
      <c r="AN54" s="60">
        <f ca="1">AVERAGE(OFFSET($AM$3,0,0,'Données projet'!$E$10+1,1))-AVERAGE(OFFSET($H$3,0,0,'Données projet'!$E$10+1,1))</f>
        <v>299.28262372717484</v>
      </c>
      <c r="AO54" s="60">
        <f t="shared" si="36"/>
        <v>294.28794439094889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10.8</v>
      </c>
      <c r="BD54" s="13">
        <f>IF('Données projet'!$A$88&gt;35,BD53+BC54-BL53,IF(A54&lt;'Données projet'!$A$88,$BA$205^A54,IF(A54='Données projet'!$A$88,'Données projet'!$B$88,BD53+BC54-BL53)))</f>
        <v>189.8</v>
      </c>
      <c r="BE54" s="14">
        <f>BD54*VLOOKUP('Données projet'!$B$11,Paramètres!$A$1:$I$89,3,0)*VLOOKUP('Données projet'!$B$11,Paramètres!$A$1:$I$89,5,0)</f>
        <v>139.16136</v>
      </c>
      <c r="BF54" s="14">
        <f t="shared" si="37"/>
        <v>36.104817717881744</v>
      </c>
      <c r="BG54" s="22">
        <f t="shared" si="7"/>
        <v>305.25525952531069</v>
      </c>
      <c r="BH54" s="60">
        <f t="shared" si="8"/>
        <v>598.58859285864401</v>
      </c>
      <c r="BI54" s="60">
        <f ca="1">AVERAGE(OFFSET($BH$3,0,0,'Données projet'!$E$11+1,1))-AVERAGE(OFFSET($H$3,0,0,'Données projet'!$E$11+1,1))</f>
        <v>278.61904724595763</v>
      </c>
      <c r="BJ54" s="60">
        <f t="shared" si="38"/>
        <v>274.55710362891892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0">
        <f t="shared" si="11"/>
        <v>733.63074231750591</v>
      </c>
      <c r="CD54" s="60">
        <f ca="1">AVERAGE(OFFSET($CC$3,0,0,'Données projet'!$E$12+1,1))-AVERAGE(OFFSET($H$3,0,0,'Données projet'!$E$12+1,1))</f>
        <v>292.57482726862594</v>
      </c>
      <c r="CE54" s="60">
        <f t="shared" si="40"/>
        <v>283.48738729114024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321.53846153846155</v>
      </c>
      <c r="CR54" s="13">
        <f>VLOOKUP(A54,'Données projet'!$A$139:$I$159,9,0)</f>
        <v>10.402930402930403</v>
      </c>
      <c r="CS54" s="13">
        <f t="array" ref="CS54">INDEX(CR:CR,MIN(IF(ISNUMBER(CR54:CR250),ROW(CR54:CR250),"")))</f>
        <v>10.402930402930403</v>
      </c>
      <c r="CT54" s="13">
        <f>IF('Données projet'!$A$140&gt;35,CT53+CS54-DB53,IF(A54&lt;'Données projet'!$A$140,$CQ$205^A54,IF(A54='Données projet'!$A$140,'Données projet'!$B$140,CT53+CS54-DB53)))</f>
        <v>321.53846153846143</v>
      </c>
      <c r="CU54" s="18">
        <f>CT54*VLOOKUP('Données projet'!$B$13,Paramètres!$A$1:$I$89,3,0)*VLOOKUP('Données projet'!$B$13,Paramètres!$A$1:$I$89,5,0)</f>
        <v>150.47999999999996</v>
      </c>
      <c r="CV54" s="14">
        <f t="shared" si="41"/>
        <v>38.687647052039566</v>
      </c>
      <c r="CW54" s="22">
        <f t="shared" si="13"/>
        <v>329.46698528230218</v>
      </c>
      <c r="CX54" s="60">
        <f t="shared" si="14"/>
        <v>622.80031861563543</v>
      </c>
      <c r="CY54" s="60">
        <f ca="1">AVERAGE(OFFSET($CX$3,0,0,'Données projet'!$E$13+1,1))-AVERAGE(OFFSET($H$3,0,0,'Données projet'!$E$13+1,1))</f>
        <v>246.64907095367749</v>
      </c>
      <c r="CZ54" s="60">
        <f t="shared" si="42"/>
        <v>145.34368562171613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100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7.6</v>
      </c>
      <c r="DO54" s="13">
        <f>IF('Données projet'!$A$166&gt;35,DO53+DN54-DW53,IF(A54&lt;'Données projet'!$A$166,$DL$205^A54,IF(A54='Données projet'!$A$166,'Données projet'!$B$166,DO53+DN54-DW53)))</f>
        <v>235.59999999999997</v>
      </c>
      <c r="DP54" s="18">
        <f>DO54*VLOOKUP('Données projet'!$B$14,Paramètres!$A$1:$I$89,3,0)*VLOOKUP('Données projet'!$B$14,Paramètres!$A$1:$I$89,5,0)</f>
        <v>191.11872</v>
      </c>
      <c r="DQ54" s="14">
        <f t="shared" si="43"/>
        <v>47.787201388032145</v>
      </c>
      <c r="DR54" s="22">
        <f t="shared" si="16"/>
        <v>416.09447975082259</v>
      </c>
      <c r="DS54" s="60">
        <f t="shared" si="17"/>
        <v>709.4278130841559</v>
      </c>
      <c r="DT54" s="60">
        <f ca="1">AVERAGE(OFFSET($DS$3,0,0,'Données projet'!$E$14+1,1))-AVERAGE(OFFSET($H$3,0,0,'Données projet'!$E$14+1,1))</f>
        <v>256.19915261735281</v>
      </c>
      <c r="DU54" s="60">
        <f t="shared" si="44"/>
        <v>297.47246687305056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635.72643681712532</v>
      </c>
      <c r="S55" s="60">
        <f ca="1">AVERAGE(OFFSET($R$3,0,0,'Données projet'!$E$9+1,1))-AVERAGE(OFFSET($H$3,0,0,'Données projet'!$E$9+1,1))</f>
        <v>428.8489304403459</v>
      </c>
      <c r="T55" s="60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10.8</v>
      </c>
      <c r="AI55" s="14">
        <f>IF('Données projet'!$A$62&gt;35,AI54+AH55-AQ54,IF(A55&lt;'Données projet'!$A$62,$AF$205^A55,IF(A55='Données projet'!$A$62,'Données projet'!$B$62,AI54+AH55-AQ54)))</f>
        <v>200.60000000000002</v>
      </c>
      <c r="AJ55" s="14">
        <f>AI55*VLOOKUP('Données projet'!$B$10,Paramètres!$A$1:$I$89,3,0)*VLOOKUP('Données projet'!$B$10,Paramètres!$A$1:$I$89,5,0)</f>
        <v>159.59736000000004</v>
      </c>
      <c r="AK55" s="14">
        <f t="shared" si="35"/>
        <v>40.751685517297737</v>
      </c>
      <c r="AL55" s="22">
        <f t="shared" si="4"/>
        <v>348.94125427596026</v>
      </c>
      <c r="AM55" s="60">
        <f t="shared" si="5"/>
        <v>642.27458760929358</v>
      </c>
      <c r="AN55" s="60">
        <f ca="1">AVERAGE(OFFSET($AM$3,0,0,'Données projet'!$E$10+1,1))-AVERAGE(OFFSET($H$3,0,0,'Données projet'!$E$10+1,1))</f>
        <v>299.28262372717484</v>
      </c>
      <c r="AO55" s="60">
        <f t="shared" si="36"/>
        <v>294.28794439094889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10.8</v>
      </c>
      <c r="BD55" s="13">
        <f>IF('Données projet'!$A$88&gt;35,BD54+BC55-BL54,IF(A55&lt;'Données projet'!$A$88,$BA$205^A55,IF(A55='Données projet'!$A$88,'Données projet'!$B$88,BD54+BC55-BL54)))</f>
        <v>200.60000000000002</v>
      </c>
      <c r="BE55" s="14">
        <f>BD55*VLOOKUP('Données projet'!$B$11,Paramètres!$A$1:$I$89,3,0)*VLOOKUP('Données projet'!$B$11,Paramètres!$A$1:$I$89,5,0)</f>
        <v>147.07992000000002</v>
      </c>
      <c r="BF55" s="14">
        <f t="shared" si="37"/>
        <v>37.914229607711135</v>
      </c>
      <c r="BG55" s="22">
        <f t="shared" si="7"/>
        <v>322.19814390009697</v>
      </c>
      <c r="BH55" s="60">
        <f t="shared" si="8"/>
        <v>615.53147723343022</v>
      </c>
      <c r="BI55" s="60">
        <f ca="1">AVERAGE(OFFSET($BH$3,0,0,'Données projet'!$E$11+1,1))-AVERAGE(OFFSET($H$3,0,0,'Données projet'!$E$11+1,1))</f>
        <v>278.61904724595763</v>
      </c>
      <c r="BJ55" s="60">
        <f t="shared" si="38"/>
        <v>274.55710362891892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0">
        <f t="shared" si="11"/>
        <v>750.81113261719929</v>
      </c>
      <c r="CD55" s="60">
        <f ca="1">AVERAGE(OFFSET($CC$3,0,0,'Données projet'!$E$12+1,1))-AVERAGE(OFFSET($H$3,0,0,'Données projet'!$E$12+1,1))</f>
        <v>292.57482726862594</v>
      </c>
      <c r="CE55" s="60">
        <f t="shared" si="40"/>
        <v>283.48738729114024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10.769230769230768</v>
      </c>
      <c r="CT55" s="13">
        <f>IF('Données projet'!$A$140&gt;35,CT54+CS55-DB54,IF(A55&lt;'Données projet'!$A$140,$CQ$205^A55,IF(A55='Données projet'!$A$140,'Données projet'!$B$140,CT54+CS55-DB54)))</f>
        <v>232.30769230769221</v>
      </c>
      <c r="CU55" s="18">
        <f>CT55*VLOOKUP('Données projet'!$B$13,Paramètres!$A$1:$I$89,3,0)*VLOOKUP('Données projet'!$B$13,Paramètres!$A$1:$I$89,5,0)</f>
        <v>108.71999999999996</v>
      </c>
      <c r="CV55" s="14">
        <f t="shared" si="41"/>
        <v>29.029201459451464</v>
      </c>
      <c r="CW55" s="22">
        <f t="shared" si="13"/>
        <v>239.91319254187792</v>
      </c>
      <c r="CX55" s="60">
        <f t="shared" si="14"/>
        <v>533.2465258752112</v>
      </c>
      <c r="CY55" s="60">
        <f ca="1">AVERAGE(OFFSET($CX$3,0,0,'Données projet'!$E$13+1,1))-AVERAGE(OFFSET($H$3,0,0,'Données projet'!$E$13+1,1))</f>
        <v>246.64907095367749</v>
      </c>
      <c r="CZ55" s="60">
        <f t="shared" si="42"/>
        <v>145.34368562171613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7.6</v>
      </c>
      <c r="DO55" s="13">
        <f>IF('Données projet'!$A$166&gt;35,DO54+DN55-DW54,IF(A55&lt;'Données projet'!$A$166,$DL$205^A55,IF(A55='Données projet'!$A$166,'Données projet'!$B$166,DO54+DN55-DW54)))</f>
        <v>243.19999999999996</v>
      </c>
      <c r="DP55" s="18">
        <f>DO55*VLOOKUP('Données projet'!$B$14,Paramètres!$A$1:$I$89,3,0)*VLOOKUP('Données projet'!$B$14,Paramètres!$A$1:$I$89,5,0)</f>
        <v>197.28383999999997</v>
      </c>
      <c r="DQ55" s="14">
        <f t="shared" si="43"/>
        <v>49.146763750789503</v>
      </c>
      <c r="DR55" s="22">
        <f t="shared" si="16"/>
        <v>429.19996819929173</v>
      </c>
      <c r="DS55" s="60">
        <f t="shared" si="17"/>
        <v>722.53330153262505</v>
      </c>
      <c r="DT55" s="60">
        <f ca="1">AVERAGE(OFFSET($DS$3,0,0,'Données projet'!$E$14+1,1))-AVERAGE(OFFSET($H$3,0,0,'Données projet'!$E$14+1,1))</f>
        <v>256.19915261735281</v>
      </c>
      <c r="DU55" s="60">
        <f t="shared" si="44"/>
        <v>297.47246687305056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651.17655593527957</v>
      </c>
      <c r="S56" s="60">
        <f ca="1">AVERAGE(OFFSET($R$3,0,0,'Données projet'!$E$9+1,1))-AVERAGE(OFFSET($H$3,0,0,'Données projet'!$E$9+1,1))</f>
        <v>428.8489304403459</v>
      </c>
      <c r="T56" s="60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10.8</v>
      </c>
      <c r="AI56" s="14">
        <f>IF('Données projet'!$A$62&gt;35,AI55+AH56-AQ55,IF(A56&lt;'Données projet'!$A$62,$AF$205^A56,IF(A56='Données projet'!$A$62,'Données projet'!$B$62,AI55+AH56-AQ55)))</f>
        <v>211.40000000000003</v>
      </c>
      <c r="AJ56" s="14">
        <f>AI56*VLOOKUP('Données projet'!$B$10,Paramètres!$A$1:$I$89,3,0)*VLOOKUP('Données projet'!$B$10,Paramètres!$A$1:$I$89,5,0)</f>
        <v>168.18984000000003</v>
      </c>
      <c r="AK56" s="14">
        <f t="shared" si="35"/>
        <v>42.684355718695393</v>
      </c>
      <c r="AL56" s="22">
        <f t="shared" si="4"/>
        <v>367.2725575433945</v>
      </c>
      <c r="AM56" s="60">
        <f t="shared" si="5"/>
        <v>660.60589087672781</v>
      </c>
      <c r="AN56" s="60">
        <f ca="1">AVERAGE(OFFSET($AM$3,0,0,'Données projet'!$E$10+1,1))-AVERAGE(OFFSET($H$3,0,0,'Données projet'!$E$10+1,1))</f>
        <v>299.28262372717484</v>
      </c>
      <c r="AO56" s="60">
        <f t="shared" si="36"/>
        <v>294.28794439094889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10.8</v>
      </c>
      <c r="BD56" s="13">
        <f>IF('Données projet'!$A$88&gt;35,BD55+BC56-BL55,IF(A56&lt;'Données projet'!$A$88,$BA$205^A56,IF(A56='Données projet'!$A$88,'Données projet'!$B$88,BD55+BC56-BL55)))</f>
        <v>211.40000000000003</v>
      </c>
      <c r="BE56" s="14">
        <f>BD56*VLOOKUP('Données projet'!$B$11,Paramètres!$A$1:$I$89,3,0)*VLOOKUP('Données projet'!$B$11,Paramètres!$A$1:$I$89,5,0)</f>
        <v>154.99848</v>
      </c>
      <c r="BF56" s="14">
        <f t="shared" si="37"/>
        <v>39.712331964500009</v>
      </c>
      <c r="BG56" s="22">
        <f t="shared" si="7"/>
        <v>339.12133083817082</v>
      </c>
      <c r="BH56" s="60">
        <f t="shared" si="8"/>
        <v>632.45466417150419</v>
      </c>
      <c r="BI56" s="60">
        <f ca="1">AVERAGE(OFFSET($BH$3,0,0,'Données projet'!$E$11+1,1))-AVERAGE(OFFSET($H$3,0,0,'Données projet'!$E$11+1,1))</f>
        <v>278.61904724595763</v>
      </c>
      <c r="BJ56" s="60">
        <f t="shared" si="38"/>
        <v>274.55710362891892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0">
        <f t="shared" si="11"/>
        <v>686.77547222807584</v>
      </c>
      <c r="CD56" s="60">
        <f ca="1">AVERAGE(OFFSET($CC$3,0,0,'Données projet'!$E$12+1,1))-AVERAGE(OFFSET($H$3,0,0,'Données projet'!$E$12+1,1))</f>
        <v>292.57482726862594</v>
      </c>
      <c r="CE56" s="60">
        <f t="shared" si="40"/>
        <v>283.48738729114024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10.769230769230768</v>
      </c>
      <c r="CT56" s="13">
        <f>IF('Données projet'!$A$140&gt;35,CT55+CS56-DB55,IF(A56&lt;'Données projet'!$A$140,$CQ$205^A56,IF(A56='Données projet'!$A$140,'Données projet'!$B$140,CT55+CS56-DB55)))</f>
        <v>243.07692307692298</v>
      </c>
      <c r="CU56" s="18">
        <f>CT56*VLOOKUP('Données projet'!$B$13,Paramètres!$A$1:$I$89,3,0)*VLOOKUP('Données projet'!$B$13,Paramètres!$A$1:$I$89,5,0)</f>
        <v>113.75999999999995</v>
      </c>
      <c r="CV56" s="14">
        <f t="shared" si="41"/>
        <v>30.215129555931622</v>
      </c>
      <c r="CW56" s="22">
        <f t="shared" si="13"/>
        <v>250.7566839765808</v>
      </c>
      <c r="CX56" s="60">
        <f t="shared" si="14"/>
        <v>544.09001730991417</v>
      </c>
      <c r="CY56" s="60">
        <f ca="1">AVERAGE(OFFSET($CX$3,0,0,'Données projet'!$E$13+1,1))-AVERAGE(OFFSET($H$3,0,0,'Données projet'!$E$13+1,1))</f>
        <v>246.64907095367749</v>
      </c>
      <c r="CZ56" s="60">
        <f t="shared" si="42"/>
        <v>145.34368562171613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7.6</v>
      </c>
      <c r="DO56" s="13">
        <f>IF('Données projet'!$A$166&gt;35,DO55+DN56-DW55,IF(A56&lt;'Données projet'!$A$166,$DL$205^A56,IF(A56='Données projet'!$A$166,'Données projet'!$B$166,DO55+DN56-DW55)))</f>
        <v>250.79999999999995</v>
      </c>
      <c r="DP56" s="18">
        <f>DO56*VLOOKUP('Données projet'!$B$14,Paramètres!$A$1:$I$89,3,0)*VLOOKUP('Données projet'!$B$14,Paramètres!$A$1:$I$89,5,0)</f>
        <v>203.44895999999997</v>
      </c>
      <c r="DQ56" s="14">
        <f t="shared" si="43"/>
        <v>50.501388840000267</v>
      </c>
      <c r="DR56" s="22">
        <f t="shared" si="16"/>
        <v>442.2968575630004</v>
      </c>
      <c r="DS56" s="60">
        <f t="shared" si="17"/>
        <v>735.63019089633372</v>
      </c>
      <c r="DT56" s="60">
        <f ca="1">AVERAGE(OFFSET($DS$3,0,0,'Données projet'!$E$14+1,1))-AVERAGE(OFFSET($H$3,0,0,'Données projet'!$E$14+1,1))</f>
        <v>256.19915261735281</v>
      </c>
      <c r="DU56" s="60">
        <f t="shared" si="44"/>
        <v>297.47246687305056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666.61207984061377</v>
      </c>
      <c r="S57" s="60">
        <f ca="1">AVERAGE(OFFSET($R$3,0,0,'Données projet'!$E$9+1,1))-AVERAGE(OFFSET($H$3,0,0,'Données projet'!$E$9+1,1))</f>
        <v>428.8489304403459</v>
      </c>
      <c r="T57" s="60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10.8</v>
      </c>
      <c r="AI57" s="14">
        <f>IF('Données projet'!$A$62&gt;35,AI56+AH57-AQ56,IF(A57&lt;'Données projet'!$A$62,$AF$205^A57,IF(A57='Données projet'!$A$62,'Données projet'!$B$62,AI56+AH57-AQ56)))</f>
        <v>222.20000000000005</v>
      </c>
      <c r="AJ57" s="14">
        <f>AI57*VLOOKUP('Données projet'!$B$10,Paramètres!$A$1:$I$89,3,0)*VLOOKUP('Données projet'!$B$10,Paramètres!$A$1:$I$89,5,0)</f>
        <v>176.78232000000006</v>
      </c>
      <c r="AK57" s="14">
        <f t="shared" si="35"/>
        <v>44.605561863097499</v>
      </c>
      <c r="AL57" s="22">
        <f t="shared" si="4"/>
        <v>385.58389424489491</v>
      </c>
      <c r="AM57" s="60">
        <f t="shared" si="5"/>
        <v>678.91722757822822</v>
      </c>
      <c r="AN57" s="60">
        <f ca="1">AVERAGE(OFFSET($AM$3,0,0,'Données projet'!$E$10+1,1))-AVERAGE(OFFSET($H$3,0,0,'Données projet'!$E$10+1,1))</f>
        <v>299.28262372717484</v>
      </c>
      <c r="AO57" s="60">
        <f t="shared" si="36"/>
        <v>294.28794439094889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10.8</v>
      </c>
      <c r="BD57" s="13">
        <f>IF('Données projet'!$A$88&gt;35,BD56+BC57-BL56,IF(A57&lt;'Données projet'!$A$88,$BA$205^A57,IF(A57='Données projet'!$A$88,'Données projet'!$B$88,BD56+BC57-BL56)))</f>
        <v>222.20000000000005</v>
      </c>
      <c r="BE57" s="14">
        <f>BD57*VLOOKUP('Données projet'!$B$11,Paramètres!$A$1:$I$89,3,0)*VLOOKUP('Données projet'!$B$11,Paramètres!$A$1:$I$89,5,0)</f>
        <v>162.91704000000001</v>
      </c>
      <c r="BF57" s="14">
        <f t="shared" si="37"/>
        <v>41.499768482964704</v>
      </c>
      <c r="BG57" s="22">
        <f t="shared" si="7"/>
        <v>356.02594144116352</v>
      </c>
      <c r="BH57" s="60">
        <f t="shared" si="8"/>
        <v>649.35927477449684</v>
      </c>
      <c r="BI57" s="60">
        <f ca="1">AVERAGE(OFFSET($BH$3,0,0,'Données projet'!$E$11+1,1))-AVERAGE(OFFSET($H$3,0,0,'Données projet'!$E$11+1,1))</f>
        <v>278.61904724595763</v>
      </c>
      <c r="BJ57" s="60">
        <f t="shared" si="38"/>
        <v>274.55710362891892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0">
        <f t="shared" si="11"/>
        <v>702.33747537368492</v>
      </c>
      <c r="CD57" s="60">
        <f ca="1">AVERAGE(OFFSET($CC$3,0,0,'Données projet'!$E$12+1,1))-AVERAGE(OFFSET($H$3,0,0,'Données projet'!$E$12+1,1))</f>
        <v>292.57482726862594</v>
      </c>
      <c r="CE57" s="60">
        <f t="shared" si="40"/>
        <v>283.48738729114024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10.769230769230768</v>
      </c>
      <c r="CT57" s="13">
        <f>IF('Données projet'!$A$140&gt;35,CT56+CS57-DB56,IF(A57&lt;'Données projet'!$A$140,$CQ$205^A57,IF(A57='Données projet'!$A$140,'Données projet'!$B$140,CT56+CS57-DB56)))</f>
        <v>253.84615384615375</v>
      </c>
      <c r="CU57" s="18">
        <f>CT57*VLOOKUP('Données projet'!$B$13,Paramètres!$A$1:$I$89,3,0)*VLOOKUP('Données projet'!$B$13,Paramètres!$A$1:$I$89,5,0)</f>
        <v>118.79999999999995</v>
      </c>
      <c r="CV57" s="14">
        <f t="shared" si="41"/>
        <v>31.394955500632594</v>
      </c>
      <c r="CW57" s="22">
        <f t="shared" si="13"/>
        <v>261.58954749693504</v>
      </c>
      <c r="CX57" s="60">
        <f t="shared" si="14"/>
        <v>554.92288083026835</v>
      </c>
      <c r="CY57" s="60">
        <f ca="1">AVERAGE(OFFSET($CX$3,0,0,'Données projet'!$E$13+1,1))-AVERAGE(OFFSET($H$3,0,0,'Données projet'!$E$13+1,1))</f>
        <v>246.64907095367749</v>
      </c>
      <c r="CZ57" s="60">
        <f t="shared" si="42"/>
        <v>145.34368562171613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7.6</v>
      </c>
      <c r="DO57" s="13">
        <f>IF('Données projet'!$A$166&gt;35,DO56+DN57-DW56,IF(A57&lt;'Données projet'!$A$166,$DL$205^A57,IF(A57='Données projet'!$A$166,'Données projet'!$B$166,DO56+DN57-DW56)))</f>
        <v>258.39999999999998</v>
      </c>
      <c r="DP57" s="18">
        <f>DO57*VLOOKUP('Données projet'!$B$14,Paramètres!$A$1:$I$89,3,0)*VLOOKUP('Données projet'!$B$14,Paramètres!$A$1:$I$89,5,0)</f>
        <v>209.61408</v>
      </c>
      <c r="DQ57" s="14">
        <f t="shared" si="43"/>
        <v>51.851243442662593</v>
      </c>
      <c r="DR57" s="22">
        <f t="shared" si="16"/>
        <v>455.38543832930395</v>
      </c>
      <c r="DS57" s="60">
        <f t="shared" si="17"/>
        <v>748.71877166263721</v>
      </c>
      <c r="DT57" s="60">
        <f ca="1">AVERAGE(OFFSET($DS$3,0,0,'Données projet'!$E$14+1,1))-AVERAGE(OFFSET($H$3,0,0,'Données projet'!$E$14+1,1))</f>
        <v>256.19915261735281</v>
      </c>
      <c r="DU57" s="60">
        <f t="shared" si="44"/>
        <v>297.47246687305056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682.03369695342735</v>
      </c>
      <c r="S58" s="60">
        <f ca="1">AVERAGE(OFFSET($R$3,0,0,'Données projet'!$E$9+1,1))-AVERAGE(OFFSET($H$3,0,0,'Données projet'!$E$9+1,1))</f>
        <v>428.8489304403459</v>
      </c>
      <c r="T58" s="60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233</v>
      </c>
      <c r="AG58" s="13">
        <f>VLOOKUP(A58,'Données projet'!$A$61:$I$81,9,0)</f>
        <v>10.8</v>
      </c>
      <c r="AH58" s="13">
        <f t="array" ref="AH58">INDEX(AG:AG,MIN(IF(ISNUMBER(AG58:AG254),ROW(AG58:AG254),"")))</f>
        <v>10.8</v>
      </c>
      <c r="AI58" s="14">
        <f>IF('Données projet'!$A$62&gt;35,AI57+AH58-AQ57,IF(A58&lt;'Données projet'!$A$62,$AF$205^A58,IF(A58='Données projet'!$A$62,'Données projet'!$B$62,AI57+AH58-AQ57)))</f>
        <v>233.00000000000006</v>
      </c>
      <c r="AJ58" s="14">
        <f>AI58*VLOOKUP('Données projet'!$B$10,Paramètres!$A$1:$I$89,3,0)*VLOOKUP('Données projet'!$B$10,Paramètres!$A$1:$I$89,5,0)</f>
        <v>185.37480000000005</v>
      </c>
      <c r="AK58" s="14">
        <f t="shared" si="35"/>
        <v>46.51592476241273</v>
      </c>
      <c r="AL58" s="22">
        <f t="shared" si="4"/>
        <v>403.87634562786894</v>
      </c>
      <c r="AM58" s="60">
        <f t="shared" si="5"/>
        <v>697.20967896120226</v>
      </c>
      <c r="AN58" s="60">
        <f ca="1">AVERAGE(OFFSET($AM$3,0,0,'Données projet'!$E$10+1,1))-AVERAGE(OFFSET($H$3,0,0,'Données projet'!$E$10+1,1))</f>
        <v>299.28262372717484</v>
      </c>
      <c r="AO58" s="60">
        <f t="shared" si="36"/>
        <v>294.28794439094889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10.8</v>
      </c>
      <c r="BC58" s="13">
        <f t="array" ref="BC58">INDEX(BB:BB,MIN(IF(ISNUMBER(BB58:BB254),ROW(BB58:BB254),"")))</f>
        <v>10.8</v>
      </c>
      <c r="BD58" s="13">
        <f>IF('Données projet'!$A$88&gt;35,BD57+BC58-BL57,IF(A58&lt;'Données projet'!$A$88,$BA$205^A58,IF(A58='Données projet'!$A$88,'Données projet'!$B$88,BD57+BC58-BL57)))</f>
        <v>233.00000000000006</v>
      </c>
      <c r="BE58" s="14">
        <f>BD58*VLOOKUP('Données projet'!$B$11,Paramètres!$A$1:$I$89,3,0)*VLOOKUP('Données projet'!$B$11,Paramètres!$A$1:$I$89,5,0)</f>
        <v>170.83560000000003</v>
      </c>
      <c r="BF58" s="14">
        <f t="shared" si="37"/>
        <v>43.277116749159681</v>
      </c>
      <c r="BG58" s="22">
        <f t="shared" si="7"/>
        <v>372.91298167145311</v>
      </c>
      <c r="BH58" s="60">
        <f t="shared" si="8"/>
        <v>666.24631500478642</v>
      </c>
      <c r="BI58" s="60">
        <f ca="1">AVERAGE(OFFSET($BH$3,0,0,'Données projet'!$E$11+1,1))-AVERAGE(OFFSET($H$3,0,0,'Données projet'!$E$11+1,1))</f>
        <v>278.61904724595763</v>
      </c>
      <c r="BJ58" s="60">
        <f t="shared" si="38"/>
        <v>274.55710362891892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0">
        <f t="shared" si="11"/>
        <v>717.88669435757902</v>
      </c>
      <c r="CD58" s="60">
        <f ca="1">AVERAGE(OFFSET($CC$3,0,0,'Données projet'!$E$12+1,1))-AVERAGE(OFFSET($H$3,0,0,'Données projet'!$E$12+1,1))</f>
        <v>292.57482726862594</v>
      </c>
      <c r="CE58" s="60">
        <f t="shared" si="40"/>
        <v>283.48738729114024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10.769230769230768</v>
      </c>
      <c r="CT58" s="13">
        <f>IF('Données projet'!$A$140&gt;35,CT57+CS58-DB57,IF(A58&lt;'Données projet'!$A$140,$CQ$205^A58,IF(A58='Données projet'!$A$140,'Données projet'!$B$140,CT57+CS58-DB57)))</f>
        <v>264.61538461538453</v>
      </c>
      <c r="CU58" s="18">
        <f>CT58*VLOOKUP('Données projet'!$B$13,Paramètres!$A$1:$I$89,3,0)*VLOOKUP('Données projet'!$B$13,Paramètres!$A$1:$I$89,5,0)</f>
        <v>123.83999999999995</v>
      </c>
      <c r="CV58" s="14">
        <f t="shared" si="41"/>
        <v>32.56896777038807</v>
      </c>
      <c r="CW58" s="22">
        <f t="shared" si="13"/>
        <v>272.4122855334258</v>
      </c>
      <c r="CX58" s="60">
        <f t="shared" si="14"/>
        <v>565.74561886675906</v>
      </c>
      <c r="CY58" s="60">
        <f ca="1">AVERAGE(OFFSET($CX$3,0,0,'Données projet'!$E$13+1,1))-AVERAGE(OFFSET($H$3,0,0,'Données projet'!$E$13+1,1))</f>
        <v>246.64907095367749</v>
      </c>
      <c r="CZ58" s="60">
        <f t="shared" si="42"/>
        <v>145.34368562171613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266</v>
      </c>
      <c r="DM58" s="13">
        <f>VLOOKUP(A58,'Données projet'!$A$165:$I$185,9,0)</f>
        <v>7.6</v>
      </c>
      <c r="DN58" s="13">
        <f t="array" ref="DN58">INDEX(DM:DM,MIN(IF(ISNUMBER(DM58:DM254),ROW(DM58:DM254),"")))</f>
        <v>7.6</v>
      </c>
      <c r="DO58" s="13">
        <f>IF('Données projet'!$A$166&gt;35,DO57+DN58-DW57,IF(A58&lt;'Données projet'!$A$166,$DL$205^A58,IF(A58='Données projet'!$A$166,'Données projet'!$B$166,DO57+DN58-DW57)))</f>
        <v>266</v>
      </c>
      <c r="DP58" s="18">
        <f>DO58*VLOOKUP('Données projet'!$B$14,Paramètres!$A$1:$I$89,3,0)*VLOOKUP('Données projet'!$B$14,Paramètres!$A$1:$I$89,5,0)</f>
        <v>215.7792</v>
      </c>
      <c r="DQ58" s="14">
        <f t="shared" si="43"/>
        <v>53.196483976998607</v>
      </c>
      <c r="DR58" s="22">
        <f t="shared" si="16"/>
        <v>468.46598292660588</v>
      </c>
      <c r="DS58" s="60">
        <f t="shared" si="17"/>
        <v>761.79931625993913</v>
      </c>
      <c r="DT58" s="60">
        <f ca="1">AVERAGE(OFFSET($DS$3,0,0,'Données projet'!$E$14+1,1))-AVERAGE(OFFSET($H$3,0,0,'Données projet'!$E$14+1,1))</f>
        <v>256.19915261735281</v>
      </c>
      <c r="DU58" s="60">
        <f t="shared" si="44"/>
        <v>297.47246687305056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696.67192586439194</v>
      </c>
      <c r="S59" s="60">
        <f ca="1">AVERAGE(OFFSET($R$3,0,0,'Données projet'!$E$9+1,1))-AVERAGE(OFFSET($H$3,0,0,'Données projet'!$E$9+1,1))</f>
        <v>428.8489304403459</v>
      </c>
      <c r="T59" s="60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2.4</v>
      </c>
      <c r="AI59" s="14">
        <f>IF('Données projet'!$A$62&gt;35,AI58+AH59-AQ58,IF(A59&lt;'Données projet'!$A$62,$AF$205^A59,IF(A59='Données projet'!$A$62,'Données projet'!$B$62,AI58+AH59-AQ58)))</f>
        <v>235.40000000000006</v>
      </c>
      <c r="AJ59" s="14">
        <f>AI59*VLOOKUP('Données projet'!$B$10,Paramètres!$A$1:$I$89,3,0)*VLOOKUP('Données projet'!$B$10,Paramètres!$A$1:$I$89,5,0)</f>
        <v>187.28424000000007</v>
      </c>
      <c r="AK59" s="14">
        <f t="shared" si="35"/>
        <v>46.939034723010714</v>
      </c>
      <c r="AL59" s="22">
        <f t="shared" si="4"/>
        <v>407.93887014257706</v>
      </c>
      <c r="AM59" s="60">
        <f t="shared" si="5"/>
        <v>701.27220347591037</v>
      </c>
      <c r="AN59" s="60">
        <f ca="1">AVERAGE(OFFSET($AM$3,0,0,'Données projet'!$E$10+1,1))-AVERAGE(OFFSET($H$3,0,0,'Données projet'!$E$10+1,1))</f>
        <v>299.28262372717484</v>
      </c>
      <c r="AO59" s="60">
        <f t="shared" si="36"/>
        <v>294.28794439094889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2.4</v>
      </c>
      <c r="BD59" s="13">
        <f>IF('Données projet'!$A$88&gt;35,BD58+BC59-BL58,IF(A59&lt;'Données projet'!$A$88,$BA$205^A59,IF(A59='Données projet'!$A$88,'Données projet'!$B$88,BD58+BC59-BL58)))</f>
        <v>235.40000000000006</v>
      </c>
      <c r="BE59" s="14">
        <f>BD59*VLOOKUP('Données projet'!$B$11,Paramètres!$A$1:$I$89,3,0)*VLOOKUP('Données projet'!$B$11,Paramètres!$A$1:$I$89,5,0)</f>
        <v>172.59528000000003</v>
      </c>
      <c r="BF59" s="14">
        <f t="shared" si="37"/>
        <v>43.670766434854585</v>
      </c>
      <c r="BG59" s="22">
        <f t="shared" si="7"/>
        <v>376.66336420737179</v>
      </c>
      <c r="BH59" s="60">
        <f t="shared" si="8"/>
        <v>669.9966975407051</v>
      </c>
      <c r="BI59" s="60">
        <f ca="1">AVERAGE(OFFSET($BH$3,0,0,'Données projet'!$E$11+1,1))-AVERAGE(OFFSET($H$3,0,0,'Données projet'!$E$11+1,1))</f>
        <v>278.61904724595763</v>
      </c>
      <c r="BJ59" s="60">
        <f t="shared" si="38"/>
        <v>274.55710362891892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0">
        <f t="shared" si="11"/>
        <v>733.42366321047757</v>
      </c>
      <c r="CD59" s="60">
        <f ca="1">AVERAGE(OFFSET($CC$3,0,0,'Données projet'!$E$12+1,1))-AVERAGE(OFFSET($H$3,0,0,'Données projet'!$E$12+1,1))</f>
        <v>292.57482726862594</v>
      </c>
      <c r="CE59" s="60">
        <f t="shared" si="40"/>
        <v>283.48738729114024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10.769230769230768</v>
      </c>
      <c r="CT59" s="13">
        <f>IF('Données projet'!$A$140&gt;35,CT58+CS59-DB58,IF(A59&lt;'Données projet'!$A$140,$CQ$205^A59,IF(A59='Données projet'!$A$140,'Données projet'!$B$140,CT58+CS59-DB58)))</f>
        <v>275.3846153846153</v>
      </c>
      <c r="CU59" s="18">
        <f>CT59*VLOOKUP('Données projet'!$B$13,Paramètres!$A$1:$I$89,3,0)*VLOOKUP('Données projet'!$B$13,Paramètres!$A$1:$I$89,5,0)</f>
        <v>128.87999999999997</v>
      </c>
      <c r="CV59" s="14">
        <f t="shared" si="41"/>
        <v>33.73743003255538</v>
      </c>
      <c r="CW59" s="22">
        <f t="shared" si="13"/>
        <v>283.22535730670057</v>
      </c>
      <c r="CX59" s="60">
        <f t="shared" si="14"/>
        <v>576.55869064003389</v>
      </c>
      <c r="CY59" s="60">
        <f ca="1">AVERAGE(OFFSET($CX$3,0,0,'Données projet'!$E$13+1,1))-AVERAGE(OFFSET($H$3,0,0,'Données projet'!$E$13+1,1))</f>
        <v>246.64907095367749</v>
      </c>
      <c r="CZ59" s="60">
        <f t="shared" si="42"/>
        <v>145.34368562171613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273.39999999999998</v>
      </c>
      <c r="DP59" s="18">
        <f>DO59*VLOOKUP('Données projet'!$B$14,Paramètres!$A$1:$I$89,3,0)*VLOOKUP('Données projet'!$B$14,Paramètres!$A$1:$I$89,5,0)</f>
        <v>221.78208000000001</v>
      </c>
      <c r="DQ59" s="14">
        <f t="shared" si="43"/>
        <v>54.502029950220781</v>
      </c>
      <c r="DR59" s="22">
        <f t="shared" si="16"/>
        <v>481.19482482996779</v>
      </c>
      <c r="DS59" s="60">
        <f t="shared" si="17"/>
        <v>774.5281581633011</v>
      </c>
      <c r="DT59" s="60">
        <f ca="1">AVERAGE(OFFSET($DS$3,0,0,'Données projet'!$E$14+1,1))-AVERAGE(OFFSET($H$3,0,0,'Données projet'!$E$14+1,1))</f>
        <v>256.19915261735281</v>
      </c>
      <c r="DU59" s="60">
        <f t="shared" si="44"/>
        <v>297.47246687305056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711.29866832489597</v>
      </c>
      <c r="S60" s="60">
        <f ca="1">AVERAGE(OFFSET($R$3,0,0,'Données projet'!$E$9+1,1))-AVERAGE(OFFSET($H$3,0,0,'Données projet'!$E$9+1,1))</f>
        <v>428.8489304403459</v>
      </c>
      <c r="T60" s="60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2.4</v>
      </c>
      <c r="AI60" s="14">
        <f>IF('Données projet'!$A$62&gt;35,AI59+AH60-AQ59,IF(A60&lt;'Données projet'!$A$62,$AF$205^A60,IF(A60='Données projet'!$A$62,'Données projet'!$B$62,AI59+AH60-AQ59)))</f>
        <v>237.80000000000007</v>
      </c>
      <c r="AJ60" s="14">
        <f>AI60*VLOOKUP('Données projet'!$B$10,Paramètres!$A$1:$I$89,3,0)*VLOOKUP('Données projet'!$B$10,Paramètres!$A$1:$I$89,5,0)</f>
        <v>189.19368000000006</v>
      </c>
      <c r="AK60" s="14">
        <f t="shared" si="35"/>
        <v>47.361642848204745</v>
      </c>
      <c r="AL60" s="22">
        <f t="shared" si="4"/>
        <v>412.00052062729009</v>
      </c>
      <c r="AM60" s="60">
        <f t="shared" si="5"/>
        <v>705.3338539606234</v>
      </c>
      <c r="AN60" s="60">
        <f ca="1">AVERAGE(OFFSET($AM$3,0,0,'Données projet'!$E$10+1,1))-AVERAGE(OFFSET($H$3,0,0,'Données projet'!$E$10+1,1))</f>
        <v>299.28262372717484</v>
      </c>
      <c r="AO60" s="60">
        <f t="shared" si="36"/>
        <v>294.28794439094889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2.4</v>
      </c>
      <c r="BD60" s="13">
        <f>IF('Données projet'!$A$88&gt;35,BD59+BC60-BL59,IF(A60&lt;'Données projet'!$A$88,$BA$205^A60,IF(A60='Données projet'!$A$88,'Données projet'!$B$88,BD59+BC60-BL59)))</f>
        <v>237.80000000000007</v>
      </c>
      <c r="BE60" s="14">
        <f>BD60*VLOOKUP('Données projet'!$B$11,Paramètres!$A$1:$I$89,3,0)*VLOOKUP('Données projet'!$B$11,Paramètres!$A$1:$I$89,5,0)</f>
        <v>174.35496000000003</v>
      </c>
      <c r="BF60" s="14">
        <f t="shared" si="37"/>
        <v>44.063949226910864</v>
      </c>
      <c r="BG60" s="22">
        <f t="shared" si="7"/>
        <v>380.41293357020317</v>
      </c>
      <c r="BH60" s="60">
        <f t="shared" si="8"/>
        <v>673.74626690353648</v>
      </c>
      <c r="BI60" s="60">
        <f ca="1">AVERAGE(OFFSET($BH$3,0,0,'Données projet'!$E$11+1,1))-AVERAGE(OFFSET($H$3,0,0,'Données projet'!$E$11+1,1))</f>
        <v>278.61904724595763</v>
      </c>
      <c r="BJ60" s="60">
        <f t="shared" si="38"/>
        <v>274.55710362891892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0">
        <f t="shared" si="11"/>
        <v>748.94887519004146</v>
      </c>
      <c r="CD60" s="60">
        <f ca="1">AVERAGE(OFFSET($CC$3,0,0,'Données projet'!$E$12+1,1))-AVERAGE(OFFSET($H$3,0,0,'Données projet'!$E$12+1,1))</f>
        <v>292.57482726862594</v>
      </c>
      <c r="CE60" s="60">
        <f t="shared" si="40"/>
        <v>283.48738729114024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10.769230769230768</v>
      </c>
      <c r="CT60" s="13">
        <f>IF('Données projet'!$A$140&gt;35,CT59+CS60-DB59,IF(A60&lt;'Données projet'!$A$140,$CQ$205^A60,IF(A60='Données projet'!$A$140,'Données projet'!$B$140,CT59+CS60-DB59)))</f>
        <v>286.15384615384608</v>
      </c>
      <c r="CU60" s="18">
        <f>CT60*VLOOKUP('Données projet'!$B$13,Paramètres!$A$1:$I$89,3,0)*VLOOKUP('Données projet'!$B$13,Paramètres!$A$1:$I$89,5,0)</f>
        <v>133.91999999999996</v>
      </c>
      <c r="CV60" s="14">
        <f t="shared" si="41"/>
        <v>34.900584164862018</v>
      </c>
      <c r="CW60" s="22">
        <f t="shared" si="13"/>
        <v>294.02918408713464</v>
      </c>
      <c r="CX60" s="60">
        <f t="shared" si="14"/>
        <v>587.36251742046795</v>
      </c>
      <c r="CY60" s="60">
        <f ca="1">AVERAGE(OFFSET($CX$3,0,0,'Données projet'!$E$13+1,1))-AVERAGE(OFFSET($H$3,0,0,'Données projet'!$E$13+1,1))</f>
        <v>246.64907095367749</v>
      </c>
      <c r="CZ60" s="60">
        <f t="shared" si="42"/>
        <v>145.34368562171613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280.79999999999995</v>
      </c>
      <c r="DP60" s="18">
        <f>DO60*VLOOKUP('Données projet'!$B$14,Paramètres!$A$1:$I$89,3,0)*VLOOKUP('Données projet'!$B$14,Paramètres!$A$1:$I$89,5,0)</f>
        <v>227.78495999999998</v>
      </c>
      <c r="DQ60" s="14">
        <f t="shared" si="43"/>
        <v>55.803468680001743</v>
      </c>
      <c r="DR60" s="22">
        <f t="shared" si="16"/>
        <v>493.91651328433619</v>
      </c>
      <c r="DS60" s="60">
        <f t="shared" si="17"/>
        <v>787.2498466176695</v>
      </c>
      <c r="DT60" s="60">
        <f ca="1">AVERAGE(OFFSET($DS$3,0,0,'Données projet'!$E$14+1,1))-AVERAGE(OFFSET($H$3,0,0,'Données projet'!$E$14+1,1))</f>
        <v>256.19915261735281</v>
      </c>
      <c r="DU60" s="60">
        <f t="shared" si="44"/>
        <v>297.47246687305056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725.91438285442098</v>
      </c>
      <c r="S61" s="60">
        <f ca="1">AVERAGE(OFFSET($R$3,0,0,'Données projet'!$E$9+1,1))-AVERAGE(OFFSET($H$3,0,0,'Données projet'!$E$9+1,1))</f>
        <v>428.8489304403459</v>
      </c>
      <c r="T61" s="60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2.4</v>
      </c>
      <c r="AI61" s="14">
        <f>IF('Données projet'!$A$62&gt;35,AI60+AH61-AQ60,IF(A61&lt;'Données projet'!$A$62,$AF$205^A61,IF(A61='Données projet'!$A$62,'Données projet'!$B$62,AI60+AH61-AQ60)))</f>
        <v>240.20000000000007</v>
      </c>
      <c r="AJ61" s="14">
        <f>AI61*VLOOKUP('Données projet'!$B$10,Paramètres!$A$1:$I$89,3,0)*VLOOKUP('Données projet'!$B$10,Paramètres!$A$1:$I$89,5,0)</f>
        <v>191.10312000000008</v>
      </c>
      <c r="AK61" s="14">
        <f t="shared" si="35"/>
        <v>47.783754789189338</v>
      </c>
      <c r="AL61" s="22">
        <f t="shared" si="4"/>
        <v>416.06130692450489</v>
      </c>
      <c r="AM61" s="60">
        <f t="shared" si="5"/>
        <v>709.3946402578382</v>
      </c>
      <c r="AN61" s="60">
        <f ca="1">AVERAGE(OFFSET($AM$3,0,0,'Données projet'!$E$10+1,1))-AVERAGE(OFFSET($H$3,0,0,'Données projet'!$E$10+1,1))</f>
        <v>299.28262372717484</v>
      </c>
      <c r="AO61" s="60">
        <f t="shared" si="36"/>
        <v>294.28794439094889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2.4</v>
      </c>
      <c r="BD61" s="13">
        <f>IF('Données projet'!$A$88&gt;35,BD60+BC61-BL60,IF(A61&lt;'Données projet'!$A$88,$BA$205^A61,IF(A61='Données projet'!$A$88,'Données projet'!$B$88,BD60+BC61-BL60)))</f>
        <v>240.20000000000007</v>
      </c>
      <c r="BE61" s="14">
        <f>BD61*VLOOKUP('Données projet'!$B$11,Paramètres!$A$1:$I$89,3,0)*VLOOKUP('Données projet'!$B$11,Paramètres!$A$1:$I$89,5,0)</f>
        <v>176.11464000000007</v>
      </c>
      <c r="BF61" s="14">
        <f t="shared" si="37"/>
        <v>44.456670383042024</v>
      </c>
      <c r="BG61" s="22">
        <f t="shared" si="7"/>
        <v>384.16169891713162</v>
      </c>
      <c r="BH61" s="60">
        <f t="shared" si="8"/>
        <v>677.49503225046487</v>
      </c>
      <c r="BI61" s="60">
        <f ca="1">AVERAGE(OFFSET($BH$3,0,0,'Données projet'!$E$11+1,1))-AVERAGE(OFFSET($H$3,0,0,'Données projet'!$E$11+1,1))</f>
        <v>278.61904724595763</v>
      </c>
      <c r="BJ61" s="60">
        <f t="shared" si="38"/>
        <v>274.55710362891892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0">
        <f t="shared" si="11"/>
        <v>764.46278720601333</v>
      </c>
      <c r="CD61" s="60">
        <f ca="1">AVERAGE(OFFSET($CC$3,0,0,'Données projet'!$E$12+1,1))-AVERAGE(OFFSET($H$3,0,0,'Données projet'!$E$12+1,1))</f>
        <v>292.57482726862594</v>
      </c>
      <c r="CE61" s="60">
        <f t="shared" si="40"/>
        <v>283.48738729114024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10.769230769230768</v>
      </c>
      <c r="CT61" s="13">
        <f>IF('Données projet'!$A$140&gt;35,CT60+CS61-DB60,IF(A61&lt;'Données projet'!$A$140,$CQ$205^A61,IF(A61='Données projet'!$A$140,'Données projet'!$B$140,CT60+CS61-DB60)))</f>
        <v>296.92307692307685</v>
      </c>
      <c r="CU61" s="18">
        <f>CT61*VLOOKUP('Données projet'!$B$13,Paramètres!$A$1:$I$89,3,0)*VLOOKUP('Données projet'!$B$13,Paramètres!$A$1:$I$89,5,0)</f>
        <v>138.95999999999998</v>
      </c>
      <c r="CV61" s="14">
        <f t="shared" si="41"/>
        <v>36.058652807868881</v>
      </c>
      <c r="CW61" s="22">
        <f t="shared" si="13"/>
        <v>304.82415364037161</v>
      </c>
      <c r="CX61" s="60">
        <f t="shared" si="14"/>
        <v>598.15748697370486</v>
      </c>
      <c r="CY61" s="60">
        <f ca="1">AVERAGE(OFFSET($CX$3,0,0,'Données projet'!$E$13+1,1))-AVERAGE(OFFSET($H$3,0,0,'Données projet'!$E$13+1,1))</f>
        <v>246.64907095367749</v>
      </c>
      <c r="CZ61" s="60">
        <f t="shared" si="42"/>
        <v>145.34368562171613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288.19999999999993</v>
      </c>
      <c r="DP61" s="18">
        <f>DO61*VLOOKUP('Données projet'!$B$14,Paramètres!$A$1:$I$89,3,0)*VLOOKUP('Données projet'!$B$14,Paramètres!$A$1:$I$89,5,0)</f>
        <v>233.78783999999996</v>
      </c>
      <c r="DQ61" s="14">
        <f t="shared" si="43"/>
        <v>57.100920847849451</v>
      </c>
      <c r="DR61" s="22">
        <f t="shared" si="16"/>
        <v>506.63125847667106</v>
      </c>
      <c r="DS61" s="60">
        <f t="shared" si="17"/>
        <v>799.96459181000432</v>
      </c>
      <c r="DT61" s="60">
        <f ca="1">AVERAGE(OFFSET($DS$3,0,0,'Données projet'!$E$14+1,1))-AVERAGE(OFFSET($H$3,0,0,'Données projet'!$E$14+1,1))</f>
        <v>256.19915261735281</v>
      </c>
      <c r="DU61" s="60">
        <f t="shared" si="44"/>
        <v>297.47246687305056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740.51949446577237</v>
      </c>
      <c r="S62" s="60">
        <f ca="1">AVERAGE(OFFSET($R$3,0,0,'Données projet'!$E$9+1,1))-AVERAGE(OFFSET($H$3,0,0,'Données projet'!$E$9+1,1))</f>
        <v>428.8489304403459</v>
      </c>
      <c r="T62" s="60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2.4</v>
      </c>
      <c r="AI62" s="14">
        <f>IF('Données projet'!$A$62&gt;35,AI61+AH62-AQ61,IF(A62&lt;'Données projet'!$A$62,$AF$205^A62,IF(A62='Données projet'!$A$62,'Données projet'!$B$62,AI61+AH62-AQ61)))</f>
        <v>242.60000000000008</v>
      </c>
      <c r="AJ62" s="14">
        <f>AI62*VLOOKUP('Données projet'!$B$10,Paramètres!$A$1:$I$89,3,0)*VLOOKUP('Données projet'!$B$10,Paramètres!$A$1:$I$89,5,0)</f>
        <v>193.01256000000006</v>
      </c>
      <c r="AK62" s="14">
        <f t="shared" si="35"/>
        <v>48.205376077720281</v>
      </c>
      <c r="AL62" s="22">
        <f t="shared" si="4"/>
        <v>420.12123866869621</v>
      </c>
      <c r="AM62" s="60">
        <f t="shared" si="5"/>
        <v>713.45457200202952</v>
      </c>
      <c r="AN62" s="60">
        <f ca="1">AVERAGE(OFFSET($AM$3,0,0,'Données projet'!$E$10+1,1))-AVERAGE(OFFSET($H$3,0,0,'Données projet'!$E$10+1,1))</f>
        <v>299.28262372717484</v>
      </c>
      <c r="AO62" s="60">
        <f t="shared" si="36"/>
        <v>294.28794439094889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2.4</v>
      </c>
      <c r="BD62" s="13">
        <f>IF('Données projet'!$A$88&gt;35,BD61+BC62-BL61,IF(A62&lt;'Données projet'!$A$88,$BA$205^A62,IF(A62='Données projet'!$A$88,'Données projet'!$B$88,BD61+BC62-BL61)))</f>
        <v>242.60000000000008</v>
      </c>
      <c r="BE62" s="14">
        <f>BD62*VLOOKUP('Données projet'!$B$11,Paramètres!$A$1:$I$89,3,0)*VLOOKUP('Données projet'!$B$11,Paramètres!$A$1:$I$89,5,0)</f>
        <v>177.87432000000007</v>
      </c>
      <c r="BF62" s="14">
        <f t="shared" si="37"/>
        <v>44.848935049839078</v>
      </c>
      <c r="BG62" s="22">
        <f t="shared" si="7"/>
        <v>387.90966921180319</v>
      </c>
      <c r="BH62" s="60">
        <f t="shared" si="8"/>
        <v>681.24300254513651</v>
      </c>
      <c r="BI62" s="60">
        <f ca="1">AVERAGE(OFFSET($BH$3,0,0,'Données projet'!$E$11+1,1))-AVERAGE(OFFSET($H$3,0,0,'Données projet'!$E$11+1,1))</f>
        <v>278.61904724595763</v>
      </c>
      <c r="BJ62" s="60">
        <f t="shared" si="38"/>
        <v>274.55710362891892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0">
        <f t="shared" si="11"/>
        <v>779.96582363222683</v>
      </c>
      <c r="CD62" s="60">
        <f ca="1">AVERAGE(OFFSET($CC$3,0,0,'Données projet'!$E$12+1,1))-AVERAGE(OFFSET($H$3,0,0,'Données projet'!$E$12+1,1))</f>
        <v>292.57482726862594</v>
      </c>
      <c r="CE62" s="60">
        <f t="shared" si="40"/>
        <v>283.48738729114024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10.769230769230768</v>
      </c>
      <c r="CT62" s="13">
        <f>IF('Données projet'!$A$140&gt;35,CT61+CS62-DB61,IF(A62&lt;'Données projet'!$A$140,$CQ$205^A62,IF(A62='Données projet'!$A$140,'Données projet'!$B$140,CT61+CS62-DB61)))</f>
        <v>307.69230769230762</v>
      </c>
      <c r="CU62" s="18">
        <f>CT62*VLOOKUP('Données projet'!$B$13,Paramètres!$A$1:$I$89,3,0)*VLOOKUP('Données projet'!$B$13,Paramètres!$A$1:$I$89,5,0)</f>
        <v>143.99999999999997</v>
      </c>
      <c r="CV62" s="14">
        <f t="shared" si="41"/>
        <v>37.211841536720947</v>
      </c>
      <c r="CW62" s="22">
        <f t="shared" si="13"/>
        <v>315.61062400978892</v>
      </c>
      <c r="CX62" s="60">
        <f t="shared" si="14"/>
        <v>608.94395734312229</v>
      </c>
      <c r="CY62" s="60">
        <f ca="1">AVERAGE(OFFSET($CX$3,0,0,'Données projet'!$E$13+1,1))-AVERAGE(OFFSET($H$3,0,0,'Données projet'!$E$13+1,1))</f>
        <v>246.64907095367749</v>
      </c>
      <c r="CZ62" s="60">
        <f t="shared" si="42"/>
        <v>145.34368562171613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295.59999999999991</v>
      </c>
      <c r="DP62" s="18">
        <f>DO62*VLOOKUP('Données projet'!$B$14,Paramètres!$A$1:$I$89,3,0)*VLOOKUP('Données projet'!$B$14,Paramètres!$A$1:$I$89,5,0)</f>
        <v>239.79071999999994</v>
      </c>
      <c r="DQ62" s="14">
        <f t="shared" si="43"/>
        <v>58.394500584818381</v>
      </c>
      <c r="DR62" s="22">
        <f t="shared" si="16"/>
        <v>519.33925918522516</v>
      </c>
      <c r="DS62" s="60">
        <f t="shared" si="17"/>
        <v>812.67259251855853</v>
      </c>
      <c r="DT62" s="60">
        <f ca="1">AVERAGE(OFFSET($DS$3,0,0,'Données projet'!$E$14+1,1))-AVERAGE(OFFSET($H$3,0,0,'Données projet'!$E$14+1,1))</f>
        <v>256.19915261735281</v>
      </c>
      <c r="DU62" s="60">
        <f t="shared" si="44"/>
        <v>297.47246687305056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755.11439815081053</v>
      </c>
      <c r="S63" s="60">
        <f ca="1">AVERAGE(OFFSET($R$3,0,0,'Données projet'!$E$9+1,1))-AVERAGE(OFFSET($H$3,0,0,'Données projet'!$E$9+1,1))</f>
        <v>428.8489304403459</v>
      </c>
      <c r="T63" s="60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2.4</v>
      </c>
      <c r="AH63" s="13">
        <f t="array" ref="AH63">INDEX(AG:AG,MIN(IF(ISNUMBER(AG63:AG259),ROW(AG63:AG259),"")))</f>
        <v>2.4</v>
      </c>
      <c r="AI63" s="14">
        <f>IF('Données projet'!$A$62&gt;35,AI62+AH63-AQ62,IF(A63&lt;'Données projet'!$A$62,$AF$205^A63,IF(A63='Données projet'!$A$62,'Données projet'!$B$62,AI62+AH63-AQ62)))</f>
        <v>245.00000000000009</v>
      </c>
      <c r="AJ63" s="14">
        <f>AI63*VLOOKUP('Données projet'!$B$10,Paramètres!$A$1:$I$89,3,0)*VLOOKUP('Données projet'!$B$10,Paramètres!$A$1:$I$89,5,0)</f>
        <v>194.92200000000008</v>
      </c>
      <c r="AK63" s="14">
        <f t="shared" si="35"/>
        <v>48.626512129794968</v>
      </c>
      <c r="AL63" s="22">
        <f t="shared" si="4"/>
        <v>424.18032529272637</v>
      </c>
      <c r="AM63" s="60">
        <f t="shared" si="5"/>
        <v>717.51365862605962</v>
      </c>
      <c r="AN63" s="60">
        <f ca="1">AVERAGE(OFFSET($AM$3,0,0,'Données projet'!$E$10+1,1))-AVERAGE(OFFSET($H$3,0,0,'Données projet'!$E$10+1,1))</f>
        <v>299.28262372717484</v>
      </c>
      <c r="AO63" s="60">
        <f t="shared" si="36"/>
        <v>294.28794439094889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2.4</v>
      </c>
      <c r="BC63" s="13">
        <f t="array" ref="BC63">INDEX(BB:BB,MIN(IF(ISNUMBER(BB63:BB259),ROW(BB63:BB259),"")))</f>
        <v>2.4</v>
      </c>
      <c r="BD63" s="13">
        <f>IF('Données projet'!$A$88&gt;35,BD62+BC63-BL62,IF(A63&lt;'Données projet'!$A$88,$BA$205^A63,IF(A63='Données projet'!$A$88,'Données projet'!$B$88,BD62+BC63-BL62)))</f>
        <v>245.00000000000009</v>
      </c>
      <c r="BE63" s="14">
        <f>BD63*VLOOKUP('Données projet'!$B$11,Paramètres!$A$1:$I$89,3,0)*VLOOKUP('Données projet'!$B$11,Paramètres!$A$1:$I$89,5,0)</f>
        <v>179.63400000000007</v>
      </c>
      <c r="BF63" s="14">
        <f t="shared" si="37"/>
        <v>45.240748266194686</v>
      </c>
      <c r="BG63" s="22">
        <f t="shared" si="7"/>
        <v>391.65685323028919</v>
      </c>
      <c r="BH63" s="60">
        <f t="shared" si="8"/>
        <v>684.9901865636225</v>
      </c>
      <c r="BI63" s="60">
        <f ca="1">AVERAGE(OFFSET($BH$3,0,0,'Données projet'!$E$11+1,1))-AVERAGE(OFFSET($H$3,0,0,'Données projet'!$E$11+1,1))</f>
        <v>278.61904724595763</v>
      </c>
      <c r="BJ63" s="60">
        <f t="shared" si="38"/>
        <v>274.55710362891892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0">
        <f t="shared" si="11"/>
        <v>795.45837960764743</v>
      </c>
      <c r="CD63" s="60">
        <f ca="1">AVERAGE(OFFSET($CC$3,0,0,'Données projet'!$E$12+1,1))-AVERAGE(OFFSET($H$3,0,0,'Données projet'!$E$12+1,1))</f>
        <v>292.57482726862594</v>
      </c>
      <c r="CE63" s="60">
        <f t="shared" si="40"/>
        <v>283.48738729114024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10.769230769230768</v>
      </c>
      <c r="CT63" s="13">
        <f>IF('Données projet'!$A$140&gt;35,CT62+CS63-DB62,IF(A63&lt;'Données projet'!$A$140,$CQ$205^A63,IF(A63='Données projet'!$A$140,'Données projet'!$B$140,CT62+CS63-DB62)))</f>
        <v>318.4615384615384</v>
      </c>
      <c r="CU63" s="18">
        <f>CT63*VLOOKUP('Données projet'!$B$13,Paramètres!$A$1:$I$89,3,0)*VLOOKUP('Données projet'!$B$13,Paramètres!$A$1:$I$89,5,0)</f>
        <v>149.03999999999996</v>
      </c>
      <c r="CV63" s="14">
        <f t="shared" si="41"/>
        <v>38.360340720309644</v>
      </c>
      <c r="CW63" s="22">
        <f t="shared" si="13"/>
        <v>326.38892675453917</v>
      </c>
      <c r="CX63" s="60">
        <f t="shared" si="14"/>
        <v>619.72226008787243</v>
      </c>
      <c r="CY63" s="60">
        <f ca="1">AVERAGE(OFFSET($CX$3,0,0,'Données projet'!$E$13+1,1))-AVERAGE(OFFSET($H$3,0,0,'Données projet'!$E$13+1,1))</f>
        <v>246.64907095367749</v>
      </c>
      <c r="CZ63" s="60">
        <f t="shared" si="42"/>
        <v>145.34368562171613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303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302.99999999999989</v>
      </c>
      <c r="DP63" s="18">
        <f>DO63*VLOOKUP('Données projet'!$B$14,Paramètres!$A$1:$I$89,3,0)*VLOOKUP('Données projet'!$B$14,Paramètres!$A$1:$I$89,5,0)</f>
        <v>245.79359999999991</v>
      </c>
      <c r="DQ63" s="14">
        <f t="shared" si="43"/>
        <v>59.684315982017168</v>
      </c>
      <c r="DR63" s="22">
        <f t="shared" si="16"/>
        <v>532.04070366867973</v>
      </c>
      <c r="DS63" s="60">
        <f t="shared" si="17"/>
        <v>825.37403700201298</v>
      </c>
      <c r="DT63" s="60">
        <f ca="1">AVERAGE(OFFSET($DS$3,0,0,'Données projet'!$E$14+1,1))-AVERAGE(OFFSET($H$3,0,0,'Données projet'!$E$14+1,1))</f>
        <v>256.19915261735281</v>
      </c>
      <c r="DU63" s="60">
        <f t="shared" si="44"/>
        <v>297.47246687305056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303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688.19859268339724</v>
      </c>
      <c r="S64" s="60">
        <f ca="1">AVERAGE(OFFSET($R$3,0,0,'Données projet'!$E$9+1,1))-AVERAGE(OFFSET($H$3,0,0,'Données projet'!$E$9+1,1))</f>
        <v>428.8489304403459</v>
      </c>
      <c r="T64" s="60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227.00000000000009</v>
      </c>
      <c r="AJ64" s="14">
        <f>AI64*VLOOKUP('Données projet'!$B$10,Paramètres!$A$1:$I$89,3,0)*VLOOKUP('Données projet'!$B$10,Paramètres!$A$1:$I$89,5,0)</f>
        <v>180.60120000000006</v>
      </c>
      <c r="AK64" s="14">
        <f t="shared" si="35"/>
        <v>45.455916121824579</v>
      </c>
      <c r="AL64" s="22">
        <f t="shared" si="4"/>
        <v>393.71614391217787</v>
      </c>
      <c r="AM64" s="60">
        <f t="shared" si="5"/>
        <v>687.04947724551118</v>
      </c>
      <c r="AN64" s="60">
        <f ca="1">AVERAGE(OFFSET($AM$3,0,0,'Données projet'!$E$10+1,1))-AVERAGE(OFFSET($H$3,0,0,'Données projet'!$E$10+1,1))</f>
        <v>299.28262372717484</v>
      </c>
      <c r="AO64" s="60">
        <f t="shared" si="36"/>
        <v>294.28794439094889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227.00000000000009</v>
      </c>
      <c r="BE64" s="14">
        <f>BD64*VLOOKUP('Données projet'!$B$11,Paramètres!$A$1:$I$89,3,0)*VLOOKUP('Données projet'!$B$11,Paramètres!$A$1:$I$89,5,0)</f>
        <v>166.43640000000008</v>
      </c>
      <c r="BF64" s="14">
        <f t="shared" si="37"/>
        <v>42.290914326480518</v>
      </c>
      <c r="BG64" s="22">
        <f t="shared" si="7"/>
        <v>363.53340578528702</v>
      </c>
      <c r="BH64" s="60">
        <f t="shared" si="8"/>
        <v>656.86673911862033</v>
      </c>
      <c r="BI64" s="60">
        <f ca="1">AVERAGE(OFFSET($BH$3,0,0,'Données projet'!$E$11+1,1))-AVERAGE(OFFSET($H$3,0,0,'Données projet'!$E$11+1,1))</f>
        <v>278.61904724595763</v>
      </c>
      <c r="BJ64" s="60">
        <f t="shared" si="38"/>
        <v>274.55710362891892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0">
        <f t="shared" si="11"/>
        <v>732.04308237573878</v>
      </c>
      <c r="CD64" s="60">
        <f ca="1">AVERAGE(OFFSET($CC$3,0,0,'Données projet'!$E$12+1,1))-AVERAGE(OFFSET($H$3,0,0,'Données projet'!$E$12+1,1))</f>
        <v>292.57482726862594</v>
      </c>
      <c r="CE64" s="60">
        <f t="shared" si="40"/>
        <v>283.48738729114024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10.769230769230768</v>
      </c>
      <c r="CT64" s="13">
        <f>IF('Données projet'!$A$140&gt;35,CT63+CS64-DB63,IF(A64&lt;'Données projet'!$A$140,$CQ$205^A64,IF(A64='Données projet'!$A$140,'Données projet'!$B$140,CT63+CS64-DB63)))</f>
        <v>329.23076923076917</v>
      </c>
      <c r="CU64" s="18">
        <f>CT64*VLOOKUP('Données projet'!$B$13,Paramètres!$A$1:$I$89,3,0)*VLOOKUP('Données projet'!$B$13,Paramètres!$A$1:$I$89,5,0)</f>
        <v>154.07999999999998</v>
      </c>
      <c r="CV64" s="14">
        <f t="shared" si="41"/>
        <v>39.504327121889922</v>
      </c>
      <c r="CW64" s="22">
        <f t="shared" si="13"/>
        <v>337.15936973729157</v>
      </c>
      <c r="CX64" s="60">
        <f t="shared" si="14"/>
        <v>630.49270307062488</v>
      </c>
      <c r="CY64" s="60">
        <f ca="1">AVERAGE(OFFSET($CX$3,0,0,'Données projet'!$E$13+1,1))-AVERAGE(OFFSET($H$3,0,0,'Données projet'!$E$13+1,1))</f>
        <v>246.64907095367749</v>
      </c>
      <c r="CZ64" s="60">
        <f t="shared" si="42"/>
        <v>145.34368562171613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-1.1368683772161603E-13</v>
      </c>
      <c r="DP64" s="18">
        <f>DO64*VLOOKUP('Données projet'!$B$14,Paramètres!$A$1:$I$89,3,0)*VLOOKUP('Données projet'!$B$14,Paramètres!$A$1:$I$89,5,0)</f>
        <v>-9.2222762759774927E-14</v>
      </c>
      <c r="DQ64" s="14" t="e">
        <f t="shared" si="43"/>
        <v>#NUM!</v>
      </c>
      <c r="DR64" s="22" t="e">
        <f t="shared" si="16"/>
        <v>#NUM!</v>
      </c>
      <c r="DS64" s="60" t="e">
        <f t="shared" si="17"/>
        <v>#NUM!</v>
      </c>
      <c r="DT64" s="60">
        <f ca="1">AVERAGE(OFFSET($DS$3,0,0,'Données projet'!$E$14+1,1))-AVERAGE(OFFSET($H$3,0,0,'Données projet'!$E$14+1,1))</f>
        <v>256.19915261735281</v>
      </c>
      <c r="DU64" s="60">
        <f t="shared" si="44"/>
        <v>297.47246687305056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702.06203699024263</v>
      </c>
      <c r="S65" s="60">
        <f ca="1">AVERAGE(OFFSET($R$3,0,0,'Données projet'!$E$9+1,1))-AVERAGE(OFFSET($H$3,0,0,'Données projet'!$E$9+1,1))</f>
        <v>428.8489304403459</v>
      </c>
      <c r="T65" s="60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234.00000000000009</v>
      </c>
      <c r="AJ65" s="14">
        <f>AI65*VLOOKUP('Données projet'!$B$10,Paramètres!$A$1:$I$89,3,0)*VLOOKUP('Données projet'!$B$10,Paramètres!$A$1:$I$89,5,0)</f>
        <v>186.17040000000009</v>
      </c>
      <c r="AK65" s="14">
        <f t="shared" si="35"/>
        <v>46.69228193379606</v>
      </c>
      <c r="AL65" s="22">
        <f t="shared" si="4"/>
        <v>405.56917103469499</v>
      </c>
      <c r="AM65" s="60">
        <f t="shared" si="5"/>
        <v>698.9025043680283</v>
      </c>
      <c r="AN65" s="60">
        <f ca="1">AVERAGE(OFFSET($AM$3,0,0,'Données projet'!$E$10+1,1))-AVERAGE(OFFSET($H$3,0,0,'Données projet'!$E$10+1,1))</f>
        <v>299.28262372717484</v>
      </c>
      <c r="AO65" s="60">
        <f t="shared" si="36"/>
        <v>294.28794439094889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234.00000000000009</v>
      </c>
      <c r="BE65" s="14">
        <f>BD65*VLOOKUP('Données projet'!$B$11,Paramètres!$A$1:$I$89,3,0)*VLOOKUP('Données projet'!$B$11,Paramètres!$A$1:$I$89,5,0)</f>
        <v>171.56880000000007</v>
      </c>
      <c r="BF65" s="14">
        <f t="shared" si="37"/>
        <v>43.441194534014848</v>
      </c>
      <c r="BG65" s="22">
        <f t="shared" si="7"/>
        <v>374.47574048007596</v>
      </c>
      <c r="BH65" s="60">
        <f t="shared" si="8"/>
        <v>667.80907381340921</v>
      </c>
      <c r="BI65" s="60">
        <f ca="1">AVERAGE(OFFSET($BH$3,0,0,'Données projet'!$E$11+1,1))-AVERAGE(OFFSET($H$3,0,0,'Données projet'!$E$11+1,1))</f>
        <v>278.61904724595763</v>
      </c>
      <c r="BJ65" s="60">
        <f t="shared" si="38"/>
        <v>274.55710362891892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0">
        <f t="shared" si="11"/>
        <v>746.39662841975462</v>
      </c>
      <c r="CD65" s="60">
        <f ca="1">AVERAGE(OFFSET($CC$3,0,0,'Données projet'!$E$12+1,1))-AVERAGE(OFFSET($H$3,0,0,'Données projet'!$E$12+1,1))</f>
        <v>292.57482726862594</v>
      </c>
      <c r="CE65" s="60">
        <f t="shared" si="40"/>
        <v>283.48738729114024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10.769230769230768</v>
      </c>
      <c r="CT65" s="13">
        <f>IF('Données projet'!$A$140&gt;35,CT64+CS65-DB64,IF(A65&lt;'Données projet'!$A$140,$CQ$205^A65,IF(A65='Données projet'!$A$140,'Données projet'!$B$140,CT64+CS65-DB64)))</f>
        <v>339.99999999999994</v>
      </c>
      <c r="CU65" s="18">
        <f>CT65*VLOOKUP('Données projet'!$B$13,Paramètres!$A$1:$I$89,3,0)*VLOOKUP('Données projet'!$B$13,Paramètres!$A$1:$I$89,5,0)</f>
        <v>159.11999999999998</v>
      </c>
      <c r="CV65" s="14">
        <f t="shared" si="41"/>
        <v>40.643965284387697</v>
      </c>
      <c r="CW65" s="22">
        <f t="shared" si="13"/>
        <v>347.92223953697516</v>
      </c>
      <c r="CX65" s="60">
        <f t="shared" si="14"/>
        <v>641.25557287030847</v>
      </c>
      <c r="CY65" s="60">
        <f ca="1">AVERAGE(OFFSET($CX$3,0,0,'Données projet'!$E$13+1,1))-AVERAGE(OFFSET($H$3,0,0,'Données projet'!$E$13+1,1))</f>
        <v>246.64907095367749</v>
      </c>
      <c r="CZ65" s="60">
        <f t="shared" si="42"/>
        <v>145.34368562171613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-1.1368683772161603E-13</v>
      </c>
      <c r="DP65" s="18">
        <f>DO65*VLOOKUP('Données projet'!$B$14,Paramètres!$A$1:$I$89,3,0)*VLOOKUP('Données projet'!$B$14,Paramètres!$A$1:$I$89,5,0)</f>
        <v>-9.2222762759774927E-14</v>
      </c>
      <c r="DQ65" s="14" t="e">
        <f t="shared" si="43"/>
        <v>#NUM!</v>
      </c>
      <c r="DR65" s="22" t="e">
        <f t="shared" si="16"/>
        <v>#NUM!</v>
      </c>
      <c r="DS65" s="60" t="e">
        <f t="shared" si="17"/>
        <v>#NUM!</v>
      </c>
      <c r="DT65" s="60">
        <f ca="1">AVERAGE(OFFSET($DS$3,0,0,'Données projet'!$E$14+1,1))-AVERAGE(OFFSET($H$3,0,0,'Données projet'!$E$14+1,1))</f>
        <v>256.19915261735281</v>
      </c>
      <c r="DU65" s="60">
        <f t="shared" si="44"/>
        <v>297.47246687305056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715.91532773426115</v>
      </c>
      <c r="S66" s="60">
        <f ca="1">AVERAGE(OFFSET($R$3,0,0,'Données projet'!$E$9+1,1))-AVERAGE(OFFSET($H$3,0,0,'Données projet'!$E$9+1,1))</f>
        <v>428.8489304403459</v>
      </c>
      <c r="T66" s="60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241.00000000000009</v>
      </c>
      <c r="AJ66" s="14">
        <f>AI66*VLOOKUP('Données projet'!$B$10,Paramètres!$A$1:$I$89,3,0)*VLOOKUP('Données projet'!$B$10,Paramètres!$A$1:$I$89,5,0)</f>
        <v>191.73960000000008</v>
      </c>
      <c r="AK66" s="14">
        <f t="shared" si="35"/>
        <v>47.924349465834943</v>
      </c>
      <c r="AL66" s="22">
        <f t="shared" si="4"/>
        <v>417.41471198632934</v>
      </c>
      <c r="AM66" s="60">
        <f t="shared" si="5"/>
        <v>710.74804531966265</v>
      </c>
      <c r="AN66" s="60">
        <f ca="1">AVERAGE(OFFSET($AM$3,0,0,'Données projet'!$E$10+1,1))-AVERAGE(OFFSET($H$3,0,0,'Données projet'!$E$10+1,1))</f>
        <v>299.28262372717484</v>
      </c>
      <c r="AO66" s="60">
        <f t="shared" si="36"/>
        <v>294.28794439094889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241.00000000000009</v>
      </c>
      <c r="BE66" s="14">
        <f>BD66*VLOOKUP('Données projet'!$B$11,Paramètres!$A$1:$I$89,3,0)*VLOOKUP('Données projet'!$B$11,Paramètres!$A$1:$I$89,5,0)</f>
        <v>176.70120000000006</v>
      </c>
      <c r="BF66" s="14">
        <f t="shared" si="37"/>
        <v>44.587475741993387</v>
      </c>
      <c r="BG66" s="22">
        <f t="shared" si="7"/>
        <v>385.41111025063856</v>
      </c>
      <c r="BH66" s="60">
        <f t="shared" si="8"/>
        <v>678.74444358397182</v>
      </c>
      <c r="BI66" s="60">
        <f ca="1">AVERAGE(OFFSET($BH$3,0,0,'Données projet'!$E$11+1,1))-AVERAGE(OFFSET($H$3,0,0,'Données projet'!$E$11+1,1))</f>
        <v>278.61904724595763</v>
      </c>
      <c r="BJ66" s="60">
        <f t="shared" si="38"/>
        <v>274.55710362891892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0">
        <f t="shared" si="11"/>
        <v>760.74045566531913</v>
      </c>
      <c r="CD66" s="60">
        <f ca="1">AVERAGE(OFFSET($CC$3,0,0,'Données projet'!$E$12+1,1))-AVERAGE(OFFSET($H$3,0,0,'Données projet'!$E$12+1,1))</f>
        <v>292.57482726862594</v>
      </c>
      <c r="CE66" s="60">
        <f t="shared" si="40"/>
        <v>283.48738729114024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350.76923076923077</v>
      </c>
      <c r="CR66" s="13">
        <f>VLOOKUP(A66,'Données projet'!$A$139:$I$159,9,0)</f>
        <v>10.769230769230768</v>
      </c>
      <c r="CS66" s="13">
        <f t="array" ref="CS66">INDEX(CR:CR,MIN(IF(ISNUMBER(CR66:CR262),ROW(CR66:CR262),"")))</f>
        <v>10.769230769230768</v>
      </c>
      <c r="CT66" s="13">
        <f>IF('Données projet'!$A$140&gt;35,CT65+CS66-DB65,IF(A66&lt;'Données projet'!$A$140,$CQ$205^A66,IF(A66='Données projet'!$A$140,'Données projet'!$B$140,CT65+CS66-DB65)))</f>
        <v>350.76923076923072</v>
      </c>
      <c r="CU66" s="18">
        <f>CT66*VLOOKUP('Données projet'!$B$13,Paramètres!$A$1:$I$89,3,0)*VLOOKUP('Données projet'!$B$13,Paramètres!$A$1:$I$89,5,0)</f>
        <v>164.15999999999997</v>
      </c>
      <c r="CV66" s="14">
        <f t="shared" si="41"/>
        <v>41.779408735262933</v>
      </c>
      <c r="CW66" s="22">
        <f t="shared" si="13"/>
        <v>358.67780354724954</v>
      </c>
      <c r="CX66" s="60">
        <f t="shared" si="14"/>
        <v>652.01113688058285</v>
      </c>
      <c r="CY66" s="60">
        <f ca="1">AVERAGE(OFFSET($CX$3,0,0,'Données projet'!$E$13+1,1))-AVERAGE(OFFSET($H$3,0,0,'Données projet'!$E$13+1,1))</f>
        <v>246.64907095367749</v>
      </c>
      <c r="CZ66" s="60">
        <f t="shared" si="42"/>
        <v>145.34368562171613</v>
      </c>
      <c r="DA66" s="16">
        <f>IF(ISNA(VLOOKUP(A66,'Données projet'!$A$139:$I$159,3,0)),0,VLOOKUP(A66,'Données projet'!$A$139:$I$159,3,0))</f>
        <v>2</v>
      </c>
      <c r="DB66" s="16">
        <f>IF(ISNA(VLOOKUP(A66,'Données projet'!$A$139:$I$159,4,0)),0,VLOOKUP(A66,'Données projet'!$A$139:$I$159,4,0))</f>
        <v>108.46153846153845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-1.1368683772161603E-13</v>
      </c>
      <c r="DP66" s="18">
        <f>DO66*VLOOKUP('Données projet'!$B$14,Paramètres!$A$1:$I$89,3,0)*VLOOKUP('Données projet'!$B$14,Paramètres!$A$1:$I$89,5,0)</f>
        <v>-9.2222762759774927E-14</v>
      </c>
      <c r="DQ66" s="14" t="e">
        <f t="shared" si="43"/>
        <v>#NUM!</v>
      </c>
      <c r="DR66" s="22" t="e">
        <f t="shared" si="16"/>
        <v>#NUM!</v>
      </c>
      <c r="DS66" s="60" t="e">
        <f t="shared" si="17"/>
        <v>#NUM!</v>
      </c>
      <c r="DT66" s="60">
        <f ca="1">AVERAGE(OFFSET($DS$3,0,0,'Données projet'!$E$14+1,1))-AVERAGE(OFFSET($H$3,0,0,'Données projet'!$E$14+1,1))</f>
        <v>256.19915261735281</v>
      </c>
      <c r="DU66" s="60">
        <f t="shared" si="44"/>
        <v>297.47246687305056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729.75884463141938</v>
      </c>
      <c r="S67" s="60">
        <f ca="1">AVERAGE(OFFSET($R$3,0,0,'Données projet'!$E$9+1,1))-AVERAGE(OFFSET($H$3,0,0,'Données projet'!$E$9+1,1))</f>
        <v>428.8489304403459</v>
      </c>
      <c r="T67" s="60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248.00000000000009</v>
      </c>
      <c r="AJ67" s="14">
        <f>AI67*VLOOKUP('Données projet'!$B$10,Paramètres!$A$1:$I$89,3,0)*VLOOKUP('Données projet'!$B$10,Paramètres!$A$1:$I$89,5,0)</f>
        <v>197.30880000000008</v>
      </c>
      <c r="AK67" s="14">
        <f t="shared" si="35"/>
        <v>49.152257900676119</v>
      </c>
      <c r="AL67" s="22">
        <f t="shared" si="4"/>
        <v>429.25300917701105</v>
      </c>
      <c r="AM67" s="60">
        <f t="shared" si="5"/>
        <v>722.58634251034437</v>
      </c>
      <c r="AN67" s="60">
        <f ca="1">AVERAGE(OFFSET($AM$3,0,0,'Données projet'!$E$10+1,1))-AVERAGE(OFFSET($H$3,0,0,'Données projet'!$E$10+1,1))</f>
        <v>299.28262372717484</v>
      </c>
      <c r="AO67" s="60">
        <f t="shared" si="36"/>
        <v>294.28794439094889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248.00000000000009</v>
      </c>
      <c r="BE67" s="14">
        <f>BD67*VLOOKUP('Données projet'!$B$11,Paramètres!$A$1:$I$89,3,0)*VLOOKUP('Données projet'!$B$11,Paramètres!$A$1:$I$89,5,0)</f>
        <v>181.83360000000005</v>
      </c>
      <c r="BF67" s="14">
        <f t="shared" si="37"/>
        <v>45.729887442143827</v>
      </c>
      <c r="BG67" s="22">
        <f t="shared" si="7"/>
        <v>396.33974062840053</v>
      </c>
      <c r="BH67" s="60">
        <f t="shared" si="8"/>
        <v>689.67307396173385</v>
      </c>
      <c r="BI67" s="60">
        <f ca="1">AVERAGE(OFFSET($BH$3,0,0,'Données projet'!$E$11+1,1))-AVERAGE(OFFSET($H$3,0,0,'Données projet'!$E$11+1,1))</f>
        <v>278.61904724595763</v>
      </c>
      <c r="BJ67" s="60">
        <f t="shared" si="38"/>
        <v>274.55710362891892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0">
        <f t="shared" si="11"/>
        <v>775.07490430656617</v>
      </c>
      <c r="CD67" s="60">
        <f ca="1">AVERAGE(OFFSET($CC$3,0,0,'Données projet'!$E$12+1,1))-AVERAGE(OFFSET($H$3,0,0,'Données projet'!$E$12+1,1))</f>
        <v>292.57482726862594</v>
      </c>
      <c r="CE67" s="60">
        <f t="shared" si="40"/>
        <v>283.48738729114024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9.8717948717948705</v>
      </c>
      <c r="CT67" s="13">
        <f>IF('Données projet'!$A$140&gt;35,CT66+CS67-DB66,IF(A67&lt;'Données projet'!$A$140,$CQ$205^A67,IF(A67='Données projet'!$A$140,'Données projet'!$B$140,CT66+CS67-DB66)))</f>
        <v>252.17948717948713</v>
      </c>
      <c r="CU67" s="18">
        <f>CT67*VLOOKUP('Données projet'!$B$13,Paramètres!$A$1:$I$89,3,0)*VLOOKUP('Données projet'!$B$13,Paramètres!$A$1:$I$89,5,0)</f>
        <v>118.01999999999998</v>
      </c>
      <c r="CV67" s="14">
        <f t="shared" si="41"/>
        <v>31.212750593480965</v>
      </c>
      <c r="CW67" s="22">
        <f t="shared" si="13"/>
        <v>259.91370728364598</v>
      </c>
      <c r="CX67" s="60">
        <f t="shared" si="14"/>
        <v>553.24704061697935</v>
      </c>
      <c r="CY67" s="60">
        <f ca="1">AVERAGE(OFFSET($CX$3,0,0,'Données projet'!$E$13+1,1))-AVERAGE(OFFSET($H$3,0,0,'Données projet'!$E$13+1,1))</f>
        <v>246.64907095367749</v>
      </c>
      <c r="CZ67" s="60">
        <f t="shared" si="42"/>
        <v>145.34368562171613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-1.1368683772161603E-13</v>
      </c>
      <c r="DP67" s="18">
        <f>DO67*VLOOKUP('Données projet'!$B$14,Paramètres!$A$1:$I$89,3,0)*VLOOKUP('Données projet'!$B$14,Paramètres!$A$1:$I$89,5,0)</f>
        <v>-9.2222762759774927E-14</v>
      </c>
      <c r="DQ67" s="14" t="e">
        <f t="shared" si="43"/>
        <v>#NUM!</v>
      </c>
      <c r="DR67" s="22" t="e">
        <f t="shared" si="16"/>
        <v>#NUM!</v>
      </c>
      <c r="DS67" s="60" t="e">
        <f t="shared" si="17"/>
        <v>#NUM!</v>
      </c>
      <c r="DT67" s="60">
        <f ca="1">AVERAGE(OFFSET($DS$3,0,0,'Données projet'!$E$14+1,1))-AVERAGE(OFFSET($H$3,0,0,'Données projet'!$E$14+1,1))</f>
        <v>256.19915261735281</v>
      </c>
      <c r="DU67" s="60">
        <f t="shared" si="44"/>
        <v>297.47246687305056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743.59294134580057</v>
      </c>
      <c r="S68" s="60">
        <f ca="1">AVERAGE(OFFSET($R$3,0,0,'Données projet'!$E$9+1,1))-AVERAGE(OFFSET($H$3,0,0,'Données projet'!$E$9+1,1))</f>
        <v>428.8489304403459</v>
      </c>
      <c r="T68" s="60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255.00000000000009</v>
      </c>
      <c r="AJ68" s="14">
        <f>AI68*VLOOKUP('Données projet'!$B$10,Paramètres!$A$1:$I$89,3,0)*VLOOKUP('Données projet'!$B$10,Paramètres!$A$1:$I$89,5,0)</f>
        <v>202.87800000000007</v>
      </c>
      <c r="AK68" s="14">
        <f t="shared" si="35"/>
        <v>50.376138116990127</v>
      </c>
      <c r="AL68" s="22">
        <f t="shared" ref="AL68:AL131" si="58">(AJ68+AK68)*0.475*44/12</f>
        <v>441.08429055375791</v>
      </c>
      <c r="AM68" s="60">
        <f t="shared" ref="AM68:AM131" si="59">AL68+(AD68+AE68)*44/12</f>
        <v>734.41762388709117</v>
      </c>
      <c r="AN68" s="60">
        <f ca="1">AVERAGE(OFFSET($AM$3,0,0,'Données projet'!$E$10+1,1))-AVERAGE(OFFSET($H$3,0,0,'Données projet'!$E$10+1,1))</f>
        <v>299.28262372717484</v>
      </c>
      <c r="AO68" s="60">
        <f t="shared" si="36"/>
        <v>294.28794439094889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255.00000000000009</v>
      </c>
      <c r="BE68" s="14">
        <f>BD68*VLOOKUP('Données projet'!$B$11,Paramètres!$A$1:$I$89,3,0)*VLOOKUP('Données projet'!$B$11,Paramètres!$A$1:$I$89,5,0)</f>
        <v>186.96600000000007</v>
      </c>
      <c r="BF68" s="14">
        <f t="shared" si="37"/>
        <v>46.868551400324648</v>
      </c>
      <c r="BG68" s="22">
        <f t="shared" ref="BG68:BG131" si="61">(BE68+BF68)*0.475*44/12</f>
        <v>407.26184368889881</v>
      </c>
      <c r="BH68" s="60">
        <f t="shared" ref="BH68:BH131" si="62">BG68+(AY68+AZ68)*44/12</f>
        <v>700.59517702223206</v>
      </c>
      <c r="BI68" s="60">
        <f ca="1">AVERAGE(OFFSET($BH$3,0,0,'Données projet'!$E$11+1,1))-AVERAGE(OFFSET($H$3,0,0,'Données projet'!$E$11+1,1))</f>
        <v>278.61904724595763</v>
      </c>
      <c r="BJ68" s="60">
        <f t="shared" si="38"/>
        <v>274.55710362891892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0">
        <f t="shared" ref="CC68:CC131" si="65">CB68+(BT68+BU68)*44/12</f>
        <v>789.40029264619625</v>
      </c>
      <c r="CD68" s="60">
        <f ca="1">AVERAGE(OFFSET($CC$3,0,0,'Données projet'!$E$12+1,1))-AVERAGE(OFFSET($H$3,0,0,'Données projet'!$E$12+1,1))</f>
        <v>292.57482726862594</v>
      </c>
      <c r="CE68" s="60">
        <f t="shared" si="40"/>
        <v>283.48738729114024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9.8717948717948705</v>
      </c>
      <c r="CT68" s="13">
        <f>IF('Données projet'!$A$140&gt;35,CT67+CS68-DB67,IF(A68&lt;'Données projet'!$A$140,$CQ$205^A68,IF(A68='Données projet'!$A$140,'Données projet'!$B$140,CT67+CS68-DB67)))</f>
        <v>262.05128205128199</v>
      </c>
      <c r="CU68" s="18">
        <f>CT68*VLOOKUP('Données projet'!$B$13,Paramètres!$A$1:$I$89,3,0)*VLOOKUP('Données projet'!$B$13,Paramètres!$A$1:$I$89,5,0)</f>
        <v>122.63999999999997</v>
      </c>
      <c r="CV68" s="14">
        <f t="shared" si="41"/>
        <v>32.289953931572668</v>
      </c>
      <c r="CW68" s="22">
        <f t="shared" ref="CW68:CW131" si="67">(CU68+CV68)*0.475*44/12</f>
        <v>269.83633643082231</v>
      </c>
      <c r="CX68" s="60">
        <f t="shared" ref="CX68:CX131" si="68">CW68+(CO68+CP68)*44/12</f>
        <v>563.16966976415563</v>
      </c>
      <c r="CY68" s="60">
        <f ca="1">AVERAGE(OFFSET($CX$3,0,0,'Données projet'!$E$13+1,1))-AVERAGE(OFFSET($H$3,0,0,'Données projet'!$E$13+1,1))</f>
        <v>246.64907095367749</v>
      </c>
      <c r="CZ68" s="60">
        <f t="shared" si="42"/>
        <v>145.34368562171613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-1.1368683772161603E-13</v>
      </c>
      <c r="DP68" s="18">
        <f>DO68*VLOOKUP('Données projet'!$B$14,Paramètres!$A$1:$I$89,3,0)*VLOOKUP('Données projet'!$B$14,Paramètres!$A$1:$I$89,5,0)</f>
        <v>-9.2222762759774927E-14</v>
      </c>
      <c r="DQ68" s="14" t="e">
        <f t="shared" si="43"/>
        <v>#NUM!</v>
      </c>
      <c r="DR68" s="22" t="e">
        <f t="shared" ref="DR68:DR131" si="70">(DP68+DQ68)*0.475*44/12</f>
        <v>#NUM!</v>
      </c>
      <c r="DS68" s="60" t="e">
        <f t="shared" ref="DS68:DS131" si="71">DR68+(DJ68+DK68)*44/12</f>
        <v>#NUM!</v>
      </c>
      <c r="DT68" s="60">
        <f ca="1">AVERAGE(OFFSET($DS$3,0,0,'Données projet'!$E$14+1,1))-AVERAGE(OFFSET($H$3,0,0,'Données projet'!$E$14+1,1))</f>
        <v>256.19915261735281</v>
      </c>
      <c r="DU68" s="60">
        <f t="shared" si="44"/>
        <v>297.47246687305056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756.65012524226813</v>
      </c>
      <c r="S69" s="60">
        <f ca="1">AVERAGE(OFFSET($R$3,0,0,'Données projet'!$E$9+1,1))-AVERAGE(OFFSET($H$3,0,0,'Données projet'!$E$9+1,1))</f>
        <v>428.8489304403459</v>
      </c>
      <c r="T69" s="60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</v>
      </c>
      <c r="AI69" s="14">
        <f>IF('Données projet'!$A$62&gt;35,AI68+AH69-AQ68,IF(A69&lt;'Données projet'!$A$62,$AF$205^A69,IF(A69='Données projet'!$A$62,'Données projet'!$B$62,AI68+AH69-AQ68)))</f>
        <v>256.60000000000008</v>
      </c>
      <c r="AJ69" s="14">
        <f>AI69*VLOOKUP('Données projet'!$B$10,Paramètres!$A$1:$I$89,3,0)*VLOOKUP('Données projet'!$B$10,Paramètres!$A$1:$I$89,5,0)</f>
        <v>204.15096000000008</v>
      </c>
      <c r="AK69" s="14">
        <f t="shared" ref="AK69:AK132" si="89">EXP(-1.0587+0.8836*LN(AJ69)+0.284)</f>
        <v>50.65532957489819</v>
      </c>
      <c r="AL69" s="22">
        <f t="shared" si="58"/>
        <v>443.7876210096145</v>
      </c>
      <c r="AM69" s="60">
        <f t="shared" si="59"/>
        <v>737.12095434294781</v>
      </c>
      <c r="AN69" s="60">
        <f ca="1">AVERAGE(OFFSET($AM$3,0,0,'Données projet'!$E$10+1,1))-AVERAGE(OFFSET($H$3,0,0,'Données projet'!$E$10+1,1))</f>
        <v>299.28262372717484</v>
      </c>
      <c r="AO69" s="60">
        <f t="shared" ref="AO69:AO132" si="90">$AO$3</f>
        <v>294.28794439094889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1.6</v>
      </c>
      <c r="BD69" s="13">
        <f>IF('Données projet'!$A$88&gt;35,BD68+BC69-BL68,IF(A69&lt;'Données projet'!$A$88,$BA$205^A69,IF(A69='Données projet'!$A$88,'Données projet'!$B$88,BD68+BC69-BL68)))</f>
        <v>256.60000000000008</v>
      </c>
      <c r="BE69" s="14">
        <f>BD69*VLOOKUP('Données projet'!$B$11,Paramètres!$A$1:$I$89,3,0)*VLOOKUP('Données projet'!$B$11,Paramètres!$A$1:$I$89,5,0)</f>
        <v>188.13912000000005</v>
      </c>
      <c r="BF69" s="14">
        <f t="shared" ref="BF69:BF132" si="91">EXP(-1.0587+0.8836*LN(BE69)+0.284)</f>
        <v>47.128303332183869</v>
      </c>
      <c r="BG69" s="22">
        <f t="shared" si="61"/>
        <v>409.75742897022025</v>
      </c>
      <c r="BH69" s="60">
        <f t="shared" si="62"/>
        <v>703.09076230355356</v>
      </c>
      <c r="BI69" s="60">
        <f ca="1">AVERAGE(OFFSET($BH$3,0,0,'Données projet'!$E$11+1,1))-AVERAGE(OFFSET($H$3,0,0,'Données projet'!$E$11+1,1))</f>
        <v>278.61904724595763</v>
      </c>
      <c r="BJ69" s="60">
        <f t="shared" ref="BJ69:BJ132" si="92">$BJ$3</f>
        <v>274.55710362891892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0">
        <f t="shared" si="65"/>
        <v>803.71691910886818</v>
      </c>
      <c r="CD69" s="60">
        <f ca="1">AVERAGE(OFFSET($CC$3,0,0,'Données projet'!$E$12+1,1))-AVERAGE(OFFSET($H$3,0,0,'Données projet'!$E$12+1,1))</f>
        <v>292.57482726862594</v>
      </c>
      <c r="CE69" s="60">
        <f t="shared" ref="CE69:CE132" si="94">$CE$3</f>
        <v>283.48738729114024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9.8717948717948705</v>
      </c>
      <c r="CT69" s="13">
        <f>IF('Données projet'!$A$140&gt;35,CT68+CS69-DB68,IF(A69&lt;'Données projet'!$A$140,$CQ$205^A69,IF(A69='Données projet'!$A$140,'Données projet'!$B$140,CT68+CS69-DB68)))</f>
        <v>271.92307692307685</v>
      </c>
      <c r="CU69" s="18">
        <f>CT69*VLOOKUP('Données projet'!$B$13,Paramètres!$A$1:$I$89,3,0)*VLOOKUP('Données projet'!$B$13,Paramètres!$A$1:$I$89,5,0)</f>
        <v>127.25999999999998</v>
      </c>
      <c r="CV69" s="14">
        <f t="shared" ref="CV69:CV132" si="95">EXP(-1.0587+0.8836*LN(CU69)+0.284)</f>
        <v>33.362442969975817</v>
      </c>
      <c r="CW69" s="22">
        <f t="shared" si="67"/>
        <v>279.75075483937445</v>
      </c>
      <c r="CX69" s="60">
        <f t="shared" si="68"/>
        <v>573.08408817270777</v>
      </c>
      <c r="CY69" s="60">
        <f ca="1">AVERAGE(OFFSET($CX$3,0,0,'Données projet'!$E$13+1,1))-AVERAGE(OFFSET($H$3,0,0,'Données projet'!$E$13+1,1))</f>
        <v>246.64907095367749</v>
      </c>
      <c r="CZ69" s="60">
        <f t="shared" ref="CZ69:CZ132" si="96">$CZ$3</f>
        <v>145.34368562171613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-1.1368683772161603E-13</v>
      </c>
      <c r="DP69" s="18">
        <f>DO69*VLOOKUP('Données projet'!$B$14,Paramètres!$A$1:$I$89,3,0)*VLOOKUP('Données projet'!$B$14,Paramètres!$A$1:$I$89,5,0)</f>
        <v>-9.2222762759774927E-14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0" t="e">
        <f t="shared" si="71"/>
        <v>#NUM!</v>
      </c>
      <c r="DT69" s="60">
        <f ca="1">AVERAGE(OFFSET($DS$3,0,0,'Données projet'!$E$14+1,1))-AVERAGE(OFFSET($H$3,0,0,'Données projet'!$E$14+1,1))</f>
        <v>256.19915261735281</v>
      </c>
      <c r="DU69" s="60">
        <f t="shared" ref="DU69:DU132" si="98">$DU$3</f>
        <v>297.47246687305056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769.69946190259475</v>
      </c>
      <c r="S70" s="60">
        <f ca="1">AVERAGE(OFFSET($R$3,0,0,'Données projet'!$E$9+1,1))-AVERAGE(OFFSET($H$3,0,0,'Données projet'!$E$9+1,1))</f>
        <v>428.8489304403459</v>
      </c>
      <c r="T70" s="60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</v>
      </c>
      <c r="AI70" s="14">
        <f>IF('Données projet'!$A$62&gt;35,AI69+AH70-AQ69,IF(A70&lt;'Données projet'!$A$62,$AF$205^A70,IF(A70='Données projet'!$A$62,'Données projet'!$B$62,AI69+AH70-AQ69)))</f>
        <v>258.2000000000001</v>
      </c>
      <c r="AJ70" s="14">
        <f>AI70*VLOOKUP('Données projet'!$B$10,Paramètres!$A$1:$I$89,3,0)*VLOOKUP('Données projet'!$B$10,Paramètres!$A$1:$I$89,5,0)</f>
        <v>205.42392000000007</v>
      </c>
      <c r="AK70" s="14">
        <f t="shared" si="89"/>
        <v>50.934318468081216</v>
      </c>
      <c r="AL70" s="22">
        <f t="shared" si="58"/>
        <v>446.49059866524152</v>
      </c>
      <c r="AM70" s="60">
        <f t="shared" si="59"/>
        <v>739.82393199857484</v>
      </c>
      <c r="AN70" s="60">
        <f ca="1">AVERAGE(OFFSET($AM$3,0,0,'Données projet'!$E$10+1,1))-AVERAGE(OFFSET($H$3,0,0,'Données projet'!$E$10+1,1))</f>
        <v>299.28262372717484</v>
      </c>
      <c r="AO70" s="60">
        <f t="shared" si="90"/>
        <v>294.28794439094889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1.6</v>
      </c>
      <c r="BD70" s="13">
        <f>IF('Données projet'!$A$88&gt;35,BD69+BC70-BL69,IF(A70&lt;'Données projet'!$A$88,$BA$205^A70,IF(A70='Données projet'!$A$88,'Données projet'!$B$88,BD69+BC70-BL69)))</f>
        <v>258.2000000000001</v>
      </c>
      <c r="BE70" s="14">
        <f>BD70*VLOOKUP('Données projet'!$B$11,Paramètres!$A$1:$I$89,3,0)*VLOOKUP('Données projet'!$B$11,Paramètres!$A$1:$I$89,5,0)</f>
        <v>189.31224000000006</v>
      </c>
      <c r="BF70" s="14">
        <f t="shared" si="91"/>
        <v>47.387866803482609</v>
      </c>
      <c r="BG70" s="22">
        <f t="shared" si="61"/>
        <v>412.25268601606558</v>
      </c>
      <c r="BH70" s="60">
        <f t="shared" si="62"/>
        <v>705.58601934939884</v>
      </c>
      <c r="BI70" s="60">
        <f ca="1">AVERAGE(OFFSET($BH$3,0,0,'Données projet'!$E$11+1,1))-AVERAGE(OFFSET($H$3,0,0,'Données projet'!$E$11+1,1))</f>
        <v>278.61904724595763</v>
      </c>
      <c r="BJ70" s="60">
        <f t="shared" si="92"/>
        <v>274.55710362891892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0">
        <f t="shared" si="65"/>
        <v>818.02506401697747</v>
      </c>
      <c r="CD70" s="60">
        <f ca="1">AVERAGE(OFFSET($CC$3,0,0,'Données projet'!$E$12+1,1))-AVERAGE(OFFSET($H$3,0,0,'Données projet'!$E$12+1,1))</f>
        <v>292.57482726862594</v>
      </c>
      <c r="CE70" s="60">
        <f t="shared" si="94"/>
        <v>283.48738729114024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9.8717948717948705</v>
      </c>
      <c r="CT70" s="13">
        <f>IF('Données projet'!$A$140&gt;35,CT69+CS70-DB69,IF(A70&lt;'Données projet'!$A$140,$CQ$205^A70,IF(A70='Données projet'!$A$140,'Données projet'!$B$140,CT69+CS70-DB69)))</f>
        <v>281.79487179487171</v>
      </c>
      <c r="CU70" s="18">
        <f>CT70*VLOOKUP('Données projet'!$B$13,Paramètres!$A$1:$I$89,3,0)*VLOOKUP('Données projet'!$B$13,Paramètres!$A$1:$I$89,5,0)</f>
        <v>131.87999999999994</v>
      </c>
      <c r="CV70" s="14">
        <f t="shared" si="95"/>
        <v>34.430408458396784</v>
      </c>
      <c r="CW70" s="22">
        <f t="shared" si="67"/>
        <v>289.65729473170762</v>
      </c>
      <c r="CX70" s="60">
        <f t="shared" si="68"/>
        <v>582.99062806504094</v>
      </c>
      <c r="CY70" s="60">
        <f ca="1">AVERAGE(OFFSET($CX$3,0,0,'Données projet'!$E$13+1,1))-AVERAGE(OFFSET($H$3,0,0,'Données projet'!$E$13+1,1))</f>
        <v>246.64907095367749</v>
      </c>
      <c r="CZ70" s="60">
        <f t="shared" si="96"/>
        <v>145.34368562171613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-1.1368683772161603E-13</v>
      </c>
      <c r="DP70" s="18">
        <f>DO70*VLOOKUP('Données projet'!$B$14,Paramètres!$A$1:$I$89,3,0)*VLOOKUP('Données projet'!$B$14,Paramètres!$A$1:$I$89,5,0)</f>
        <v>-9.2222762759774927E-14</v>
      </c>
      <c r="DQ70" s="14" t="e">
        <f t="shared" si="97"/>
        <v>#NUM!</v>
      </c>
      <c r="DR70" s="22" t="e">
        <f t="shared" si="70"/>
        <v>#NUM!</v>
      </c>
      <c r="DS70" s="60" t="e">
        <f t="shared" si="71"/>
        <v>#NUM!</v>
      </c>
      <c r="DT70" s="60">
        <f ca="1">AVERAGE(OFFSET($DS$3,0,0,'Données projet'!$E$14+1,1))-AVERAGE(OFFSET($H$3,0,0,'Données projet'!$E$14+1,1))</f>
        <v>256.19915261735281</v>
      </c>
      <c r="DU70" s="60">
        <f t="shared" si="98"/>
        <v>297.47246687305056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782.74119655001107</v>
      </c>
      <c r="S71" s="60">
        <f ca="1">AVERAGE(OFFSET($R$3,0,0,'Données projet'!$E$9+1,1))-AVERAGE(OFFSET($H$3,0,0,'Données projet'!$E$9+1,1))</f>
        <v>428.8489304403459</v>
      </c>
      <c r="T71" s="60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</v>
      </c>
      <c r="AI71" s="14">
        <f>IF('Données projet'!$A$62&gt;35,AI70+AH71-AQ70,IF(A71&lt;'Données projet'!$A$62,$AF$205^A71,IF(A71='Données projet'!$A$62,'Données projet'!$B$62,AI70+AH71-AQ70)))</f>
        <v>259.80000000000013</v>
      </c>
      <c r="AJ71" s="14">
        <f>AI71*VLOOKUP('Données projet'!$B$10,Paramètres!$A$1:$I$89,3,0)*VLOOKUP('Données projet'!$B$10,Paramètres!$A$1:$I$89,5,0)</f>
        <v>206.69688000000014</v>
      </c>
      <c r="AK71" s="14">
        <f t="shared" si="89"/>
        <v>51.213106197404478</v>
      </c>
      <c r="AL71" s="22">
        <f t="shared" si="58"/>
        <v>449.19322596047977</v>
      </c>
      <c r="AM71" s="60">
        <f t="shared" si="59"/>
        <v>742.52655929381308</v>
      </c>
      <c r="AN71" s="60">
        <f ca="1">AVERAGE(OFFSET($AM$3,0,0,'Données projet'!$E$10+1,1))-AVERAGE(OFFSET($H$3,0,0,'Données projet'!$E$10+1,1))</f>
        <v>299.28262372717484</v>
      </c>
      <c r="AO71" s="60">
        <f t="shared" si="90"/>
        <v>294.28794439094889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1.6</v>
      </c>
      <c r="BD71" s="13">
        <f>IF('Données projet'!$A$88&gt;35,BD70+BC71-BL70,IF(A71&lt;'Données projet'!$A$88,$BA$205^A71,IF(A71='Données projet'!$A$88,'Données projet'!$B$88,BD70+BC71-BL70)))</f>
        <v>259.80000000000013</v>
      </c>
      <c r="BE71" s="14">
        <f>BD71*VLOOKUP('Données projet'!$B$11,Paramètres!$A$1:$I$89,3,0)*VLOOKUP('Données projet'!$B$11,Paramètres!$A$1:$I$89,5,0)</f>
        <v>190.4853600000001</v>
      </c>
      <c r="BF71" s="14">
        <f t="shared" si="91"/>
        <v>47.647243117546637</v>
      </c>
      <c r="BG71" s="22">
        <f t="shared" si="61"/>
        <v>414.74761709639392</v>
      </c>
      <c r="BH71" s="60">
        <f t="shared" si="62"/>
        <v>708.08095042972718</v>
      </c>
      <c r="BI71" s="60">
        <f ca="1">AVERAGE(OFFSET($BH$3,0,0,'Données projet'!$E$11+1,1))-AVERAGE(OFFSET($H$3,0,0,'Données projet'!$E$11+1,1))</f>
        <v>278.61904724595763</v>
      </c>
      <c r="BJ71" s="60">
        <f t="shared" si="92"/>
        <v>274.55710362891892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0">
        <f t="shared" si="65"/>
        <v>832.3249911627081</v>
      </c>
      <c r="CD71" s="60">
        <f ca="1">AVERAGE(OFFSET($CC$3,0,0,'Données projet'!$E$12+1,1))-AVERAGE(OFFSET($H$3,0,0,'Données projet'!$E$12+1,1))</f>
        <v>292.57482726862594</v>
      </c>
      <c r="CE71" s="60">
        <f t="shared" si="94"/>
        <v>283.48738729114024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9.8717948717948705</v>
      </c>
      <c r="CT71" s="13">
        <f>IF('Données projet'!$A$140&gt;35,CT70+CS71-DB70,IF(A71&lt;'Données projet'!$A$140,$CQ$205^A71,IF(A71='Données projet'!$A$140,'Données projet'!$B$140,CT70+CS71-DB70)))</f>
        <v>291.66666666666657</v>
      </c>
      <c r="CU71" s="18">
        <f>CT71*VLOOKUP('Données projet'!$B$13,Paramètres!$A$1:$I$89,3,0)*VLOOKUP('Données projet'!$B$13,Paramètres!$A$1:$I$89,5,0)</f>
        <v>136.49999999999994</v>
      </c>
      <c r="CV71" s="14">
        <f t="shared" si="95"/>
        <v>35.494027024087352</v>
      </c>
      <c r="CW71" s="22">
        <f t="shared" si="67"/>
        <v>299.55626373361866</v>
      </c>
      <c r="CX71" s="60">
        <f t="shared" si="68"/>
        <v>592.88959706695198</v>
      </c>
      <c r="CY71" s="60">
        <f ca="1">AVERAGE(OFFSET($CX$3,0,0,'Données projet'!$E$13+1,1))-AVERAGE(OFFSET($H$3,0,0,'Données projet'!$E$13+1,1))</f>
        <v>246.64907095367749</v>
      </c>
      <c r="CZ71" s="60">
        <f t="shared" si="96"/>
        <v>145.34368562171613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-1.1368683772161603E-13</v>
      </c>
      <c r="DP71" s="18">
        <f>DO71*VLOOKUP('Données projet'!$B$14,Paramètres!$A$1:$I$89,3,0)*VLOOKUP('Données projet'!$B$14,Paramètres!$A$1:$I$89,5,0)</f>
        <v>-9.2222762759774927E-14</v>
      </c>
      <c r="DQ71" s="14" t="e">
        <f t="shared" si="97"/>
        <v>#NUM!</v>
      </c>
      <c r="DR71" s="22" t="e">
        <f t="shared" si="70"/>
        <v>#NUM!</v>
      </c>
      <c r="DS71" s="60" t="e">
        <f t="shared" si="71"/>
        <v>#NUM!</v>
      </c>
      <c r="DT71" s="60">
        <f ca="1">AVERAGE(OFFSET($DS$3,0,0,'Données projet'!$E$14+1,1))-AVERAGE(OFFSET($H$3,0,0,'Données projet'!$E$14+1,1))</f>
        <v>256.19915261735281</v>
      </c>
      <c r="DU71" s="60">
        <f t="shared" si="98"/>
        <v>297.47246687305056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795.77556027438573</v>
      </c>
      <c r="S72" s="60">
        <f ca="1">AVERAGE(OFFSET($R$3,0,0,'Données projet'!$E$9+1,1))-AVERAGE(OFFSET($H$3,0,0,'Données projet'!$E$9+1,1))</f>
        <v>428.8489304403459</v>
      </c>
      <c r="T72" s="60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</v>
      </c>
      <c r="AI72" s="14">
        <f>IF('Données projet'!$A$62&gt;35,AI71+AH72-AQ71,IF(A72&lt;'Données projet'!$A$62,$AF$205^A72,IF(A72='Données projet'!$A$62,'Données projet'!$B$62,AI71+AH72-AQ71)))</f>
        <v>261.40000000000015</v>
      </c>
      <c r="AJ72" s="14">
        <f>AI72*VLOOKUP('Données projet'!$B$10,Paramètres!$A$1:$I$89,3,0)*VLOOKUP('Données projet'!$B$10,Paramètres!$A$1:$I$89,5,0)</f>
        <v>207.96984000000012</v>
      </c>
      <c r="AK72" s="14">
        <f t="shared" si="89"/>
        <v>51.491694145480423</v>
      </c>
      <c r="AL72" s="22">
        <f t="shared" si="58"/>
        <v>451.89550530337857</v>
      </c>
      <c r="AM72" s="60">
        <f t="shared" si="59"/>
        <v>745.22883863671188</v>
      </c>
      <c r="AN72" s="60">
        <f ca="1">AVERAGE(OFFSET($AM$3,0,0,'Données projet'!$E$10+1,1))-AVERAGE(OFFSET($H$3,0,0,'Données projet'!$E$10+1,1))</f>
        <v>299.28262372717484</v>
      </c>
      <c r="AO72" s="60">
        <f t="shared" si="90"/>
        <v>294.28794439094889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1.6</v>
      </c>
      <c r="BD72" s="13">
        <f>IF('Données projet'!$A$88&gt;35,BD71+BC72-BL71,IF(A72&lt;'Données projet'!$A$88,$BA$205^A72,IF(A72='Données projet'!$A$88,'Données projet'!$B$88,BD71+BC72-BL71)))</f>
        <v>261.40000000000015</v>
      </c>
      <c r="BE72" s="14">
        <f>BD72*VLOOKUP('Données projet'!$B$11,Paramètres!$A$1:$I$89,3,0)*VLOOKUP('Données projet'!$B$11,Paramètres!$A$1:$I$89,5,0)</f>
        <v>191.65848000000011</v>
      </c>
      <c r="BF72" s="14">
        <f t="shared" si="91"/>
        <v>47.906433560720011</v>
      </c>
      <c r="BG72" s="22">
        <f t="shared" si="61"/>
        <v>417.24222445158756</v>
      </c>
      <c r="BH72" s="60">
        <f t="shared" si="62"/>
        <v>710.57555778492087</v>
      </c>
      <c r="BI72" s="60">
        <f ca="1">AVERAGE(OFFSET($BH$3,0,0,'Données projet'!$E$11+1,1))-AVERAGE(OFFSET($H$3,0,0,'Données projet'!$E$11+1,1))</f>
        <v>278.61904724595763</v>
      </c>
      <c r="BJ72" s="60">
        <f t="shared" si="92"/>
        <v>274.55710362891892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0">
        <f t="shared" si="65"/>
        <v>846.61694920462401</v>
      </c>
      <c r="CD72" s="60">
        <f ca="1">AVERAGE(OFFSET($CC$3,0,0,'Données projet'!$E$12+1,1))-AVERAGE(OFFSET($H$3,0,0,'Données projet'!$E$12+1,1))</f>
        <v>292.57482726862594</v>
      </c>
      <c r="CE72" s="60">
        <f t="shared" si="94"/>
        <v>283.48738729114024</v>
      </c>
      <c r="CF72" s="16">
        <f>IF(ISNA(VLOOKUP(A72,'Données projet'!$A$113:$I$133,3,0)),0,VLOOKUP(A72,'Données projet'!$A$113:$I$133,3,0))</f>
        <v>7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9.8717948717948705</v>
      </c>
      <c r="CT72" s="13">
        <f>IF('Données projet'!$A$140&gt;35,CT71+CS72-DB71,IF(A72&lt;'Données projet'!$A$140,$CQ$205^A72,IF(A72='Données projet'!$A$140,'Données projet'!$B$140,CT71+CS72-DB71)))</f>
        <v>301.53846153846143</v>
      </c>
      <c r="CU72" s="18">
        <f>CT72*VLOOKUP('Données projet'!$B$13,Paramètres!$A$1:$I$89,3,0)*VLOOKUP('Données projet'!$B$13,Paramètres!$A$1:$I$89,5,0)</f>
        <v>141.11999999999995</v>
      </c>
      <c r="CV72" s="14">
        <f t="shared" si="95"/>
        <v>36.553462659686843</v>
      </c>
      <c r="CW72" s="22">
        <f t="shared" si="67"/>
        <v>309.4479474656211</v>
      </c>
      <c r="CX72" s="60">
        <f t="shared" si="68"/>
        <v>602.78128079895441</v>
      </c>
      <c r="CY72" s="60">
        <f ca="1">AVERAGE(OFFSET($CX$3,0,0,'Données projet'!$E$13+1,1))-AVERAGE(OFFSET($H$3,0,0,'Données projet'!$E$13+1,1))</f>
        <v>246.64907095367749</v>
      </c>
      <c r="CZ72" s="60">
        <f t="shared" si="96"/>
        <v>145.34368562171613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-1.1368683772161603E-13</v>
      </c>
      <c r="DP72" s="18">
        <f>DO72*VLOOKUP('Données projet'!$B$14,Paramètres!$A$1:$I$89,3,0)*VLOOKUP('Données projet'!$B$14,Paramètres!$A$1:$I$89,5,0)</f>
        <v>-9.2222762759774927E-14</v>
      </c>
      <c r="DQ72" s="14" t="e">
        <f t="shared" si="97"/>
        <v>#NUM!</v>
      </c>
      <c r="DR72" s="22" t="e">
        <f t="shared" si="70"/>
        <v>#NUM!</v>
      </c>
      <c r="DS72" s="60" t="e">
        <f t="shared" si="71"/>
        <v>#NUM!</v>
      </c>
      <c r="DT72" s="60">
        <f ca="1">AVERAGE(OFFSET($DS$3,0,0,'Données projet'!$E$14+1,1))-AVERAGE(OFFSET($H$3,0,0,'Données projet'!$E$14+1,1))</f>
        <v>256.19915261735281</v>
      </c>
      <c r="DU72" s="60">
        <f t="shared" si="98"/>
        <v>297.47246687305056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808.80277120001347</v>
      </c>
      <c r="S73" s="60">
        <f ca="1">AVERAGE(OFFSET($R$3,0,0,'Données projet'!$E$9+1,1))-AVERAGE(OFFSET($H$3,0,0,'Données projet'!$E$9+1,1))</f>
        <v>428.8489304403459</v>
      </c>
      <c r="T73" s="60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1.6</v>
      </c>
      <c r="AH73" s="13">
        <f t="array" ref="AH73">INDEX(AG:AG,MIN(IF(ISNUMBER(AG73:AG269),ROW(AG73:AG269),"")))</f>
        <v>1.6</v>
      </c>
      <c r="AI73" s="14">
        <f>IF('Données projet'!$A$62&gt;35,AI72+AH73-AQ72,IF(A73&lt;'Données projet'!$A$62,$AF$205^A73,IF(A73='Données projet'!$A$62,'Données projet'!$B$62,AI72+AH73-AQ72)))</f>
        <v>263.00000000000017</v>
      </c>
      <c r="AJ73" s="14">
        <f>AI73*VLOOKUP('Données projet'!$B$10,Paramètres!$A$1:$I$89,3,0)*VLOOKUP('Données projet'!$B$10,Paramètres!$A$1:$I$89,5,0)</f>
        <v>209.24280000000013</v>
      </c>
      <c r="AK73" s="14">
        <f t="shared" si="89"/>
        <v>51.770083677016856</v>
      </c>
      <c r="AL73" s="22">
        <f t="shared" si="58"/>
        <v>454.59743907080457</v>
      </c>
      <c r="AM73" s="60">
        <f t="shared" si="59"/>
        <v>747.93077240413788</v>
      </c>
      <c r="AN73" s="60">
        <f ca="1">AVERAGE(OFFSET($AM$3,0,0,'Données projet'!$E$10+1,1))-AVERAGE(OFFSET($H$3,0,0,'Données projet'!$E$10+1,1))</f>
        <v>299.28262372717484</v>
      </c>
      <c r="AO73" s="60">
        <f t="shared" si="90"/>
        <v>294.28794439094889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1.6</v>
      </c>
      <c r="BC73" s="13">
        <f t="array" ref="BC73">INDEX(BB:BB,MIN(IF(ISNUMBER(BB73:BB269),ROW(BB73:BB269),"")))</f>
        <v>1.6</v>
      </c>
      <c r="BD73" s="13">
        <f>IF('Données projet'!$A$88&gt;35,BD72+BC73-BL72,IF(A73&lt;'Données projet'!$A$88,$BA$205^A73,IF(A73='Données projet'!$A$88,'Données projet'!$B$88,BD72+BC73-BL72)))</f>
        <v>263.00000000000017</v>
      </c>
      <c r="BE73" s="14">
        <f>BD73*VLOOKUP('Données projet'!$B$11,Paramètres!$A$1:$I$89,3,0)*VLOOKUP('Données projet'!$B$11,Paramètres!$A$1:$I$89,5,0)</f>
        <v>192.83160000000012</v>
      </c>
      <c r="BF73" s="14">
        <f t="shared" si="91"/>
        <v>48.165439402688861</v>
      </c>
      <c r="BG73" s="22">
        <f t="shared" si="61"/>
        <v>419.73651029301664</v>
      </c>
      <c r="BH73" s="60">
        <f t="shared" si="62"/>
        <v>713.06984362634989</v>
      </c>
      <c r="BI73" s="60">
        <f ca="1">AVERAGE(OFFSET($BH$3,0,0,'Données projet'!$E$11+1,1))-AVERAGE(OFFSET($H$3,0,0,'Données projet'!$E$11+1,1))</f>
        <v>278.61904724595763</v>
      </c>
      <c r="BJ73" s="60">
        <f t="shared" si="92"/>
        <v>274.55710362891892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0">
        <f t="shared" si="65"/>
        <v>293.33333333333582</v>
      </c>
      <c r="CD73" s="60">
        <f ca="1">AVERAGE(OFFSET($CC$3,0,0,'Données projet'!$E$12+1,1))-AVERAGE(OFFSET($H$3,0,0,'Données projet'!$E$12+1,1))</f>
        <v>292.57482726862594</v>
      </c>
      <c r="CE73" s="60">
        <f t="shared" si="94"/>
        <v>283.48738729114024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9.8717948717948705</v>
      </c>
      <c r="CT73" s="13">
        <f>IF('Données projet'!$A$140&gt;35,CT72+CS73-DB72,IF(A73&lt;'Données projet'!$A$140,$CQ$205^A73,IF(A73='Données projet'!$A$140,'Données projet'!$B$140,CT72+CS73-DB72)))</f>
        <v>311.4102564102563</v>
      </c>
      <c r="CU73" s="18">
        <f>CT73*VLOOKUP('Données projet'!$B$13,Paramètres!$A$1:$I$89,3,0)*VLOOKUP('Données projet'!$B$13,Paramètres!$A$1:$I$89,5,0)</f>
        <v>145.73999999999995</v>
      </c>
      <c r="CV73" s="14">
        <f t="shared" si="95"/>
        <v>37.608868010754726</v>
      </c>
      <c r="CW73" s="22">
        <f t="shared" si="67"/>
        <v>319.33261178539772</v>
      </c>
      <c r="CX73" s="60">
        <f t="shared" si="68"/>
        <v>612.66594511873109</v>
      </c>
      <c r="CY73" s="60">
        <f ca="1">AVERAGE(OFFSET($CX$3,0,0,'Données projet'!$E$13+1,1))-AVERAGE(OFFSET($H$3,0,0,'Données projet'!$E$13+1,1))</f>
        <v>246.64907095367749</v>
      </c>
      <c r="CZ73" s="60">
        <f t="shared" si="96"/>
        <v>145.34368562171613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-1.1368683772161603E-13</v>
      </c>
      <c r="DP73" s="18">
        <f>DO73*VLOOKUP('Données projet'!$B$14,Paramètres!$A$1:$I$89,3,0)*VLOOKUP('Données projet'!$B$14,Paramètres!$A$1:$I$89,5,0)</f>
        <v>-9.2222762759774927E-14</v>
      </c>
      <c r="DQ73" s="14" t="e">
        <f t="shared" si="97"/>
        <v>#NUM!</v>
      </c>
      <c r="DR73" s="22" t="e">
        <f t="shared" si="70"/>
        <v>#NUM!</v>
      </c>
      <c r="DS73" s="60" t="e">
        <f t="shared" si="71"/>
        <v>#NUM!</v>
      </c>
      <c r="DT73" s="60">
        <f ca="1">AVERAGE(OFFSET($DS$3,0,0,'Données projet'!$E$14+1,1))-AVERAGE(OFFSET($H$3,0,0,'Données projet'!$E$14+1,1))</f>
        <v>256.19915261735281</v>
      </c>
      <c r="DU73" s="60">
        <f t="shared" si="98"/>
        <v>297.47246687305056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740.13528187395309</v>
      </c>
      <c r="S74" s="60">
        <f ca="1">AVERAGE(OFFSET($R$3,0,0,'Données projet'!$E$9+1,1))-AVERAGE(OFFSET($H$3,0,0,'Données projet'!$E$9+1,1))</f>
        <v>428.8489304403459</v>
      </c>
      <c r="T74" s="60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5.6</v>
      </c>
      <c r="AI74" s="14">
        <f>IF('Données projet'!$A$62&gt;35,AI73+AH74-AQ73,IF(A74&lt;'Données projet'!$A$62,$AF$205^A74,IF(A74='Données projet'!$A$62,'Données projet'!$B$62,AI73+AH74-AQ73)))</f>
        <v>247.60000000000019</v>
      </c>
      <c r="AJ74" s="14">
        <f>AI74*VLOOKUP('Données projet'!$B$10,Paramètres!$A$1:$I$89,3,0)*VLOOKUP('Données projet'!$B$10,Paramètres!$A$1:$I$89,5,0)</f>
        <v>196.99056000000016</v>
      </c>
      <c r="AK74" s="14">
        <f t="shared" si="89"/>
        <v>49.082201425782451</v>
      </c>
      <c r="AL74" s="22">
        <f t="shared" si="58"/>
        <v>428.57672614990469</v>
      </c>
      <c r="AM74" s="60">
        <f t="shared" si="59"/>
        <v>721.910059483238</v>
      </c>
      <c r="AN74" s="60">
        <f ca="1">AVERAGE(OFFSET($AM$3,0,0,'Données projet'!$E$10+1,1))-AVERAGE(OFFSET($H$3,0,0,'Données projet'!$E$10+1,1))</f>
        <v>299.28262372717484</v>
      </c>
      <c r="AO74" s="60">
        <f t="shared" si="90"/>
        <v>294.28794439094889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5.6</v>
      </c>
      <c r="BD74" s="13">
        <f>IF('Données projet'!$A$88&gt;35,BD73+BC74-BL73,IF(A74&lt;'Données projet'!$A$88,$BA$205^A74,IF(A74='Données projet'!$A$88,'Données projet'!$B$88,BD73+BC74-BL73)))</f>
        <v>247.60000000000019</v>
      </c>
      <c r="BE74" s="14">
        <f>BD74*VLOOKUP('Données projet'!$B$11,Paramètres!$A$1:$I$89,3,0)*VLOOKUP('Données projet'!$B$11,Paramètres!$A$1:$I$89,5,0)</f>
        <v>181.54032000000015</v>
      </c>
      <c r="BF74" s="14">
        <f t="shared" si="91"/>
        <v>45.664708855272956</v>
      </c>
      <c r="BG74" s="22">
        <f t="shared" si="61"/>
        <v>395.71542525626728</v>
      </c>
      <c r="BH74" s="60">
        <f t="shared" si="62"/>
        <v>689.04875858960054</v>
      </c>
      <c r="BI74" s="60">
        <f ca="1">AVERAGE(OFFSET($BH$3,0,0,'Données projet'!$E$11+1,1))-AVERAGE(OFFSET($H$3,0,0,'Données projet'!$E$11+1,1))</f>
        <v>278.61904724595763</v>
      </c>
      <c r="BJ74" s="60">
        <f t="shared" si="92"/>
        <v>274.55710362891892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0">
        <f t="shared" si="65"/>
        <v>293.33333333333582</v>
      </c>
      <c r="CD74" s="60">
        <f ca="1">AVERAGE(OFFSET($CC$3,0,0,'Données projet'!$E$12+1,1))-AVERAGE(OFFSET($H$3,0,0,'Données projet'!$E$12+1,1))</f>
        <v>292.57482726862594</v>
      </c>
      <c r="CE74" s="60">
        <f t="shared" si="94"/>
        <v>283.48738729114024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9.8717948717948705</v>
      </c>
      <c r="CT74" s="13">
        <f>IF('Données projet'!$A$140&gt;35,CT73+CS74-DB73,IF(A74&lt;'Données projet'!$A$140,$CQ$205^A74,IF(A74='Données projet'!$A$140,'Données projet'!$B$140,CT73+CS74-DB73)))</f>
        <v>321.28205128205116</v>
      </c>
      <c r="CU74" s="18">
        <f>CT74*VLOOKUP('Données projet'!$B$13,Paramètres!$A$1:$I$89,3,0)*VLOOKUP('Données projet'!$B$13,Paramètres!$A$1:$I$89,5,0)</f>
        <v>150.35999999999993</v>
      </c>
      <c r="CV74" s="14">
        <f t="shared" si="95"/>
        <v>38.660385495456531</v>
      </c>
      <c r="CW74" s="22">
        <f t="shared" si="67"/>
        <v>329.21050473791996</v>
      </c>
      <c r="CX74" s="60">
        <f t="shared" si="68"/>
        <v>622.54383807125328</v>
      </c>
      <c r="CY74" s="60">
        <f ca="1">AVERAGE(OFFSET($CX$3,0,0,'Données projet'!$E$13+1,1))-AVERAGE(OFFSET($H$3,0,0,'Données projet'!$E$13+1,1))</f>
        <v>246.64907095367749</v>
      </c>
      <c r="CZ74" s="60">
        <f t="shared" si="96"/>
        <v>145.34368562171613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-1.1368683772161603E-13</v>
      </c>
      <c r="DP74" s="18">
        <f>DO74*VLOOKUP('Données projet'!$B$14,Paramètres!$A$1:$I$89,3,0)*VLOOKUP('Données projet'!$B$14,Paramètres!$A$1:$I$89,5,0)</f>
        <v>-9.2222762759774927E-14</v>
      </c>
      <c r="DQ74" s="14" t="e">
        <f t="shared" si="97"/>
        <v>#NUM!</v>
      </c>
      <c r="DR74" s="22" t="e">
        <f t="shared" si="70"/>
        <v>#NUM!</v>
      </c>
      <c r="DS74" s="60" t="e">
        <f t="shared" si="71"/>
        <v>#NUM!</v>
      </c>
      <c r="DT74" s="60">
        <f ca="1">AVERAGE(OFFSET($DS$3,0,0,'Données projet'!$E$14+1,1))-AVERAGE(OFFSET($H$3,0,0,'Données projet'!$E$14+1,1))</f>
        <v>256.19915261735281</v>
      </c>
      <c r="DU74" s="60">
        <f t="shared" si="98"/>
        <v>297.47246687305056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752.04261652954642</v>
      </c>
      <c r="S75" s="60">
        <f ca="1">AVERAGE(OFFSET($R$3,0,0,'Données projet'!$E$9+1,1))-AVERAGE(OFFSET($H$3,0,0,'Données projet'!$E$9+1,1))</f>
        <v>428.8489304403459</v>
      </c>
      <c r="T75" s="60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5.6</v>
      </c>
      <c r="AI75" s="14">
        <f>IF('Données projet'!$A$62&gt;35,AI74+AH75-AQ74,IF(A75&lt;'Données projet'!$A$62,$AF$205^A75,IF(A75='Données projet'!$A$62,'Données projet'!$B$62,AI74+AH75-AQ74)))</f>
        <v>253.20000000000019</v>
      </c>
      <c r="AJ75" s="14">
        <f>AI75*VLOOKUP('Données projet'!$B$10,Paramètres!$A$1:$I$89,3,0)*VLOOKUP('Données projet'!$B$10,Paramètres!$A$1:$I$89,5,0)</f>
        <v>201.44592000000014</v>
      </c>
      <c r="AK75" s="14">
        <f t="shared" si="89"/>
        <v>50.061803830547262</v>
      </c>
      <c r="AL75" s="22">
        <f t="shared" si="58"/>
        <v>438.04261900487001</v>
      </c>
      <c r="AM75" s="60">
        <f t="shared" si="59"/>
        <v>731.37595233820332</v>
      </c>
      <c r="AN75" s="60">
        <f ca="1">AVERAGE(OFFSET($AM$3,0,0,'Données projet'!$E$10+1,1))-AVERAGE(OFFSET($H$3,0,0,'Données projet'!$E$10+1,1))</f>
        <v>299.28262372717484</v>
      </c>
      <c r="AO75" s="60">
        <f t="shared" si="90"/>
        <v>294.28794439094889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5.6</v>
      </c>
      <c r="BD75" s="13">
        <f>IF('Données projet'!$A$88&gt;35,BD74+BC75-BL74,IF(A75&lt;'Données projet'!$A$88,$BA$205^A75,IF(A75='Données projet'!$A$88,'Données projet'!$B$88,BD74+BC75-BL74)))</f>
        <v>253.20000000000019</v>
      </c>
      <c r="BE75" s="14">
        <f>BD75*VLOOKUP('Données projet'!$B$11,Paramètres!$A$1:$I$89,3,0)*VLOOKUP('Données projet'!$B$11,Paramètres!$A$1:$I$89,5,0)</f>
        <v>185.64624000000012</v>
      </c>
      <c r="BF75" s="14">
        <f t="shared" si="91"/>
        <v>46.576103562683336</v>
      </c>
      <c r="BG75" s="22">
        <f t="shared" si="61"/>
        <v>404.45391503834031</v>
      </c>
      <c r="BH75" s="60">
        <f t="shared" si="62"/>
        <v>697.78724837167363</v>
      </c>
      <c r="BI75" s="60">
        <f ca="1">AVERAGE(OFFSET($BH$3,0,0,'Données projet'!$E$11+1,1))-AVERAGE(OFFSET($H$3,0,0,'Données projet'!$E$11+1,1))</f>
        <v>278.61904724595763</v>
      </c>
      <c r="BJ75" s="60">
        <f t="shared" si="92"/>
        <v>274.55710362891892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0">
        <f t="shared" si="65"/>
        <v>293.33333333333582</v>
      </c>
      <c r="CD75" s="60">
        <f ca="1">AVERAGE(OFFSET($CC$3,0,0,'Données projet'!$E$12+1,1))-AVERAGE(OFFSET($H$3,0,0,'Données projet'!$E$12+1,1))</f>
        <v>292.57482726862594</v>
      </c>
      <c r="CE75" s="60">
        <f t="shared" si="94"/>
        <v>283.48738729114024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9.8717948717948705</v>
      </c>
      <c r="CT75" s="13">
        <f>IF('Données projet'!$A$140&gt;35,CT74+CS75-DB74,IF(A75&lt;'Données projet'!$A$140,$CQ$205^A75,IF(A75='Données projet'!$A$140,'Données projet'!$B$140,CT74+CS75-DB74)))</f>
        <v>331.15384615384602</v>
      </c>
      <c r="CU75" s="18">
        <f>CT75*VLOOKUP('Données projet'!$B$13,Paramètres!$A$1:$I$89,3,0)*VLOOKUP('Données projet'!$B$13,Paramètres!$A$1:$I$89,5,0)</f>
        <v>154.97999999999993</v>
      </c>
      <c r="CV75" s="14">
        <f t="shared" si="95"/>
        <v>39.708148282768228</v>
      </c>
      <c r="CW75" s="22">
        <f t="shared" si="67"/>
        <v>339.08185825915456</v>
      </c>
      <c r="CX75" s="60">
        <f t="shared" si="68"/>
        <v>632.41519159248787</v>
      </c>
      <c r="CY75" s="60">
        <f ca="1">AVERAGE(OFFSET($CX$3,0,0,'Données projet'!$E$13+1,1))-AVERAGE(OFFSET($H$3,0,0,'Données projet'!$E$13+1,1))</f>
        <v>246.64907095367749</v>
      </c>
      <c r="CZ75" s="60">
        <f t="shared" si="96"/>
        <v>145.34368562171613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-1.1368683772161603E-13</v>
      </c>
      <c r="DP75" s="18">
        <f>DO75*VLOOKUP('Données projet'!$B$14,Paramètres!$A$1:$I$89,3,0)*VLOOKUP('Données projet'!$B$14,Paramètres!$A$1:$I$89,5,0)</f>
        <v>-9.2222762759774927E-14</v>
      </c>
      <c r="DQ75" s="14" t="e">
        <f t="shared" si="97"/>
        <v>#NUM!</v>
      </c>
      <c r="DR75" s="22" t="e">
        <f t="shared" si="70"/>
        <v>#NUM!</v>
      </c>
      <c r="DS75" s="60" t="e">
        <f t="shared" si="71"/>
        <v>#NUM!</v>
      </c>
      <c r="DT75" s="60">
        <f ca="1">AVERAGE(OFFSET($DS$3,0,0,'Données projet'!$E$14+1,1))-AVERAGE(OFFSET($H$3,0,0,'Données projet'!$E$14+1,1))</f>
        <v>256.19915261735281</v>
      </c>
      <c r="DU75" s="60">
        <f t="shared" si="98"/>
        <v>297.47246687305056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763.94335289202195</v>
      </c>
      <c r="S76" s="60">
        <f ca="1">AVERAGE(OFFSET($R$3,0,0,'Données projet'!$E$9+1,1))-AVERAGE(OFFSET($H$3,0,0,'Données projet'!$E$9+1,1))</f>
        <v>428.8489304403459</v>
      </c>
      <c r="T76" s="60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5.6</v>
      </c>
      <c r="AI76" s="14">
        <f>IF('Données projet'!$A$62&gt;35,AI75+AH76-AQ75,IF(A76&lt;'Données projet'!$A$62,$AF$205^A76,IF(A76='Données projet'!$A$62,'Données projet'!$B$62,AI75+AH76-AQ75)))</f>
        <v>258.80000000000018</v>
      </c>
      <c r="AJ76" s="14">
        <f>AI76*VLOOKUP('Données projet'!$B$10,Paramètres!$A$1:$I$89,3,0)*VLOOKUP('Données projet'!$B$10,Paramètres!$A$1:$I$89,5,0)</f>
        <v>205.90128000000013</v>
      </c>
      <c r="AK76" s="14">
        <f t="shared" si="89"/>
        <v>51.038887365811256</v>
      </c>
      <c r="AL76" s="22">
        <f t="shared" si="58"/>
        <v>447.50412482878806</v>
      </c>
      <c r="AM76" s="60">
        <f t="shared" si="59"/>
        <v>740.83745816212138</v>
      </c>
      <c r="AN76" s="60">
        <f ca="1">AVERAGE(OFFSET($AM$3,0,0,'Données projet'!$E$10+1,1))-AVERAGE(OFFSET($H$3,0,0,'Données projet'!$E$10+1,1))</f>
        <v>299.28262372717484</v>
      </c>
      <c r="AO76" s="60">
        <f t="shared" si="90"/>
        <v>294.28794439094889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5.6</v>
      </c>
      <c r="BD76" s="13">
        <f>IF('Données projet'!$A$88&gt;35,BD75+BC76-BL75,IF(A76&lt;'Données projet'!$A$88,$BA$205^A76,IF(A76='Données projet'!$A$88,'Données projet'!$B$88,BD75+BC76-BL75)))</f>
        <v>258.80000000000018</v>
      </c>
      <c r="BE76" s="14">
        <f>BD76*VLOOKUP('Données projet'!$B$11,Paramètres!$A$1:$I$89,3,0)*VLOOKUP('Données projet'!$B$11,Paramètres!$A$1:$I$89,5,0)</f>
        <v>189.75216000000015</v>
      </c>
      <c r="BF76" s="14">
        <f t="shared" si="91"/>
        <v>47.485154784287168</v>
      </c>
      <c r="BG76" s="22">
        <f t="shared" si="61"/>
        <v>413.18832324930037</v>
      </c>
      <c r="BH76" s="60">
        <f t="shared" si="62"/>
        <v>706.52165658263368</v>
      </c>
      <c r="BI76" s="60">
        <f ca="1">AVERAGE(OFFSET($BH$3,0,0,'Données projet'!$E$11+1,1))-AVERAGE(OFFSET($H$3,0,0,'Données projet'!$E$11+1,1))</f>
        <v>278.61904724595763</v>
      </c>
      <c r="BJ76" s="60">
        <f t="shared" si="92"/>
        <v>274.55710362891892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0">
        <f t="shared" si="65"/>
        <v>293.33333333333582</v>
      </c>
      <c r="CD76" s="60">
        <f ca="1">AVERAGE(OFFSET($CC$3,0,0,'Données projet'!$E$12+1,1))-AVERAGE(OFFSET($H$3,0,0,'Données projet'!$E$12+1,1))</f>
        <v>292.57482726862594</v>
      </c>
      <c r="CE76" s="60">
        <f t="shared" si="94"/>
        <v>283.48738729114024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9.8717948717948705</v>
      </c>
      <c r="CT76" s="13">
        <f>IF('Données projet'!$A$140&gt;35,CT75+CS76-DB75,IF(A76&lt;'Données projet'!$A$140,$CQ$205^A76,IF(A76='Données projet'!$A$140,'Données projet'!$B$140,CT75+CS76-DB75)))</f>
        <v>341.02564102564088</v>
      </c>
      <c r="CU76" s="18">
        <f>CT76*VLOOKUP('Données projet'!$B$13,Paramètres!$A$1:$I$89,3,0)*VLOOKUP('Données projet'!$B$13,Paramètres!$A$1:$I$89,5,0)</f>
        <v>159.59999999999994</v>
      </c>
      <c r="CV76" s="14">
        <f t="shared" si="95"/>
        <v>40.752281150761135</v>
      </c>
      <c r="CW76" s="22">
        <f t="shared" si="67"/>
        <v>348.94688967090889</v>
      </c>
      <c r="CX76" s="60">
        <f t="shared" si="68"/>
        <v>642.2802230042422</v>
      </c>
      <c r="CY76" s="60">
        <f ca="1">AVERAGE(OFFSET($CX$3,0,0,'Données projet'!$E$13+1,1))-AVERAGE(OFFSET($H$3,0,0,'Données projet'!$E$13+1,1))</f>
        <v>246.64907095367749</v>
      </c>
      <c r="CZ76" s="60">
        <f t="shared" si="96"/>
        <v>145.34368562171613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-1.1368683772161603E-13</v>
      </c>
      <c r="DP76" s="18">
        <f>DO76*VLOOKUP('Données projet'!$B$14,Paramètres!$A$1:$I$89,3,0)*VLOOKUP('Données projet'!$B$14,Paramètres!$A$1:$I$89,5,0)</f>
        <v>-9.2222762759774927E-14</v>
      </c>
      <c r="DQ76" s="14" t="e">
        <f t="shared" si="97"/>
        <v>#NUM!</v>
      </c>
      <c r="DR76" s="22" t="e">
        <f t="shared" si="70"/>
        <v>#NUM!</v>
      </c>
      <c r="DS76" s="60" t="e">
        <f t="shared" si="71"/>
        <v>#NUM!</v>
      </c>
      <c r="DT76" s="60">
        <f ca="1">AVERAGE(OFFSET($DS$3,0,0,'Données projet'!$E$14+1,1))-AVERAGE(OFFSET($H$3,0,0,'Données projet'!$E$14+1,1))</f>
        <v>256.19915261735281</v>
      </c>
      <c r="DU76" s="60">
        <f t="shared" si="98"/>
        <v>297.47246687305056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775.83768133226158</v>
      </c>
      <c r="S77" s="60">
        <f ca="1">AVERAGE(OFFSET($R$3,0,0,'Données projet'!$E$9+1,1))-AVERAGE(OFFSET($H$3,0,0,'Données projet'!$E$9+1,1))</f>
        <v>428.8489304403459</v>
      </c>
      <c r="T77" s="60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5.6</v>
      </c>
      <c r="AI77" s="14">
        <f>IF('Données projet'!$A$62&gt;35,AI76+AH77-AQ76,IF(A77&lt;'Données projet'!$A$62,$AF$205^A77,IF(A77='Données projet'!$A$62,'Données projet'!$B$62,AI76+AH77-AQ76)))</f>
        <v>264.4000000000002</v>
      </c>
      <c r="AJ77" s="14">
        <f>AI77*VLOOKUP('Données projet'!$B$10,Paramètres!$A$1:$I$89,3,0)*VLOOKUP('Données projet'!$B$10,Paramètres!$A$1:$I$89,5,0)</f>
        <v>210.35664000000017</v>
      </c>
      <c r="AK77" s="14">
        <f t="shared" si="89"/>
        <v>52.013512813001839</v>
      </c>
      <c r="AL77" s="22">
        <f t="shared" si="58"/>
        <v>456.96134948264512</v>
      </c>
      <c r="AM77" s="60">
        <f t="shared" si="59"/>
        <v>750.29468281597838</v>
      </c>
      <c r="AN77" s="60">
        <f ca="1">AVERAGE(OFFSET($AM$3,0,0,'Données projet'!$E$10+1,1))-AVERAGE(OFFSET($H$3,0,0,'Données projet'!$E$10+1,1))</f>
        <v>299.28262372717484</v>
      </c>
      <c r="AO77" s="60">
        <f t="shared" si="90"/>
        <v>294.28794439094889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5.6</v>
      </c>
      <c r="BD77" s="13">
        <f>IF('Données projet'!$A$88&gt;35,BD76+BC77-BL76,IF(A77&lt;'Données projet'!$A$88,$BA$205^A77,IF(A77='Données projet'!$A$88,'Données projet'!$B$88,BD76+BC77-BL76)))</f>
        <v>264.4000000000002</v>
      </c>
      <c r="BE77" s="14">
        <f>BD77*VLOOKUP('Données projet'!$B$11,Paramètres!$A$1:$I$89,3,0)*VLOOKUP('Données projet'!$B$11,Paramètres!$A$1:$I$89,5,0)</f>
        <v>193.85808000000014</v>
      </c>
      <c r="BF77" s="14">
        <f t="shared" si="91"/>
        <v>48.39191906942613</v>
      </c>
      <c r="BG77" s="22">
        <f t="shared" si="61"/>
        <v>421.91874837925076</v>
      </c>
      <c r="BH77" s="60">
        <f t="shared" si="62"/>
        <v>715.25208171258407</v>
      </c>
      <c r="BI77" s="60">
        <f ca="1">AVERAGE(OFFSET($BH$3,0,0,'Données projet'!$E$11+1,1))-AVERAGE(OFFSET($H$3,0,0,'Données projet'!$E$11+1,1))</f>
        <v>278.61904724595763</v>
      </c>
      <c r="BJ77" s="60">
        <f t="shared" si="92"/>
        <v>274.55710362891892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0">
        <f t="shared" si="65"/>
        <v>293.33333333333582</v>
      </c>
      <c r="CD77" s="60">
        <f ca="1">AVERAGE(OFFSET($CC$3,0,0,'Données projet'!$E$12+1,1))-AVERAGE(OFFSET($H$3,0,0,'Données projet'!$E$12+1,1))</f>
        <v>292.57482726862594</v>
      </c>
      <c r="CE77" s="60">
        <f t="shared" si="94"/>
        <v>283.48738729114024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9.8717948717948705</v>
      </c>
      <c r="CT77" s="13">
        <f>IF('Données projet'!$A$140&gt;35,CT76+CS77-DB76,IF(A77&lt;'Données projet'!$A$140,$CQ$205^A77,IF(A77='Données projet'!$A$140,'Données projet'!$B$140,CT76+CS77-DB76)))</f>
        <v>350.89743589743574</v>
      </c>
      <c r="CU77" s="18">
        <f>CT77*VLOOKUP('Données projet'!$B$13,Paramètres!$A$1:$I$89,3,0)*VLOOKUP('Données projet'!$B$13,Paramètres!$A$1:$I$89,5,0)</f>
        <v>164.21999999999994</v>
      </c>
      <c r="CV77" s="14">
        <f t="shared" si="95"/>
        <v>41.792901242713462</v>
      </c>
      <c r="CW77" s="22">
        <f t="shared" si="67"/>
        <v>358.80580299772583</v>
      </c>
      <c r="CX77" s="60">
        <f t="shared" si="68"/>
        <v>652.13913633105915</v>
      </c>
      <c r="CY77" s="60">
        <f ca="1">AVERAGE(OFFSET($CX$3,0,0,'Données projet'!$E$13+1,1))-AVERAGE(OFFSET($H$3,0,0,'Données projet'!$E$13+1,1))</f>
        <v>246.64907095367749</v>
      </c>
      <c r="CZ77" s="60">
        <f t="shared" si="96"/>
        <v>145.34368562171613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-1.1368683772161603E-13</v>
      </c>
      <c r="DP77" s="18">
        <f>DO77*VLOOKUP('Données projet'!$B$14,Paramètres!$A$1:$I$89,3,0)*VLOOKUP('Données projet'!$B$14,Paramètres!$A$1:$I$89,5,0)</f>
        <v>-9.2222762759774927E-14</v>
      </c>
      <c r="DQ77" s="14" t="e">
        <f t="shared" si="97"/>
        <v>#NUM!</v>
      </c>
      <c r="DR77" s="22" t="e">
        <f t="shared" si="70"/>
        <v>#NUM!</v>
      </c>
      <c r="DS77" s="60" t="e">
        <f t="shared" si="71"/>
        <v>#NUM!</v>
      </c>
      <c r="DT77" s="60">
        <f ca="1">AVERAGE(OFFSET($DS$3,0,0,'Données projet'!$E$14+1,1))-AVERAGE(OFFSET($H$3,0,0,'Données projet'!$E$14+1,1))</f>
        <v>256.19915261735281</v>
      </c>
      <c r="DU77" s="60">
        <f t="shared" si="98"/>
        <v>297.47246687305056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787.72578207012918</v>
      </c>
      <c r="S78" s="60">
        <f ca="1">AVERAGE(OFFSET($R$3,0,0,'Données projet'!$E$9+1,1))-AVERAGE(OFFSET($H$3,0,0,'Données projet'!$E$9+1,1))</f>
        <v>428.8489304403459</v>
      </c>
      <c r="T78" s="60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270</v>
      </c>
      <c r="AG78" s="13">
        <f>VLOOKUP(A78,'Données projet'!$A$61:$I$81,9,0)</f>
        <v>5.6</v>
      </c>
      <c r="AH78" s="13">
        <f t="array" ref="AH78">INDEX(AG:AG,MIN(IF(ISNUMBER(AG78:AG274),ROW(AG78:AG274),"")))</f>
        <v>5.6</v>
      </c>
      <c r="AI78" s="14">
        <f>IF('Données projet'!$A$62&gt;35,AI77+AH78-AQ77,IF(A78&lt;'Données projet'!$A$62,$AF$205^A78,IF(A78='Données projet'!$A$62,'Données projet'!$B$62,AI77+AH78-AQ77)))</f>
        <v>270.00000000000023</v>
      </c>
      <c r="AJ78" s="14">
        <f>AI78*VLOOKUP('Données projet'!$B$10,Paramètres!$A$1:$I$89,3,0)*VLOOKUP('Données projet'!$B$10,Paramètres!$A$1:$I$89,5,0)</f>
        <v>214.81200000000021</v>
      </c>
      <c r="AK78" s="14">
        <f t="shared" si="89"/>
        <v>52.985738231738104</v>
      </c>
      <c r="AL78" s="22">
        <f t="shared" si="58"/>
        <v>466.41439408694424</v>
      </c>
      <c r="AM78" s="60">
        <f t="shared" si="59"/>
        <v>759.74772742027756</v>
      </c>
      <c r="AN78" s="60">
        <f ca="1">AVERAGE(OFFSET($AM$3,0,0,'Données projet'!$E$10+1,1))-AVERAGE(OFFSET($H$3,0,0,'Données projet'!$E$10+1,1))</f>
        <v>299.28262372717484</v>
      </c>
      <c r="AO78" s="60">
        <f t="shared" si="90"/>
        <v>294.28794439094889</v>
      </c>
      <c r="AP78" s="16">
        <f>IF(ISNA(VLOOKUP(A78,'Données projet'!$A$61:$I$81,3,0)),0,VLOOKUP(A78,'Données projet'!$A$61:$I$81,3,0))</f>
        <v>7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5.6</v>
      </c>
      <c r="BC78" s="13">
        <f t="array" ref="BC78">INDEX(BB:BB,MIN(IF(ISNUMBER(BB78:BB274),ROW(BB78:BB274),"")))</f>
        <v>5.6</v>
      </c>
      <c r="BD78" s="13">
        <f>IF('Données projet'!$A$88&gt;35,BD77+BC78-BL77,IF(A78&lt;'Données projet'!$A$88,$BA$205^A78,IF(A78='Données projet'!$A$88,'Données projet'!$B$88,BD77+BC78-BL77)))</f>
        <v>270.00000000000023</v>
      </c>
      <c r="BE78" s="14">
        <f>BD78*VLOOKUP('Données projet'!$B$11,Paramètres!$A$1:$I$89,3,0)*VLOOKUP('Données projet'!$B$11,Paramètres!$A$1:$I$89,5,0)</f>
        <v>197.96400000000017</v>
      </c>
      <c r="BF78" s="14">
        <f t="shared" si="91"/>
        <v>49.296450435147804</v>
      </c>
      <c r="BG78" s="22">
        <f t="shared" si="61"/>
        <v>430.64528450788265</v>
      </c>
      <c r="BH78" s="60">
        <f t="shared" si="62"/>
        <v>723.97861784121596</v>
      </c>
      <c r="BI78" s="60">
        <f ca="1">AVERAGE(OFFSET($BH$3,0,0,'Données projet'!$E$11+1,1))-AVERAGE(OFFSET($H$3,0,0,'Données projet'!$E$11+1,1))</f>
        <v>278.61904724595763</v>
      </c>
      <c r="BJ78" s="60">
        <f t="shared" si="92"/>
        <v>274.55710362891892</v>
      </c>
      <c r="BK78" s="16">
        <f>IF(ISNA(VLOOKUP(A78,'Données projet'!$A$87:$I$107,3,0)),0,VLOOKUP(A78,'Données projet'!$A$87:$I$107,3,0))</f>
        <v>7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0">
        <f t="shared" si="65"/>
        <v>293.33333333333582</v>
      </c>
      <c r="CD78" s="60">
        <f ca="1">AVERAGE(OFFSET($CC$3,0,0,'Données projet'!$E$12+1,1))-AVERAGE(OFFSET($H$3,0,0,'Données projet'!$E$12+1,1))</f>
        <v>292.57482726862594</v>
      </c>
      <c r="CE78" s="60">
        <f t="shared" si="94"/>
        <v>283.48738729114024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360.76923076923077</v>
      </c>
      <c r="CR78" s="13">
        <f>VLOOKUP(A78,'Données projet'!$A$139:$I$159,9,0)</f>
        <v>9.8717948717948705</v>
      </c>
      <c r="CS78" s="13">
        <f t="array" ref="CS78">INDEX(CR:CR,MIN(IF(ISNUMBER(CR78:CR274),ROW(CR78:CR274),"")))</f>
        <v>9.8717948717948705</v>
      </c>
      <c r="CT78" s="13">
        <f>IF('Données projet'!$A$140&gt;35,CT77+CS78-DB77,IF(A78&lt;'Données projet'!$A$140,$CQ$205^A78,IF(A78='Données projet'!$A$140,'Données projet'!$B$140,CT77+CS78-DB77)))</f>
        <v>360.7692307692306</v>
      </c>
      <c r="CU78" s="18">
        <f>CT78*VLOOKUP('Données projet'!$B$13,Paramètres!$A$1:$I$89,3,0)*VLOOKUP('Données projet'!$B$13,Paramètres!$A$1:$I$89,5,0)</f>
        <v>168.83999999999995</v>
      </c>
      <c r="CV78" s="14">
        <f t="shared" si="95"/>
        <v>42.830118735743163</v>
      </c>
      <c r="CW78" s="22">
        <f t="shared" si="67"/>
        <v>368.65879013141921</v>
      </c>
      <c r="CX78" s="60">
        <f t="shared" si="68"/>
        <v>661.99212346475247</v>
      </c>
      <c r="CY78" s="60">
        <f ca="1">AVERAGE(OFFSET($CX$3,0,0,'Données projet'!$E$13+1,1))-AVERAGE(OFFSET($H$3,0,0,'Données projet'!$E$13+1,1))</f>
        <v>246.64907095367749</v>
      </c>
      <c r="CZ78" s="60">
        <f t="shared" si="96"/>
        <v>145.34368562171613</v>
      </c>
      <c r="DA78" s="16">
        <f>IF(ISNA(VLOOKUP(A78,'Données projet'!$A$139:$I$159,3,0)),0,VLOOKUP(A78,'Données projet'!$A$139:$I$159,3,0))</f>
        <v>3</v>
      </c>
      <c r="DB78" s="16">
        <f>IF(ISNA(VLOOKUP(A78,'Données projet'!$A$139:$I$159,4,0)),0,VLOOKUP(A78,'Données projet'!$A$139:$I$159,4,0))</f>
        <v>85.384615384615415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-1.1368683772161603E-13</v>
      </c>
      <c r="DP78" s="18">
        <f>DO78*VLOOKUP('Données projet'!$B$14,Paramètres!$A$1:$I$89,3,0)*VLOOKUP('Données projet'!$B$14,Paramètres!$A$1:$I$89,5,0)</f>
        <v>-9.2222762759774927E-14</v>
      </c>
      <c r="DQ78" s="14" t="e">
        <f t="shared" si="97"/>
        <v>#NUM!</v>
      </c>
      <c r="DR78" s="22" t="e">
        <f t="shared" si="70"/>
        <v>#NUM!</v>
      </c>
      <c r="DS78" s="60" t="e">
        <f t="shared" si="71"/>
        <v>#NUM!</v>
      </c>
      <c r="DT78" s="60">
        <f ca="1">AVERAGE(OFFSET($DS$3,0,0,'Données projet'!$E$14+1,1))-AVERAGE(OFFSET($H$3,0,0,'Données projet'!$E$14+1,1))</f>
        <v>256.19915261735281</v>
      </c>
      <c r="DU78" s="60">
        <f t="shared" si="98"/>
        <v>297.47246687305056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799.22462707153909</v>
      </c>
      <c r="S79" s="60">
        <f ca="1">AVERAGE(OFFSET($R$3,0,0,'Données projet'!$E$9+1,1))-AVERAGE(OFFSET($H$3,0,0,'Données projet'!$E$9+1,1))</f>
        <v>428.8489304403459</v>
      </c>
      <c r="T79" s="60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264.00000000000023</v>
      </c>
      <c r="AJ79" s="14">
        <f>AI79*VLOOKUP('Données projet'!$B$10,Paramètres!$A$1:$I$89,3,0)*VLOOKUP('Données projet'!$B$10,Paramètres!$A$1:$I$89,5,0)</f>
        <v>210.03840000000019</v>
      </c>
      <c r="AK79" s="14">
        <f t="shared" si="89"/>
        <v>51.943976975133673</v>
      </c>
      <c r="AL79" s="22">
        <f t="shared" si="58"/>
        <v>456.28597323169151</v>
      </c>
      <c r="AM79" s="60">
        <f t="shared" si="59"/>
        <v>749.61930656502477</v>
      </c>
      <c r="AN79" s="60">
        <f ca="1">AVERAGE(OFFSET($AM$3,0,0,'Données projet'!$E$10+1,1))-AVERAGE(OFFSET($H$3,0,0,'Données projet'!$E$10+1,1))</f>
        <v>299.28262372717484</v>
      </c>
      <c r="AO79" s="60">
        <f t="shared" si="90"/>
        <v>294.28794439094889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264.00000000000023</v>
      </c>
      <c r="BE79" s="14">
        <f>BD79*VLOOKUP('Données projet'!$B$11,Paramètres!$A$1:$I$89,3,0)*VLOOKUP('Données projet'!$B$11,Paramètres!$A$1:$I$89,5,0)</f>
        <v>193.56480000000016</v>
      </c>
      <c r="BF79" s="14">
        <f t="shared" si="91"/>
        <v>48.327224868697201</v>
      </c>
      <c r="BG79" s="22">
        <f t="shared" si="61"/>
        <v>421.29527664631456</v>
      </c>
      <c r="BH79" s="60">
        <f t="shared" si="62"/>
        <v>714.62860997964788</v>
      </c>
      <c r="BI79" s="60">
        <f ca="1">AVERAGE(OFFSET($BH$3,0,0,'Données projet'!$E$11+1,1))-AVERAGE(OFFSET($H$3,0,0,'Données projet'!$E$11+1,1))</f>
        <v>278.61904724595763</v>
      </c>
      <c r="BJ79" s="60">
        <f t="shared" si="92"/>
        <v>274.55710362891892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0">
        <f t="shared" si="65"/>
        <v>293.33333333333582</v>
      </c>
      <c r="CD79" s="60">
        <f ca="1">AVERAGE(OFFSET($CC$3,0,0,'Données projet'!$E$12+1,1))-AVERAGE(OFFSET($H$3,0,0,'Données projet'!$E$12+1,1))</f>
        <v>292.57482726862594</v>
      </c>
      <c r="CE79" s="60">
        <f t="shared" si="94"/>
        <v>283.48738729114024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8.9743589743589727</v>
      </c>
      <c r="CT79" s="13">
        <f>IF('Données projet'!$A$140&gt;35,CT78+CS79-DB78,IF(A79&lt;'Données projet'!$A$140,$CQ$205^A79,IF(A79='Données projet'!$A$140,'Données projet'!$B$140,CT78+CS79-DB78)))</f>
        <v>284.35897435897414</v>
      </c>
      <c r="CU79" s="18">
        <f>CT79*VLOOKUP('Données projet'!$B$13,Paramètres!$A$1:$I$89,3,0)*VLOOKUP('Données projet'!$B$13,Paramètres!$A$1:$I$89,5,0)</f>
        <v>133.0799999999999</v>
      </c>
      <c r="CV79" s="14">
        <f t="shared" si="95"/>
        <v>34.707084092439132</v>
      </c>
      <c r="CW79" s="22">
        <f t="shared" si="67"/>
        <v>292.22917146099797</v>
      </c>
      <c r="CX79" s="60">
        <f t="shared" si="68"/>
        <v>585.56250479433129</v>
      </c>
      <c r="CY79" s="60">
        <f ca="1">AVERAGE(OFFSET($CX$3,0,0,'Données projet'!$E$13+1,1))-AVERAGE(OFFSET($H$3,0,0,'Données projet'!$E$13+1,1))</f>
        <v>246.64907095367749</v>
      </c>
      <c r="CZ79" s="60">
        <f t="shared" si="96"/>
        <v>145.34368562171613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-1.1368683772161603E-13</v>
      </c>
      <c r="DP79" s="18">
        <f>DO79*VLOOKUP('Données projet'!$B$14,Paramètres!$A$1:$I$89,3,0)*VLOOKUP('Données projet'!$B$14,Paramètres!$A$1:$I$89,5,0)</f>
        <v>-9.2222762759774927E-14</v>
      </c>
      <c r="DQ79" s="14" t="e">
        <f t="shared" si="97"/>
        <v>#NUM!</v>
      </c>
      <c r="DR79" s="22" t="e">
        <f t="shared" si="70"/>
        <v>#NUM!</v>
      </c>
      <c r="DS79" s="60" t="e">
        <f t="shared" si="71"/>
        <v>#NUM!</v>
      </c>
      <c r="DT79" s="60">
        <f ca="1">AVERAGE(OFFSET($DS$3,0,0,'Données projet'!$E$14+1,1))-AVERAGE(OFFSET($H$3,0,0,'Données projet'!$E$14+1,1))</f>
        <v>256.19915261735281</v>
      </c>
      <c r="DU79" s="60">
        <f t="shared" si="98"/>
        <v>297.47246687305056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810.71794681982283</v>
      </c>
      <c r="S80" s="60">
        <f ca="1">AVERAGE(OFFSET($R$3,0,0,'Données projet'!$E$9+1,1))-AVERAGE(OFFSET($H$3,0,0,'Données projet'!$E$9+1,1))</f>
        <v>428.8489304403459</v>
      </c>
      <c r="T80" s="60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267.00000000000023</v>
      </c>
      <c r="AJ80" s="14">
        <f>AI80*VLOOKUP('Données projet'!$B$10,Paramètres!$A$1:$I$89,3,0)*VLOOKUP('Données projet'!$B$10,Paramètres!$A$1:$I$89,5,0)</f>
        <v>212.42520000000022</v>
      </c>
      <c r="AK80" s="14">
        <f t="shared" si="89"/>
        <v>52.465198231787234</v>
      </c>
      <c r="AL80" s="22">
        <f t="shared" si="58"/>
        <v>461.35077692036316</v>
      </c>
      <c r="AM80" s="60">
        <f t="shared" si="59"/>
        <v>754.68411025369642</v>
      </c>
      <c r="AN80" s="60">
        <f ca="1">AVERAGE(OFFSET($AM$3,0,0,'Données projet'!$E$10+1,1))-AVERAGE(OFFSET($H$3,0,0,'Données projet'!$E$10+1,1))</f>
        <v>299.28262372717484</v>
      </c>
      <c r="AO80" s="60">
        <f t="shared" si="90"/>
        <v>294.28794439094889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267.00000000000023</v>
      </c>
      <c r="BE80" s="14">
        <f>BD80*VLOOKUP('Données projet'!$B$11,Paramètres!$A$1:$I$89,3,0)*VLOOKUP('Données projet'!$B$11,Paramètres!$A$1:$I$89,5,0)</f>
        <v>195.76440000000017</v>
      </c>
      <c r="BF80" s="14">
        <f t="shared" si="91"/>
        <v>48.812154563023498</v>
      </c>
      <c r="BG80" s="22">
        <f t="shared" si="61"/>
        <v>425.97083253059947</v>
      </c>
      <c r="BH80" s="60">
        <f t="shared" si="62"/>
        <v>719.30416586393278</v>
      </c>
      <c r="BI80" s="60">
        <f ca="1">AVERAGE(OFFSET($BH$3,0,0,'Données projet'!$E$11+1,1))-AVERAGE(OFFSET($H$3,0,0,'Données projet'!$E$11+1,1))</f>
        <v>278.61904724595763</v>
      </c>
      <c r="BJ80" s="60">
        <f t="shared" si="92"/>
        <v>274.55710362891892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0">
        <f t="shared" si="65"/>
        <v>293.33333333333582</v>
      </c>
      <c r="CD80" s="60">
        <f ca="1">AVERAGE(OFFSET($CC$3,0,0,'Données projet'!$E$12+1,1))-AVERAGE(OFFSET($H$3,0,0,'Données projet'!$E$12+1,1))</f>
        <v>292.57482726862594</v>
      </c>
      <c r="CE80" s="60">
        <f t="shared" si="94"/>
        <v>283.48738729114024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8.9743589743589727</v>
      </c>
      <c r="CT80" s="13">
        <f>IF('Données projet'!$A$140&gt;35,CT79+CS80-DB79,IF(A80&lt;'Données projet'!$A$140,$CQ$205^A80,IF(A80='Données projet'!$A$140,'Données projet'!$B$140,CT79+CS80-DB79)))</f>
        <v>293.33333333333309</v>
      </c>
      <c r="CU80" s="18">
        <f>CT80*VLOOKUP('Données projet'!$B$13,Paramètres!$A$1:$I$89,3,0)*VLOOKUP('Données projet'!$B$13,Paramètres!$A$1:$I$89,5,0)</f>
        <v>137.27999999999989</v>
      </c>
      <c r="CV80" s="14">
        <f t="shared" si="95"/>
        <v>35.673181961873411</v>
      </c>
      <c r="CW80" s="22">
        <f t="shared" si="67"/>
        <v>301.22679191692936</v>
      </c>
      <c r="CX80" s="60">
        <f t="shared" si="68"/>
        <v>594.56012525026267</v>
      </c>
      <c r="CY80" s="60">
        <f ca="1">AVERAGE(OFFSET($CX$3,0,0,'Données projet'!$E$13+1,1))-AVERAGE(OFFSET($H$3,0,0,'Données projet'!$E$13+1,1))</f>
        <v>246.64907095367749</v>
      </c>
      <c r="CZ80" s="60">
        <f t="shared" si="96"/>
        <v>145.34368562171613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-1.1368683772161603E-13</v>
      </c>
      <c r="DP80" s="18">
        <f>DO80*VLOOKUP('Données projet'!$B$14,Paramètres!$A$1:$I$89,3,0)*VLOOKUP('Données projet'!$B$14,Paramètres!$A$1:$I$89,5,0)</f>
        <v>-9.2222762759774927E-14</v>
      </c>
      <c r="DQ80" s="14" t="e">
        <f t="shared" si="97"/>
        <v>#NUM!</v>
      </c>
      <c r="DR80" s="22" t="e">
        <f t="shared" si="70"/>
        <v>#NUM!</v>
      </c>
      <c r="DS80" s="60" t="e">
        <f t="shared" si="71"/>
        <v>#NUM!</v>
      </c>
      <c r="DT80" s="60">
        <f ca="1">AVERAGE(OFFSET($DS$3,0,0,'Données projet'!$E$14+1,1))-AVERAGE(OFFSET($H$3,0,0,'Données projet'!$E$14+1,1))</f>
        <v>256.19915261735281</v>
      </c>
      <c r="DU80" s="60">
        <f t="shared" si="98"/>
        <v>297.47246687305056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822.20588134481159</v>
      </c>
      <c r="S81" s="60">
        <f ca="1">AVERAGE(OFFSET($R$3,0,0,'Données projet'!$E$9+1,1))-AVERAGE(OFFSET($H$3,0,0,'Données projet'!$E$9+1,1))</f>
        <v>428.8489304403459</v>
      </c>
      <c r="T81" s="60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270.00000000000023</v>
      </c>
      <c r="AJ81" s="14">
        <f>AI81*VLOOKUP('Données projet'!$B$10,Paramètres!$A$1:$I$89,3,0)*VLOOKUP('Données projet'!$B$10,Paramètres!$A$1:$I$89,5,0)</f>
        <v>214.81200000000021</v>
      </c>
      <c r="AK81" s="14">
        <f t="shared" si="89"/>
        <v>52.985738231738104</v>
      </c>
      <c r="AL81" s="22">
        <f t="shared" si="58"/>
        <v>466.41439408694424</v>
      </c>
      <c r="AM81" s="60">
        <f t="shared" si="59"/>
        <v>759.74772742027756</v>
      </c>
      <c r="AN81" s="60">
        <f ca="1">AVERAGE(OFFSET($AM$3,0,0,'Données projet'!$E$10+1,1))-AVERAGE(OFFSET($H$3,0,0,'Données projet'!$E$10+1,1))</f>
        <v>299.28262372717484</v>
      </c>
      <c r="AO81" s="60">
        <f t="shared" si="90"/>
        <v>294.28794439094889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270.00000000000023</v>
      </c>
      <c r="BE81" s="14">
        <f>BD81*VLOOKUP('Données projet'!$B$11,Paramètres!$A$1:$I$89,3,0)*VLOOKUP('Données projet'!$B$11,Paramètres!$A$1:$I$89,5,0)</f>
        <v>197.96400000000017</v>
      </c>
      <c r="BF81" s="14">
        <f t="shared" si="91"/>
        <v>49.296450435147804</v>
      </c>
      <c r="BG81" s="22">
        <f t="shared" si="61"/>
        <v>430.64528450788265</v>
      </c>
      <c r="BH81" s="60">
        <f t="shared" si="62"/>
        <v>723.97861784121596</v>
      </c>
      <c r="BI81" s="60">
        <f ca="1">AVERAGE(OFFSET($BH$3,0,0,'Données projet'!$E$11+1,1))-AVERAGE(OFFSET($H$3,0,0,'Données projet'!$E$11+1,1))</f>
        <v>278.61904724595763</v>
      </c>
      <c r="BJ81" s="60">
        <f t="shared" si="92"/>
        <v>274.55710362891892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0">
        <f t="shared" si="65"/>
        <v>293.33333333333582</v>
      </c>
      <c r="CD81" s="60">
        <f ca="1">AVERAGE(OFFSET($CC$3,0,0,'Données projet'!$E$12+1,1))-AVERAGE(OFFSET($H$3,0,0,'Données projet'!$E$12+1,1))</f>
        <v>292.57482726862594</v>
      </c>
      <c r="CE81" s="60">
        <f t="shared" si="94"/>
        <v>283.48738729114024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8.9743589743589727</v>
      </c>
      <c r="CT81" s="13">
        <f>IF('Données projet'!$A$140&gt;35,CT80+CS81-DB80,IF(A81&lt;'Données projet'!$A$140,$CQ$205^A81,IF(A81='Données projet'!$A$140,'Données projet'!$B$140,CT80+CS81-DB80)))</f>
        <v>302.30769230769204</v>
      </c>
      <c r="CU81" s="18">
        <f>CT81*VLOOKUP('Données projet'!$B$13,Paramètres!$A$1:$I$89,3,0)*VLOOKUP('Données projet'!$B$13,Paramètres!$A$1:$I$89,5,0)</f>
        <v>141.47999999999988</v>
      </c>
      <c r="CV81" s="14">
        <f t="shared" si="95"/>
        <v>36.635844927016009</v>
      </c>
      <c r="CW81" s="22">
        <f t="shared" si="67"/>
        <v>310.21842991455259</v>
      </c>
      <c r="CX81" s="60">
        <f t="shared" si="68"/>
        <v>603.5517632478859</v>
      </c>
      <c r="CY81" s="60">
        <f ca="1">AVERAGE(OFFSET($CX$3,0,0,'Données projet'!$E$13+1,1))-AVERAGE(OFFSET($H$3,0,0,'Données projet'!$E$13+1,1))</f>
        <v>246.64907095367749</v>
      </c>
      <c r="CZ81" s="60">
        <f t="shared" si="96"/>
        <v>145.34368562171613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-1.1368683772161603E-13</v>
      </c>
      <c r="DP81" s="18">
        <f>DO81*VLOOKUP('Données projet'!$B$14,Paramètres!$A$1:$I$89,3,0)*VLOOKUP('Données projet'!$B$14,Paramètres!$A$1:$I$89,5,0)</f>
        <v>-9.2222762759774927E-14</v>
      </c>
      <c r="DQ81" s="14" t="e">
        <f t="shared" si="97"/>
        <v>#NUM!</v>
      </c>
      <c r="DR81" s="22" t="e">
        <f t="shared" si="70"/>
        <v>#NUM!</v>
      </c>
      <c r="DS81" s="60" t="e">
        <f t="shared" si="71"/>
        <v>#NUM!</v>
      </c>
      <c r="DT81" s="60">
        <f ca="1">AVERAGE(OFFSET($DS$3,0,0,'Données projet'!$E$14+1,1))-AVERAGE(OFFSET($H$3,0,0,'Données projet'!$E$14+1,1))</f>
        <v>256.19915261735281</v>
      </c>
      <c r="DU81" s="60">
        <f t="shared" si="98"/>
        <v>297.47246687305056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833.68856409746058</v>
      </c>
      <c r="S82" s="60">
        <f ca="1">AVERAGE(OFFSET($R$3,0,0,'Données projet'!$E$9+1,1))-AVERAGE(OFFSET($H$3,0,0,'Données projet'!$E$9+1,1))</f>
        <v>428.8489304403459</v>
      </c>
      <c r="T82" s="60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273.00000000000023</v>
      </c>
      <c r="AJ82" s="14">
        <f>AI82*VLOOKUP('Données projet'!$B$10,Paramètres!$A$1:$I$89,3,0)*VLOOKUP('Données projet'!$B$10,Paramètres!$A$1:$I$89,5,0)</f>
        <v>217.1988000000002</v>
      </c>
      <c r="AK82" s="14">
        <f t="shared" si="89"/>
        <v>53.505605420484088</v>
      </c>
      <c r="AL82" s="22">
        <f t="shared" si="58"/>
        <v>471.47683944067677</v>
      </c>
      <c r="AM82" s="60">
        <f t="shared" si="59"/>
        <v>764.81017277401008</v>
      </c>
      <c r="AN82" s="60">
        <f ca="1">AVERAGE(OFFSET($AM$3,0,0,'Données projet'!$E$10+1,1))-AVERAGE(OFFSET($H$3,0,0,'Données projet'!$E$10+1,1))</f>
        <v>299.28262372717484</v>
      </c>
      <c r="AO82" s="60">
        <f t="shared" si="90"/>
        <v>294.28794439094889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273.00000000000023</v>
      </c>
      <c r="BE82" s="14">
        <f>BD82*VLOOKUP('Données projet'!$B$11,Paramètres!$A$1:$I$89,3,0)*VLOOKUP('Données projet'!$B$11,Paramètres!$A$1:$I$89,5,0)</f>
        <v>200.16360000000014</v>
      </c>
      <c r="BF82" s="14">
        <f t="shared" si="91"/>
        <v>49.780120342525315</v>
      </c>
      <c r="BG82" s="22">
        <f t="shared" si="61"/>
        <v>435.31864626323181</v>
      </c>
      <c r="BH82" s="60">
        <f t="shared" si="62"/>
        <v>728.65197959656507</v>
      </c>
      <c r="BI82" s="60">
        <f ca="1">AVERAGE(OFFSET($BH$3,0,0,'Données projet'!$E$11+1,1))-AVERAGE(OFFSET($H$3,0,0,'Données projet'!$E$11+1,1))</f>
        <v>278.61904724595763</v>
      </c>
      <c r="BJ82" s="60">
        <f t="shared" si="92"/>
        <v>274.55710362891892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0">
        <f t="shared" si="65"/>
        <v>293.33333333333582</v>
      </c>
      <c r="CD82" s="60">
        <f ca="1">AVERAGE(OFFSET($CC$3,0,0,'Données projet'!$E$12+1,1))-AVERAGE(OFFSET($H$3,0,0,'Données projet'!$E$12+1,1))</f>
        <v>292.57482726862594</v>
      </c>
      <c r="CE82" s="60">
        <f t="shared" si="94"/>
        <v>283.48738729114024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8.9743589743589727</v>
      </c>
      <c r="CT82" s="13">
        <f>IF('Données projet'!$A$140&gt;35,CT81+CS82-DB81,IF(A82&lt;'Données projet'!$A$140,$CQ$205^A82,IF(A82='Données projet'!$A$140,'Données projet'!$B$140,CT81+CS82-DB81)))</f>
        <v>311.28205128205099</v>
      </c>
      <c r="CU82" s="18">
        <f>CT82*VLOOKUP('Données projet'!$B$13,Paramètres!$A$1:$I$89,3,0)*VLOOKUP('Données projet'!$B$13,Paramètres!$A$1:$I$89,5,0)</f>
        <v>145.67999999999986</v>
      </c>
      <c r="CV82" s="14">
        <f t="shared" si="95"/>
        <v>37.595186663644121</v>
      </c>
      <c r="CW82" s="22">
        <f t="shared" si="67"/>
        <v>319.2042834391799</v>
      </c>
      <c r="CX82" s="60">
        <f t="shared" si="68"/>
        <v>612.53761677251327</v>
      </c>
      <c r="CY82" s="60">
        <f ca="1">AVERAGE(OFFSET($CX$3,0,0,'Données projet'!$E$13+1,1))-AVERAGE(OFFSET($H$3,0,0,'Données projet'!$E$13+1,1))</f>
        <v>246.64907095367749</v>
      </c>
      <c r="CZ82" s="60">
        <f t="shared" si="96"/>
        <v>145.34368562171613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-1.1368683772161603E-13</v>
      </c>
      <c r="DP82" s="18">
        <f>DO82*VLOOKUP('Données projet'!$B$14,Paramètres!$A$1:$I$89,3,0)*VLOOKUP('Données projet'!$B$14,Paramètres!$A$1:$I$89,5,0)</f>
        <v>-9.2222762759774927E-14</v>
      </c>
      <c r="DQ82" s="14" t="e">
        <f t="shared" si="97"/>
        <v>#NUM!</v>
      </c>
      <c r="DR82" s="22" t="e">
        <f t="shared" si="70"/>
        <v>#NUM!</v>
      </c>
      <c r="DS82" s="60" t="e">
        <f t="shared" si="71"/>
        <v>#NUM!</v>
      </c>
      <c r="DT82" s="60">
        <f ca="1">AVERAGE(OFFSET($DS$3,0,0,'Données projet'!$E$14+1,1))-AVERAGE(OFFSET($H$3,0,0,'Données projet'!$E$14+1,1))</f>
        <v>256.19915261735281</v>
      </c>
      <c r="DU82" s="60">
        <f t="shared" si="98"/>
        <v>297.47246687305056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845.16612239513029</v>
      </c>
      <c r="S83" s="60">
        <f ca="1">AVERAGE(OFFSET($R$3,0,0,'Données projet'!$E$9+1,1))-AVERAGE(OFFSET($H$3,0,0,'Données projet'!$E$9+1,1))</f>
        <v>428.8489304403459</v>
      </c>
      <c r="T83" s="60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276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276.00000000000023</v>
      </c>
      <c r="AJ83" s="14">
        <f>AI83*VLOOKUP('Données projet'!$B$10,Paramètres!$A$1:$I$89,3,0)*VLOOKUP('Données projet'!$B$10,Paramètres!$A$1:$I$89,5,0)</f>
        <v>219.58560000000017</v>
      </c>
      <c r="AK83" s="14">
        <f t="shared" si="89"/>
        <v>54.024808047218592</v>
      </c>
      <c r="AL83" s="22">
        <f t="shared" si="58"/>
        <v>476.5381273489059</v>
      </c>
      <c r="AM83" s="60">
        <f t="shared" si="59"/>
        <v>769.87146068223922</v>
      </c>
      <c r="AN83" s="60">
        <f ca="1">AVERAGE(OFFSET($AM$3,0,0,'Données projet'!$E$10+1,1))-AVERAGE(OFFSET($H$3,0,0,'Données projet'!$E$10+1,1))</f>
        <v>299.28262372717484</v>
      </c>
      <c r="AO83" s="60">
        <f t="shared" si="90"/>
        <v>294.28794439094889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276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276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276.00000000000023</v>
      </c>
      <c r="BE83" s="14">
        <f>BD83*VLOOKUP('Données projet'!$B$11,Paramètres!$A$1:$I$89,3,0)*VLOOKUP('Données projet'!$B$11,Paramètres!$A$1:$I$89,5,0)</f>
        <v>202.36320000000018</v>
      </c>
      <c r="BF83" s="14">
        <f t="shared" si="91"/>
        <v>50.263171959975224</v>
      </c>
      <c r="BG83" s="22">
        <f t="shared" si="61"/>
        <v>439.99093116362383</v>
      </c>
      <c r="BH83" s="60">
        <f t="shared" si="62"/>
        <v>733.32426449695708</v>
      </c>
      <c r="BI83" s="60">
        <f ca="1">AVERAGE(OFFSET($BH$3,0,0,'Données projet'!$E$11+1,1))-AVERAGE(OFFSET($H$3,0,0,'Données projet'!$E$11+1,1))</f>
        <v>278.61904724595763</v>
      </c>
      <c r="BJ83" s="60">
        <f t="shared" si="92"/>
        <v>274.55710362891892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276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0">
        <f t="shared" si="65"/>
        <v>293.33333333333582</v>
      </c>
      <c r="CD83" s="60">
        <f ca="1">AVERAGE(OFFSET($CC$3,0,0,'Données projet'!$E$12+1,1))-AVERAGE(OFFSET($H$3,0,0,'Données projet'!$E$12+1,1))</f>
        <v>292.57482726862594</v>
      </c>
      <c r="CE83" s="60">
        <f t="shared" si="94"/>
        <v>283.48738729114024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8.9743589743589727</v>
      </c>
      <c r="CT83" s="13">
        <f>IF('Données projet'!$A$140&gt;35,CT82+CS83-DB82,IF(A83&lt;'Données projet'!$A$140,$CQ$205^A83,IF(A83='Données projet'!$A$140,'Données projet'!$B$140,CT82+CS83-DB82)))</f>
        <v>320.25641025640994</v>
      </c>
      <c r="CU83" s="18">
        <f>CT83*VLOOKUP('Données projet'!$B$13,Paramètres!$A$1:$I$89,3,0)*VLOOKUP('Données projet'!$B$13,Paramètres!$A$1:$I$89,5,0)</f>
        <v>149.87999999999985</v>
      </c>
      <c r="CV83" s="14">
        <f t="shared" si="95"/>
        <v>38.551313920160567</v>
      </c>
      <c r="CW83" s="22">
        <f t="shared" si="67"/>
        <v>328.18453841094606</v>
      </c>
      <c r="CX83" s="60">
        <f t="shared" si="68"/>
        <v>621.51787174427932</v>
      </c>
      <c r="CY83" s="60">
        <f ca="1">AVERAGE(OFFSET($CX$3,0,0,'Données projet'!$E$13+1,1))-AVERAGE(OFFSET($H$3,0,0,'Données projet'!$E$13+1,1))</f>
        <v>246.64907095367749</v>
      </c>
      <c r="CZ83" s="60">
        <f t="shared" si="96"/>
        <v>145.34368562171613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-1.1368683772161603E-13</v>
      </c>
      <c r="DP83" s="18">
        <f>DO83*VLOOKUP('Données projet'!$B$14,Paramètres!$A$1:$I$89,3,0)*VLOOKUP('Données projet'!$B$14,Paramètres!$A$1:$I$89,5,0)</f>
        <v>-9.2222762759774927E-14</v>
      </c>
      <c r="DQ83" s="14" t="e">
        <f t="shared" si="97"/>
        <v>#NUM!</v>
      </c>
      <c r="DR83" s="22" t="e">
        <f t="shared" si="70"/>
        <v>#NUM!</v>
      </c>
      <c r="DS83" s="60" t="e">
        <f t="shared" si="71"/>
        <v>#NUM!</v>
      </c>
      <c r="DT83" s="60">
        <f ca="1">AVERAGE(OFFSET($DS$3,0,0,'Données projet'!$E$14+1,1))-AVERAGE(OFFSET($H$3,0,0,'Données projet'!$E$14+1,1))</f>
        <v>256.19915261735281</v>
      </c>
      <c r="DU83" s="60">
        <f t="shared" si="98"/>
        <v>297.47246687305056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775.45409146701161</v>
      </c>
      <c r="S84" s="60">
        <f ca="1">AVERAGE(OFFSET($R$3,0,0,'Données projet'!$E$9+1,1))-AVERAGE(OFFSET($H$3,0,0,'Données projet'!$E$9+1,1))</f>
        <v>428.8489304403459</v>
      </c>
      <c r="T84" s="60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1.8089849618263545E-13</v>
      </c>
      <c r="AK84" s="14">
        <f t="shared" si="89"/>
        <v>2.536422473342444E-12</v>
      </c>
      <c r="AL84" s="22">
        <f t="shared" si="58"/>
        <v>4.7326673552561798E-12</v>
      </c>
      <c r="AM84" s="60">
        <f t="shared" si="59"/>
        <v>293.33333333333803</v>
      </c>
      <c r="AN84" s="60">
        <f ca="1">AVERAGE(OFFSET($AM$3,0,0,'Données projet'!$E$10+1,1))-AVERAGE(OFFSET($H$3,0,0,'Données projet'!$E$10+1,1))</f>
        <v>299.28262372717484</v>
      </c>
      <c r="AO84" s="60">
        <f t="shared" si="90"/>
        <v>294.28794439094889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projet'!$B$11,Paramètres!$A$1:$I$89,3,0)*VLOOKUP('Données projet'!$B$11,Paramètres!$A$1:$I$89,5,0)</f>
        <v>1.6671037883497774E-13</v>
      </c>
      <c r="BF84" s="14">
        <f t="shared" si="91"/>
        <v>2.3598166018346595E-12</v>
      </c>
      <c r="BG84" s="22">
        <f t="shared" si="61"/>
        <v>4.400367824666284E-12</v>
      </c>
      <c r="BH84" s="60">
        <f t="shared" si="62"/>
        <v>293.33333333333769</v>
      </c>
      <c r="BI84" s="60">
        <f ca="1">AVERAGE(OFFSET($BH$3,0,0,'Données projet'!$E$11+1,1))-AVERAGE(OFFSET($H$3,0,0,'Données projet'!$E$11+1,1))</f>
        <v>278.61904724595763</v>
      </c>
      <c r="BJ84" s="60">
        <f t="shared" si="92"/>
        <v>274.55710362891892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0">
        <f t="shared" si="65"/>
        <v>293.33333333333582</v>
      </c>
      <c r="CD84" s="60">
        <f ca="1">AVERAGE(OFFSET($CC$3,0,0,'Données projet'!$E$12+1,1))-AVERAGE(OFFSET($H$3,0,0,'Données projet'!$E$12+1,1))</f>
        <v>292.57482726862594</v>
      </c>
      <c r="CE84" s="60">
        <f t="shared" si="94"/>
        <v>283.48738729114024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8.9743589743589727</v>
      </c>
      <c r="CT84" s="13">
        <f>IF('Données projet'!$A$140&gt;35,CT83+CS84-DB83,IF(A84&lt;'Données projet'!$A$140,$CQ$205^A84,IF(A84='Données projet'!$A$140,'Données projet'!$B$140,CT83+CS84-DB83)))</f>
        <v>329.23076923076889</v>
      </c>
      <c r="CU84" s="18">
        <f>CT84*VLOOKUP('Données projet'!$B$13,Paramètres!$A$1:$I$89,3,0)*VLOOKUP('Données projet'!$B$13,Paramètres!$A$1:$I$89,5,0)</f>
        <v>154.07999999999984</v>
      </c>
      <c r="CV84" s="14">
        <f t="shared" si="95"/>
        <v>39.504327121889887</v>
      </c>
      <c r="CW84" s="22">
        <f t="shared" si="67"/>
        <v>337.15936973729123</v>
      </c>
      <c r="CX84" s="60">
        <f t="shared" si="68"/>
        <v>630.49270307062454</v>
      </c>
      <c r="CY84" s="60">
        <f ca="1">AVERAGE(OFFSET($CX$3,0,0,'Données projet'!$E$13+1,1))-AVERAGE(OFFSET($H$3,0,0,'Données projet'!$E$13+1,1))</f>
        <v>246.64907095367749</v>
      </c>
      <c r="CZ84" s="60">
        <f t="shared" si="96"/>
        <v>145.34368562171613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-1.1368683772161603E-13</v>
      </c>
      <c r="DP84" s="18">
        <f>DO84*VLOOKUP('Données projet'!$B$14,Paramètres!$A$1:$I$89,3,0)*VLOOKUP('Données projet'!$B$14,Paramètres!$A$1:$I$89,5,0)</f>
        <v>-9.2222762759774927E-14</v>
      </c>
      <c r="DQ84" s="14" t="e">
        <f t="shared" si="97"/>
        <v>#NUM!</v>
      </c>
      <c r="DR84" s="22" t="e">
        <f t="shared" si="70"/>
        <v>#NUM!</v>
      </c>
      <c r="DS84" s="60" t="e">
        <f t="shared" si="71"/>
        <v>#NUM!</v>
      </c>
      <c r="DT84" s="60">
        <f ca="1">AVERAGE(OFFSET($DS$3,0,0,'Données projet'!$E$14+1,1))-AVERAGE(OFFSET($H$3,0,0,'Données projet'!$E$14+1,1))</f>
        <v>256.19915261735281</v>
      </c>
      <c r="DU84" s="60">
        <f t="shared" si="98"/>
        <v>297.47246687305056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786.19217745579931</v>
      </c>
      <c r="S85" s="60">
        <f ca="1">AVERAGE(OFFSET($R$3,0,0,'Données projet'!$E$9+1,1))-AVERAGE(OFFSET($H$3,0,0,'Données projet'!$E$9+1,1))</f>
        <v>428.8489304403459</v>
      </c>
      <c r="T85" s="60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1.8089849618263545E-13</v>
      </c>
      <c r="AK85" s="14">
        <f t="shared" si="89"/>
        <v>2.536422473342444E-12</v>
      </c>
      <c r="AL85" s="22">
        <f t="shared" si="58"/>
        <v>4.7326673552561798E-12</v>
      </c>
      <c r="AM85" s="60">
        <f t="shared" si="59"/>
        <v>293.33333333333803</v>
      </c>
      <c r="AN85" s="60">
        <f ca="1">AVERAGE(OFFSET($AM$3,0,0,'Données projet'!$E$10+1,1))-AVERAGE(OFFSET($H$3,0,0,'Données projet'!$E$10+1,1))</f>
        <v>299.28262372717484</v>
      </c>
      <c r="AO85" s="60">
        <f t="shared" si="90"/>
        <v>294.28794439094889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projet'!$B$11,Paramètres!$A$1:$I$89,3,0)*VLOOKUP('Données projet'!$B$11,Paramètres!$A$1:$I$89,5,0)</f>
        <v>1.6671037883497774E-13</v>
      </c>
      <c r="BF85" s="14">
        <f t="shared" si="91"/>
        <v>2.3598166018346595E-12</v>
      </c>
      <c r="BG85" s="22">
        <f t="shared" si="61"/>
        <v>4.400367824666284E-12</v>
      </c>
      <c r="BH85" s="60">
        <f t="shared" si="62"/>
        <v>293.33333333333769</v>
      </c>
      <c r="BI85" s="60">
        <f ca="1">AVERAGE(OFFSET($BH$3,0,0,'Données projet'!$E$11+1,1))-AVERAGE(OFFSET($H$3,0,0,'Données projet'!$E$11+1,1))</f>
        <v>278.61904724595763</v>
      </c>
      <c r="BJ85" s="60">
        <f t="shared" si="92"/>
        <v>274.55710362891892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0">
        <f t="shared" si="65"/>
        <v>293.33333333333582</v>
      </c>
      <c r="CD85" s="60">
        <f ca="1">AVERAGE(OFFSET($CC$3,0,0,'Données projet'!$E$12+1,1))-AVERAGE(OFFSET($H$3,0,0,'Données projet'!$E$12+1,1))</f>
        <v>292.57482726862594</v>
      </c>
      <c r="CE85" s="60">
        <f t="shared" si="94"/>
        <v>283.48738729114024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8.9743589743589727</v>
      </c>
      <c r="CT85" s="13">
        <f>IF('Données projet'!$A$140&gt;35,CT84+CS85-DB84,IF(A85&lt;'Données projet'!$A$140,$CQ$205^A85,IF(A85='Données projet'!$A$140,'Données projet'!$B$140,CT84+CS85-DB84)))</f>
        <v>338.20512820512783</v>
      </c>
      <c r="CU85" s="18">
        <f>CT85*VLOOKUP('Données projet'!$B$13,Paramètres!$A$1:$I$89,3,0)*VLOOKUP('Données projet'!$B$13,Paramètres!$A$1:$I$89,5,0)</f>
        <v>158.27999999999983</v>
      </c>
      <c r="CV85" s="14">
        <f t="shared" si="95"/>
        <v>40.454320907632543</v>
      </c>
      <c r="CW85" s="22">
        <f t="shared" si="67"/>
        <v>346.12894224745969</v>
      </c>
      <c r="CX85" s="60">
        <f t="shared" si="68"/>
        <v>639.46227558079295</v>
      </c>
      <c r="CY85" s="60">
        <f ca="1">AVERAGE(OFFSET($CX$3,0,0,'Données projet'!$E$13+1,1))-AVERAGE(OFFSET($H$3,0,0,'Données projet'!$E$13+1,1))</f>
        <v>246.64907095367749</v>
      </c>
      <c r="CZ85" s="60">
        <f t="shared" si="96"/>
        <v>145.34368562171613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-1.1368683772161603E-13</v>
      </c>
      <c r="DP85" s="18">
        <f>DO85*VLOOKUP('Données projet'!$B$14,Paramètres!$A$1:$I$89,3,0)*VLOOKUP('Données projet'!$B$14,Paramètres!$A$1:$I$89,5,0)</f>
        <v>-9.2222762759774927E-14</v>
      </c>
      <c r="DQ85" s="14" t="e">
        <f t="shared" si="97"/>
        <v>#NUM!</v>
      </c>
      <c r="DR85" s="22" t="e">
        <f t="shared" si="70"/>
        <v>#NUM!</v>
      </c>
      <c r="DS85" s="60" t="e">
        <f t="shared" si="71"/>
        <v>#NUM!</v>
      </c>
      <c r="DT85" s="60">
        <f ca="1">AVERAGE(OFFSET($DS$3,0,0,'Données projet'!$E$14+1,1))-AVERAGE(OFFSET($H$3,0,0,'Données projet'!$E$14+1,1))</f>
        <v>256.19915261735281</v>
      </c>
      <c r="DU85" s="60">
        <f t="shared" si="98"/>
        <v>297.47246687305056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796.92530469359974</v>
      </c>
      <c r="S86" s="60">
        <f ca="1">AVERAGE(OFFSET($R$3,0,0,'Données projet'!$E$9+1,1))-AVERAGE(OFFSET($H$3,0,0,'Données projet'!$E$9+1,1))</f>
        <v>428.8489304403459</v>
      </c>
      <c r="T86" s="60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1.8089849618263545E-13</v>
      </c>
      <c r="AK86" s="14">
        <f t="shared" si="89"/>
        <v>2.536422473342444E-12</v>
      </c>
      <c r="AL86" s="22">
        <f t="shared" si="58"/>
        <v>4.7326673552561798E-12</v>
      </c>
      <c r="AM86" s="60">
        <f t="shared" si="59"/>
        <v>293.33333333333803</v>
      </c>
      <c r="AN86" s="60">
        <f ca="1">AVERAGE(OFFSET($AM$3,0,0,'Données projet'!$E$10+1,1))-AVERAGE(OFFSET($H$3,0,0,'Données projet'!$E$10+1,1))</f>
        <v>299.28262372717484</v>
      </c>
      <c r="AO86" s="60">
        <f t="shared" si="90"/>
        <v>294.28794439094889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projet'!$B$11,Paramètres!$A$1:$I$89,3,0)*VLOOKUP('Données projet'!$B$11,Paramètres!$A$1:$I$89,5,0)</f>
        <v>1.6671037883497774E-13</v>
      </c>
      <c r="BF86" s="14">
        <f t="shared" si="91"/>
        <v>2.3598166018346595E-12</v>
      </c>
      <c r="BG86" s="22">
        <f t="shared" si="61"/>
        <v>4.400367824666284E-12</v>
      </c>
      <c r="BH86" s="60">
        <f t="shared" si="62"/>
        <v>293.33333333333769</v>
      </c>
      <c r="BI86" s="60">
        <f ca="1">AVERAGE(OFFSET($BH$3,0,0,'Données projet'!$E$11+1,1))-AVERAGE(OFFSET($H$3,0,0,'Données projet'!$E$11+1,1))</f>
        <v>278.61904724595763</v>
      </c>
      <c r="BJ86" s="60">
        <f t="shared" si="92"/>
        <v>274.55710362891892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0">
        <f t="shared" si="65"/>
        <v>293.33333333333582</v>
      </c>
      <c r="CD86" s="60">
        <f ca="1">AVERAGE(OFFSET($CC$3,0,0,'Données projet'!$E$12+1,1))-AVERAGE(OFFSET($H$3,0,0,'Données projet'!$E$12+1,1))</f>
        <v>292.57482726862594</v>
      </c>
      <c r="CE86" s="60">
        <f t="shared" si="94"/>
        <v>283.48738729114024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8.9743589743589727</v>
      </c>
      <c r="CT86" s="13">
        <f>IF('Données projet'!$A$140&gt;35,CT85+CS86-DB85,IF(A86&lt;'Données projet'!$A$140,$CQ$205^A86,IF(A86='Données projet'!$A$140,'Données projet'!$B$140,CT85+CS86-DB85)))</f>
        <v>347.17948717948678</v>
      </c>
      <c r="CU86" s="18">
        <f>CT86*VLOOKUP('Données projet'!$B$13,Paramètres!$A$1:$I$89,3,0)*VLOOKUP('Données projet'!$B$13,Paramètres!$A$1:$I$89,5,0)</f>
        <v>162.47999999999982</v>
      </c>
      <c r="CV86" s="14">
        <f t="shared" si="95"/>
        <v>41.401384607667218</v>
      </c>
      <c r="CW86" s="22">
        <f t="shared" si="67"/>
        <v>355.09341152502003</v>
      </c>
      <c r="CX86" s="60">
        <f t="shared" si="68"/>
        <v>648.42674485835335</v>
      </c>
      <c r="CY86" s="60">
        <f ca="1">AVERAGE(OFFSET($CX$3,0,0,'Données projet'!$E$13+1,1))-AVERAGE(OFFSET($H$3,0,0,'Données projet'!$E$13+1,1))</f>
        <v>246.64907095367749</v>
      </c>
      <c r="CZ86" s="60">
        <f t="shared" si="96"/>
        <v>145.34368562171613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-1.1368683772161603E-13</v>
      </c>
      <c r="DP86" s="18">
        <f>DO86*VLOOKUP('Données projet'!$B$14,Paramètres!$A$1:$I$89,3,0)*VLOOKUP('Données projet'!$B$14,Paramètres!$A$1:$I$89,5,0)</f>
        <v>-9.2222762759774927E-14</v>
      </c>
      <c r="DQ86" s="14" t="e">
        <f t="shared" si="97"/>
        <v>#NUM!</v>
      </c>
      <c r="DR86" s="22" t="e">
        <f t="shared" si="70"/>
        <v>#NUM!</v>
      </c>
      <c r="DS86" s="60" t="e">
        <f t="shared" si="71"/>
        <v>#NUM!</v>
      </c>
      <c r="DT86" s="60">
        <f ca="1">AVERAGE(OFFSET($DS$3,0,0,'Données projet'!$E$14+1,1))-AVERAGE(OFFSET($H$3,0,0,'Données projet'!$E$14+1,1))</f>
        <v>256.19915261735281</v>
      </c>
      <c r="DU86" s="60">
        <f t="shared" si="98"/>
        <v>297.47246687305056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807.65359376827541</v>
      </c>
      <c r="S87" s="60">
        <f ca="1">AVERAGE(OFFSET($R$3,0,0,'Données projet'!$E$9+1,1))-AVERAGE(OFFSET($H$3,0,0,'Données projet'!$E$9+1,1))</f>
        <v>428.8489304403459</v>
      </c>
      <c r="T87" s="60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1.8089849618263545E-13</v>
      </c>
      <c r="AK87" s="14">
        <f t="shared" si="89"/>
        <v>2.536422473342444E-12</v>
      </c>
      <c r="AL87" s="22">
        <f t="shared" si="58"/>
        <v>4.7326673552561798E-12</v>
      </c>
      <c r="AM87" s="60">
        <f t="shared" si="59"/>
        <v>293.33333333333803</v>
      </c>
      <c r="AN87" s="60">
        <f ca="1">AVERAGE(OFFSET($AM$3,0,0,'Données projet'!$E$10+1,1))-AVERAGE(OFFSET($H$3,0,0,'Données projet'!$E$10+1,1))</f>
        <v>299.28262372717484</v>
      </c>
      <c r="AO87" s="60">
        <f t="shared" si="90"/>
        <v>294.28794439094889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projet'!$B$11,Paramètres!$A$1:$I$89,3,0)*VLOOKUP('Données projet'!$B$11,Paramètres!$A$1:$I$89,5,0)</f>
        <v>1.6671037883497774E-13</v>
      </c>
      <c r="BF87" s="14">
        <f t="shared" si="91"/>
        <v>2.3598166018346595E-12</v>
      </c>
      <c r="BG87" s="22">
        <f t="shared" si="61"/>
        <v>4.400367824666284E-12</v>
      </c>
      <c r="BH87" s="60">
        <f t="shared" si="62"/>
        <v>293.33333333333769</v>
      </c>
      <c r="BI87" s="60">
        <f ca="1">AVERAGE(OFFSET($BH$3,0,0,'Données projet'!$E$11+1,1))-AVERAGE(OFFSET($H$3,0,0,'Données projet'!$E$11+1,1))</f>
        <v>278.61904724595763</v>
      </c>
      <c r="BJ87" s="60">
        <f t="shared" si="92"/>
        <v>274.55710362891892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0">
        <f t="shared" si="65"/>
        <v>293.33333333333582</v>
      </c>
      <c r="CD87" s="60">
        <f ca="1">AVERAGE(OFFSET($CC$3,0,0,'Données projet'!$E$12+1,1))-AVERAGE(OFFSET($H$3,0,0,'Données projet'!$E$12+1,1))</f>
        <v>292.57482726862594</v>
      </c>
      <c r="CE87" s="60">
        <f t="shared" si="94"/>
        <v>283.48738729114024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8.9743589743589727</v>
      </c>
      <c r="CT87" s="13">
        <f>IF('Données projet'!$A$140&gt;35,CT86+CS87-DB86,IF(A87&lt;'Données projet'!$A$140,$CQ$205^A87,IF(A87='Données projet'!$A$140,'Données projet'!$B$140,CT86+CS87-DB86)))</f>
        <v>356.15384615384573</v>
      </c>
      <c r="CU87" s="18">
        <f>CT87*VLOOKUP('Données projet'!$B$13,Paramètres!$A$1:$I$89,3,0)*VLOOKUP('Données projet'!$B$13,Paramètres!$A$1:$I$89,5,0)</f>
        <v>166.67999999999981</v>
      </c>
      <c r="CV87" s="14">
        <f t="shared" si="95"/>
        <v>42.345602670937915</v>
      </c>
      <c r="CW87" s="22">
        <f t="shared" si="67"/>
        <v>364.05292465188319</v>
      </c>
      <c r="CX87" s="60">
        <f t="shared" si="68"/>
        <v>657.3862579852165</v>
      </c>
      <c r="CY87" s="60">
        <f ca="1">AVERAGE(OFFSET($CX$3,0,0,'Données projet'!$E$13+1,1))-AVERAGE(OFFSET($H$3,0,0,'Données projet'!$E$13+1,1))</f>
        <v>246.64907095367749</v>
      </c>
      <c r="CZ87" s="60">
        <f t="shared" si="96"/>
        <v>145.34368562171613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-1.1368683772161603E-13</v>
      </c>
      <c r="DP87" s="18">
        <f>DO87*VLOOKUP('Données projet'!$B$14,Paramètres!$A$1:$I$89,3,0)*VLOOKUP('Données projet'!$B$14,Paramètres!$A$1:$I$89,5,0)</f>
        <v>-9.2222762759774927E-14</v>
      </c>
      <c r="DQ87" s="14" t="e">
        <f t="shared" si="97"/>
        <v>#NUM!</v>
      </c>
      <c r="DR87" s="22" t="e">
        <f t="shared" si="70"/>
        <v>#NUM!</v>
      </c>
      <c r="DS87" s="60" t="e">
        <f t="shared" si="71"/>
        <v>#NUM!</v>
      </c>
      <c r="DT87" s="60">
        <f ca="1">AVERAGE(OFFSET($DS$3,0,0,'Données projet'!$E$14+1,1))-AVERAGE(OFFSET($H$3,0,0,'Données projet'!$E$14+1,1))</f>
        <v>256.19915261735281</v>
      </c>
      <c r="DU87" s="60">
        <f t="shared" si="98"/>
        <v>297.47246687305056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818.37715982660688</v>
      </c>
      <c r="S88" s="60">
        <f ca="1">AVERAGE(OFFSET($R$3,0,0,'Données projet'!$E$9+1,1))-AVERAGE(OFFSET($H$3,0,0,'Données projet'!$E$9+1,1))</f>
        <v>428.8489304403459</v>
      </c>
      <c r="T88" s="60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1.8089849618263545E-13</v>
      </c>
      <c r="AK88" s="14">
        <f t="shared" si="89"/>
        <v>2.536422473342444E-12</v>
      </c>
      <c r="AL88" s="22">
        <f t="shared" si="58"/>
        <v>4.7326673552561798E-12</v>
      </c>
      <c r="AM88" s="60">
        <f t="shared" si="59"/>
        <v>293.33333333333803</v>
      </c>
      <c r="AN88" s="60">
        <f ca="1">AVERAGE(OFFSET($AM$3,0,0,'Données projet'!$E$10+1,1))-AVERAGE(OFFSET($H$3,0,0,'Données projet'!$E$10+1,1))</f>
        <v>299.28262372717484</v>
      </c>
      <c r="AO88" s="60">
        <f t="shared" si="90"/>
        <v>294.28794439094889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projet'!$B$11,Paramètres!$A$1:$I$89,3,0)*VLOOKUP('Données projet'!$B$11,Paramètres!$A$1:$I$89,5,0)</f>
        <v>1.6671037883497774E-13</v>
      </c>
      <c r="BF88" s="14">
        <f t="shared" si="91"/>
        <v>2.3598166018346595E-12</v>
      </c>
      <c r="BG88" s="22">
        <f t="shared" si="61"/>
        <v>4.400367824666284E-12</v>
      </c>
      <c r="BH88" s="60">
        <f t="shared" si="62"/>
        <v>293.33333333333769</v>
      </c>
      <c r="BI88" s="60">
        <f ca="1">AVERAGE(OFFSET($BH$3,0,0,'Données projet'!$E$11+1,1))-AVERAGE(OFFSET($H$3,0,0,'Données projet'!$E$11+1,1))</f>
        <v>278.61904724595763</v>
      </c>
      <c r="BJ88" s="60">
        <f t="shared" si="92"/>
        <v>274.55710362891892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0">
        <f t="shared" si="65"/>
        <v>293.33333333333582</v>
      </c>
      <c r="CD88" s="60">
        <f ca="1">AVERAGE(OFFSET($CC$3,0,0,'Données projet'!$E$12+1,1))-AVERAGE(OFFSET($H$3,0,0,'Données projet'!$E$12+1,1))</f>
        <v>292.57482726862594</v>
      </c>
      <c r="CE88" s="60">
        <f t="shared" si="94"/>
        <v>283.48738729114024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8.9743589743589727</v>
      </c>
      <c r="CT88" s="13">
        <f>IF('Données projet'!$A$140&gt;35,CT87+CS88-DB87,IF(A88&lt;'Données projet'!$A$140,$CQ$205^A88,IF(A88='Données projet'!$A$140,'Données projet'!$B$140,CT87+CS88-DB87)))</f>
        <v>365.12820512820468</v>
      </c>
      <c r="CU88" s="18">
        <f>CT88*VLOOKUP('Données projet'!$B$13,Paramètres!$A$1:$I$89,3,0)*VLOOKUP('Données projet'!$B$13,Paramètres!$A$1:$I$89,5,0)</f>
        <v>170.8799999999998</v>
      </c>
      <c r="CV88" s="14">
        <f t="shared" si="95"/>
        <v>43.287055047972629</v>
      </c>
      <c r="CW88" s="22">
        <f t="shared" si="67"/>
        <v>373.00762087521866</v>
      </c>
      <c r="CX88" s="60">
        <f t="shared" si="68"/>
        <v>666.34095420855192</v>
      </c>
      <c r="CY88" s="60">
        <f ca="1">AVERAGE(OFFSET($CX$3,0,0,'Données projet'!$E$13+1,1))-AVERAGE(OFFSET($H$3,0,0,'Données projet'!$E$13+1,1))</f>
        <v>246.64907095367749</v>
      </c>
      <c r="CZ88" s="60">
        <f t="shared" si="96"/>
        <v>145.34368562171613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-1.1368683772161603E-13</v>
      </c>
      <c r="DP88" s="18">
        <f>DO88*VLOOKUP('Données projet'!$B$14,Paramètres!$A$1:$I$89,3,0)*VLOOKUP('Données projet'!$B$14,Paramètres!$A$1:$I$89,5,0)</f>
        <v>-9.2222762759774927E-14</v>
      </c>
      <c r="DQ88" s="14" t="e">
        <f t="shared" si="97"/>
        <v>#NUM!</v>
      </c>
      <c r="DR88" s="22" t="e">
        <f t="shared" si="70"/>
        <v>#NUM!</v>
      </c>
      <c r="DS88" s="60" t="e">
        <f t="shared" si="71"/>
        <v>#NUM!</v>
      </c>
      <c r="DT88" s="60">
        <f ca="1">AVERAGE(OFFSET($DS$3,0,0,'Données projet'!$E$14+1,1))-AVERAGE(OFFSET($H$3,0,0,'Données projet'!$E$14+1,1))</f>
        <v>256.19915261735281</v>
      </c>
      <c r="DU88" s="60">
        <f t="shared" si="98"/>
        <v>297.47246687305056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829.09611292828231</v>
      </c>
      <c r="S89" s="60">
        <f ca="1">AVERAGE(OFFSET($R$3,0,0,'Données projet'!$E$9+1,1))-AVERAGE(OFFSET($H$3,0,0,'Données projet'!$E$9+1,1))</f>
        <v>428.8489304403459</v>
      </c>
      <c r="T89" s="60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1.8089849618263545E-13</v>
      </c>
      <c r="AK89" s="14">
        <f t="shared" si="89"/>
        <v>2.536422473342444E-12</v>
      </c>
      <c r="AL89" s="22">
        <f t="shared" si="58"/>
        <v>4.7326673552561798E-12</v>
      </c>
      <c r="AM89" s="60">
        <f t="shared" si="59"/>
        <v>293.33333333333803</v>
      </c>
      <c r="AN89" s="60">
        <f ca="1">AVERAGE(OFFSET($AM$3,0,0,'Données projet'!$E$10+1,1))-AVERAGE(OFFSET($H$3,0,0,'Données projet'!$E$10+1,1))</f>
        <v>299.28262372717484</v>
      </c>
      <c r="AO89" s="60">
        <f t="shared" si="90"/>
        <v>294.28794439094889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projet'!$B$11,Paramètres!$A$1:$I$89,3,0)*VLOOKUP('Données projet'!$B$11,Paramètres!$A$1:$I$89,5,0)</f>
        <v>1.6671037883497774E-13</v>
      </c>
      <c r="BF89" s="14">
        <f t="shared" si="91"/>
        <v>2.3598166018346595E-12</v>
      </c>
      <c r="BG89" s="22">
        <f t="shared" si="61"/>
        <v>4.400367824666284E-12</v>
      </c>
      <c r="BH89" s="60">
        <f t="shared" si="62"/>
        <v>293.33333333333769</v>
      </c>
      <c r="BI89" s="60">
        <f ca="1">AVERAGE(OFFSET($BH$3,0,0,'Données projet'!$E$11+1,1))-AVERAGE(OFFSET($H$3,0,0,'Données projet'!$E$11+1,1))</f>
        <v>278.61904724595763</v>
      </c>
      <c r="BJ89" s="60">
        <f t="shared" si="92"/>
        <v>274.55710362891892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0">
        <f t="shared" si="65"/>
        <v>293.33333333333582</v>
      </c>
      <c r="CD89" s="60">
        <f ca="1">AVERAGE(OFFSET($CC$3,0,0,'Données projet'!$E$12+1,1))-AVERAGE(OFFSET($H$3,0,0,'Données projet'!$E$12+1,1))</f>
        <v>292.57482726862594</v>
      </c>
      <c r="CE89" s="60">
        <f t="shared" si="94"/>
        <v>283.48738729114024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8.9743589743589727</v>
      </c>
      <c r="CT89" s="13">
        <f>IF('Données projet'!$A$140&gt;35,CT88+CS89-DB88,IF(A89&lt;'Données projet'!$A$140,$CQ$205^A89,IF(A89='Données projet'!$A$140,'Données projet'!$B$140,CT88+CS89-DB88)))</f>
        <v>374.10256410256363</v>
      </c>
      <c r="CU89" s="18">
        <f>CT89*VLOOKUP('Données projet'!$B$13,Paramètres!$A$1:$I$89,3,0)*VLOOKUP('Données projet'!$B$13,Paramètres!$A$1:$I$89,5,0)</f>
        <v>175.07999999999976</v>
      </c>
      <c r="CV89" s="14">
        <f t="shared" si="95"/>
        <v>44.225817535095111</v>
      </c>
      <c r="CW89" s="22">
        <f t="shared" si="67"/>
        <v>381.95763220695682</v>
      </c>
      <c r="CX89" s="60">
        <f t="shared" si="68"/>
        <v>675.29096554029013</v>
      </c>
      <c r="CY89" s="60">
        <f ca="1">AVERAGE(OFFSET($CX$3,0,0,'Données projet'!$E$13+1,1))-AVERAGE(OFFSET($H$3,0,0,'Données projet'!$E$13+1,1))</f>
        <v>246.64907095367749</v>
      </c>
      <c r="CZ89" s="60">
        <f t="shared" si="96"/>
        <v>145.34368562171613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-1.1368683772161603E-13</v>
      </c>
      <c r="DP89" s="18">
        <f>DO89*VLOOKUP('Données projet'!$B$14,Paramètres!$A$1:$I$89,3,0)*VLOOKUP('Données projet'!$B$14,Paramètres!$A$1:$I$89,5,0)</f>
        <v>-9.2222762759774927E-14</v>
      </c>
      <c r="DQ89" s="14" t="e">
        <f t="shared" si="97"/>
        <v>#NUM!</v>
      </c>
      <c r="DR89" s="22" t="e">
        <f t="shared" si="70"/>
        <v>#NUM!</v>
      </c>
      <c r="DS89" s="60" t="e">
        <f t="shared" si="71"/>
        <v>#NUM!</v>
      </c>
      <c r="DT89" s="60">
        <f ca="1">AVERAGE(OFFSET($DS$3,0,0,'Données projet'!$E$14+1,1))-AVERAGE(OFFSET($H$3,0,0,'Données projet'!$E$14+1,1))</f>
        <v>256.19915261735281</v>
      </c>
      <c r="DU89" s="60">
        <f t="shared" si="98"/>
        <v>297.47246687305056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839.81055837008694</v>
      </c>
      <c r="S90" s="60">
        <f ca="1">AVERAGE(OFFSET($R$3,0,0,'Données projet'!$E$9+1,1))-AVERAGE(OFFSET($H$3,0,0,'Données projet'!$E$9+1,1))</f>
        <v>428.8489304403459</v>
      </c>
      <c r="T90" s="60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1.8089849618263545E-13</v>
      </c>
      <c r="AK90" s="14">
        <f t="shared" si="89"/>
        <v>2.536422473342444E-12</v>
      </c>
      <c r="AL90" s="22">
        <f t="shared" si="58"/>
        <v>4.7326673552561798E-12</v>
      </c>
      <c r="AM90" s="60">
        <f t="shared" si="59"/>
        <v>293.33333333333803</v>
      </c>
      <c r="AN90" s="60">
        <f ca="1">AVERAGE(OFFSET($AM$3,0,0,'Données projet'!$E$10+1,1))-AVERAGE(OFFSET($H$3,0,0,'Données projet'!$E$10+1,1))</f>
        <v>299.28262372717484</v>
      </c>
      <c r="AO90" s="60">
        <f t="shared" si="90"/>
        <v>294.28794439094889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projet'!$B$11,Paramètres!$A$1:$I$89,3,0)*VLOOKUP('Données projet'!$B$11,Paramètres!$A$1:$I$89,5,0)</f>
        <v>1.6671037883497774E-13</v>
      </c>
      <c r="BF90" s="14">
        <f t="shared" si="91"/>
        <v>2.3598166018346595E-12</v>
      </c>
      <c r="BG90" s="22">
        <f t="shared" si="61"/>
        <v>4.400367824666284E-12</v>
      </c>
      <c r="BH90" s="60">
        <f t="shared" si="62"/>
        <v>293.33333333333769</v>
      </c>
      <c r="BI90" s="60">
        <f ca="1">AVERAGE(OFFSET($BH$3,0,0,'Données projet'!$E$11+1,1))-AVERAGE(OFFSET($H$3,0,0,'Données projet'!$E$11+1,1))</f>
        <v>278.61904724595763</v>
      </c>
      <c r="BJ90" s="60">
        <f t="shared" si="92"/>
        <v>274.55710362891892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0">
        <f t="shared" si="65"/>
        <v>293.33333333333582</v>
      </c>
      <c r="CD90" s="60">
        <f ca="1">AVERAGE(OFFSET($CC$3,0,0,'Données projet'!$E$12+1,1))-AVERAGE(OFFSET($H$3,0,0,'Données projet'!$E$12+1,1))</f>
        <v>292.57482726862594</v>
      </c>
      <c r="CE90" s="60">
        <f t="shared" si="94"/>
        <v>283.48738729114024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383.07692307692304</v>
      </c>
      <c r="CR90" s="13">
        <f>VLOOKUP(A90,'Données projet'!$A$139:$I$159,9,0)</f>
        <v>8.9743589743589727</v>
      </c>
      <c r="CS90" s="13">
        <f t="array" ref="CS90">INDEX(CR:CR,MIN(IF(ISNUMBER(CR90:CR286),ROW(CR90:CR286),"")))</f>
        <v>8.9743589743589727</v>
      </c>
      <c r="CT90" s="13">
        <f>IF('Données projet'!$A$140&gt;35,CT89+CS90-DB89,IF(A90&lt;'Données projet'!$A$140,$CQ$205^A90,IF(A90='Données projet'!$A$140,'Données projet'!$B$140,CT89+CS90-DB89)))</f>
        <v>383.07692307692258</v>
      </c>
      <c r="CU90" s="18">
        <f>CT90*VLOOKUP('Données projet'!$B$13,Paramètres!$A$1:$I$89,3,0)*VLOOKUP('Données projet'!$B$13,Paramètres!$A$1:$I$89,5,0)</f>
        <v>179.27999999999975</v>
      </c>
      <c r="CV90" s="14">
        <f t="shared" si="95"/>
        <v>45.161962084677604</v>
      </c>
      <c r="CW90" s="22">
        <f t="shared" si="67"/>
        <v>390.90308396414639</v>
      </c>
      <c r="CX90" s="60">
        <f t="shared" si="68"/>
        <v>684.23641729747965</v>
      </c>
      <c r="CY90" s="60">
        <f ca="1">AVERAGE(OFFSET($CX$3,0,0,'Données projet'!$E$13+1,1))-AVERAGE(OFFSET($H$3,0,0,'Données projet'!$E$13+1,1))</f>
        <v>246.64907095367749</v>
      </c>
      <c r="CZ90" s="60">
        <f t="shared" si="96"/>
        <v>145.34368562171613</v>
      </c>
      <c r="DA90" s="16">
        <f>IF(ISNA(VLOOKUP(A90,'Données projet'!$A$139:$I$159,3,0)),0,VLOOKUP(A90,'Données projet'!$A$139:$I$159,3,0))</f>
        <v>4</v>
      </c>
      <c r="DB90" s="16">
        <f>IF(ISNA(VLOOKUP(A90,'Données projet'!$A$139:$I$159,4,0)),0,VLOOKUP(A90,'Données projet'!$A$139:$I$159,4,0))</f>
        <v>83.076923076923038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-1.1368683772161603E-13</v>
      </c>
      <c r="DP90" s="18">
        <f>DO90*VLOOKUP('Données projet'!$B$14,Paramètres!$A$1:$I$89,3,0)*VLOOKUP('Données projet'!$B$14,Paramètres!$A$1:$I$89,5,0)</f>
        <v>-9.2222762759774927E-14</v>
      </c>
      <c r="DQ90" s="14" t="e">
        <f t="shared" si="97"/>
        <v>#NUM!</v>
      </c>
      <c r="DR90" s="22" t="e">
        <f t="shared" si="70"/>
        <v>#NUM!</v>
      </c>
      <c r="DS90" s="60" t="e">
        <f t="shared" si="71"/>
        <v>#NUM!</v>
      </c>
      <c r="DT90" s="60">
        <f ca="1">AVERAGE(OFFSET($DS$3,0,0,'Données projet'!$E$14+1,1))-AVERAGE(OFFSET($H$3,0,0,'Données projet'!$E$14+1,1))</f>
        <v>256.19915261735281</v>
      </c>
      <c r="DU90" s="60">
        <f t="shared" si="98"/>
        <v>297.47246687305056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850.52059698334892</v>
      </c>
      <c r="S91" s="60">
        <f ca="1">AVERAGE(OFFSET($R$3,0,0,'Données projet'!$E$9+1,1))-AVERAGE(OFFSET($H$3,0,0,'Données projet'!$E$9+1,1))</f>
        <v>428.8489304403459</v>
      </c>
      <c r="T91" s="60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1.8089849618263545E-13</v>
      </c>
      <c r="AK91" s="14">
        <f t="shared" si="89"/>
        <v>2.536422473342444E-12</v>
      </c>
      <c r="AL91" s="22">
        <f t="shared" si="58"/>
        <v>4.7326673552561798E-12</v>
      </c>
      <c r="AM91" s="60">
        <f t="shared" si="59"/>
        <v>293.33333333333803</v>
      </c>
      <c r="AN91" s="60">
        <f ca="1">AVERAGE(OFFSET($AM$3,0,0,'Données projet'!$E$10+1,1))-AVERAGE(OFFSET($H$3,0,0,'Données projet'!$E$10+1,1))</f>
        <v>299.28262372717484</v>
      </c>
      <c r="AO91" s="60">
        <f t="shared" si="90"/>
        <v>294.28794439094889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projet'!$B$11,Paramètres!$A$1:$I$89,3,0)*VLOOKUP('Données projet'!$B$11,Paramètres!$A$1:$I$89,5,0)</f>
        <v>1.6671037883497774E-13</v>
      </c>
      <c r="BF91" s="14">
        <f t="shared" si="91"/>
        <v>2.3598166018346595E-12</v>
      </c>
      <c r="BG91" s="22">
        <f t="shared" si="61"/>
        <v>4.400367824666284E-12</v>
      </c>
      <c r="BH91" s="60">
        <f t="shared" si="62"/>
        <v>293.33333333333769</v>
      </c>
      <c r="BI91" s="60">
        <f ca="1">AVERAGE(OFFSET($BH$3,0,0,'Données projet'!$E$11+1,1))-AVERAGE(OFFSET($H$3,0,0,'Données projet'!$E$11+1,1))</f>
        <v>278.61904724595763</v>
      </c>
      <c r="BJ91" s="60">
        <f t="shared" si="92"/>
        <v>274.55710362891892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0">
        <f t="shared" si="65"/>
        <v>293.33333333333582</v>
      </c>
      <c r="CD91" s="60">
        <f ca="1">AVERAGE(OFFSET($CC$3,0,0,'Données projet'!$E$12+1,1))-AVERAGE(OFFSET($H$3,0,0,'Données projet'!$E$12+1,1))</f>
        <v>292.57482726862594</v>
      </c>
      <c r="CE91" s="60">
        <f t="shared" si="94"/>
        <v>283.48738729114024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8.1410256410256405</v>
      </c>
      <c r="CT91" s="13">
        <f>IF('Données projet'!$A$140&gt;35,CT90+CS91-DB90,IF(A91&lt;'Données projet'!$A$140,$CQ$205^A91,IF(A91='Données projet'!$A$140,'Données projet'!$B$140,CT90+CS91-DB90)))</f>
        <v>308.14102564102518</v>
      </c>
      <c r="CU91" s="18">
        <f>CT91*VLOOKUP('Données projet'!$B$13,Paramètres!$A$1:$I$89,3,0)*VLOOKUP('Données projet'!$B$13,Paramètres!$A$1:$I$89,5,0)</f>
        <v>144.20999999999978</v>
      </c>
      <c r="CV91" s="14">
        <f t="shared" si="95"/>
        <v>37.259788027931044</v>
      </c>
      <c r="CW91" s="22">
        <f t="shared" si="67"/>
        <v>316.05988081531285</v>
      </c>
      <c r="CX91" s="60">
        <f t="shared" si="68"/>
        <v>609.39321414864617</v>
      </c>
      <c r="CY91" s="60">
        <f ca="1">AVERAGE(OFFSET($CX$3,0,0,'Données projet'!$E$13+1,1))-AVERAGE(OFFSET($H$3,0,0,'Données projet'!$E$13+1,1))</f>
        <v>246.64907095367749</v>
      </c>
      <c r="CZ91" s="60">
        <f t="shared" si="96"/>
        <v>145.34368562171613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-1.1368683772161603E-13</v>
      </c>
      <c r="DP91" s="18">
        <f>DO91*VLOOKUP('Données projet'!$B$14,Paramètres!$A$1:$I$89,3,0)*VLOOKUP('Données projet'!$B$14,Paramètres!$A$1:$I$89,5,0)</f>
        <v>-9.2222762759774927E-14</v>
      </c>
      <c r="DQ91" s="14" t="e">
        <f t="shared" si="97"/>
        <v>#NUM!</v>
      </c>
      <c r="DR91" s="22" t="e">
        <f t="shared" si="70"/>
        <v>#NUM!</v>
      </c>
      <c r="DS91" s="60" t="e">
        <f t="shared" si="71"/>
        <v>#NUM!</v>
      </c>
      <c r="DT91" s="60">
        <f ca="1">AVERAGE(OFFSET($DS$3,0,0,'Données projet'!$E$14+1,1))-AVERAGE(OFFSET($H$3,0,0,'Données projet'!$E$14+1,1))</f>
        <v>256.19915261735281</v>
      </c>
      <c r="DU91" s="60">
        <f t="shared" si="98"/>
        <v>297.47246687305056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861.22632540732775</v>
      </c>
      <c r="S92" s="60">
        <f ca="1">AVERAGE(OFFSET($R$3,0,0,'Données projet'!$E$9+1,1))-AVERAGE(OFFSET($H$3,0,0,'Données projet'!$E$9+1,1))</f>
        <v>428.8489304403459</v>
      </c>
      <c r="T92" s="60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1.8089849618263545E-13</v>
      </c>
      <c r="AK92" s="14">
        <f t="shared" si="89"/>
        <v>2.536422473342444E-12</v>
      </c>
      <c r="AL92" s="22">
        <f t="shared" si="58"/>
        <v>4.7326673552561798E-12</v>
      </c>
      <c r="AM92" s="60">
        <f t="shared" si="59"/>
        <v>293.33333333333803</v>
      </c>
      <c r="AN92" s="60">
        <f ca="1">AVERAGE(OFFSET($AM$3,0,0,'Données projet'!$E$10+1,1))-AVERAGE(OFFSET($H$3,0,0,'Données projet'!$E$10+1,1))</f>
        <v>299.28262372717484</v>
      </c>
      <c r="AO92" s="60">
        <f t="shared" si="90"/>
        <v>294.28794439094889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projet'!$B$11,Paramètres!$A$1:$I$89,3,0)*VLOOKUP('Données projet'!$B$11,Paramètres!$A$1:$I$89,5,0)</f>
        <v>1.6671037883497774E-13</v>
      </c>
      <c r="BF92" s="14">
        <f t="shared" si="91"/>
        <v>2.3598166018346595E-12</v>
      </c>
      <c r="BG92" s="22">
        <f t="shared" si="61"/>
        <v>4.400367824666284E-12</v>
      </c>
      <c r="BH92" s="60">
        <f t="shared" si="62"/>
        <v>293.33333333333769</v>
      </c>
      <c r="BI92" s="60">
        <f ca="1">AVERAGE(OFFSET($BH$3,0,0,'Données projet'!$E$11+1,1))-AVERAGE(OFFSET($H$3,0,0,'Données projet'!$E$11+1,1))</f>
        <v>278.61904724595763</v>
      </c>
      <c r="BJ92" s="60">
        <f t="shared" si="92"/>
        <v>274.55710362891892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0">
        <f t="shared" si="65"/>
        <v>293.33333333333582</v>
      </c>
      <c r="CD92" s="60">
        <f ca="1">AVERAGE(OFFSET($CC$3,0,0,'Données projet'!$E$12+1,1))-AVERAGE(OFFSET($H$3,0,0,'Données projet'!$E$12+1,1))</f>
        <v>292.57482726862594</v>
      </c>
      <c r="CE92" s="60">
        <f t="shared" si="94"/>
        <v>283.48738729114024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8.1410256410256405</v>
      </c>
      <c r="CT92" s="13">
        <f>IF('Données projet'!$A$140&gt;35,CT91+CS92-DB91,IF(A92&lt;'Données projet'!$A$140,$CQ$205^A92,IF(A92='Données projet'!$A$140,'Données projet'!$B$140,CT91+CS92-DB91)))</f>
        <v>316.28205128205082</v>
      </c>
      <c r="CU92" s="18">
        <f>CT92*VLOOKUP('Données projet'!$B$13,Paramètres!$A$1:$I$89,3,0)*VLOOKUP('Données projet'!$B$13,Paramètres!$A$1:$I$89,5,0)</f>
        <v>148.01999999999978</v>
      </c>
      <c r="CV92" s="14">
        <f t="shared" si="95"/>
        <v>38.12827612701787</v>
      </c>
      <c r="CW92" s="22">
        <f t="shared" si="67"/>
        <v>324.20824758788905</v>
      </c>
      <c r="CX92" s="60">
        <f t="shared" si="68"/>
        <v>617.54158092122236</v>
      </c>
      <c r="CY92" s="60">
        <f ca="1">AVERAGE(OFFSET($CX$3,0,0,'Données projet'!$E$13+1,1))-AVERAGE(OFFSET($H$3,0,0,'Données projet'!$E$13+1,1))</f>
        <v>246.64907095367749</v>
      </c>
      <c r="CZ92" s="60">
        <f t="shared" si="96"/>
        <v>145.34368562171613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-1.1368683772161603E-13</v>
      </c>
      <c r="DP92" s="18">
        <f>DO92*VLOOKUP('Données projet'!$B$14,Paramètres!$A$1:$I$89,3,0)*VLOOKUP('Données projet'!$B$14,Paramètres!$A$1:$I$89,5,0)</f>
        <v>-9.2222762759774927E-14</v>
      </c>
      <c r="DQ92" s="14" t="e">
        <f t="shared" si="97"/>
        <v>#NUM!</v>
      </c>
      <c r="DR92" s="22" t="e">
        <f t="shared" si="70"/>
        <v>#NUM!</v>
      </c>
      <c r="DS92" s="60" t="e">
        <f t="shared" si="71"/>
        <v>#NUM!</v>
      </c>
      <c r="DT92" s="60">
        <f ca="1">AVERAGE(OFFSET($DS$3,0,0,'Données projet'!$E$14+1,1))-AVERAGE(OFFSET($H$3,0,0,'Données projet'!$E$14+1,1))</f>
        <v>256.19915261735281</v>
      </c>
      <c r="DU92" s="60">
        <f t="shared" si="98"/>
        <v>297.47246687305056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871.92783634092143</v>
      </c>
      <c r="S93" s="60">
        <f ca="1">AVERAGE(OFFSET($R$3,0,0,'Données projet'!$E$9+1,1))-AVERAGE(OFFSET($H$3,0,0,'Données projet'!$E$9+1,1))</f>
        <v>428.8489304403459</v>
      </c>
      <c r="T93" s="60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1.8089849618263545E-13</v>
      </c>
      <c r="AK93" s="14">
        <f t="shared" si="89"/>
        <v>2.536422473342444E-12</v>
      </c>
      <c r="AL93" s="22">
        <f t="shared" si="58"/>
        <v>4.7326673552561798E-12</v>
      </c>
      <c r="AM93" s="60">
        <f t="shared" si="59"/>
        <v>293.33333333333803</v>
      </c>
      <c r="AN93" s="60">
        <f ca="1">AVERAGE(OFFSET($AM$3,0,0,'Données projet'!$E$10+1,1))-AVERAGE(OFFSET($H$3,0,0,'Données projet'!$E$10+1,1))</f>
        <v>299.28262372717484</v>
      </c>
      <c r="AO93" s="60">
        <f t="shared" si="90"/>
        <v>294.28794439094889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projet'!$B$11,Paramètres!$A$1:$I$89,3,0)*VLOOKUP('Données projet'!$B$11,Paramètres!$A$1:$I$89,5,0)</f>
        <v>1.6671037883497774E-13</v>
      </c>
      <c r="BF93" s="14">
        <f t="shared" si="91"/>
        <v>2.3598166018346595E-12</v>
      </c>
      <c r="BG93" s="22">
        <f t="shared" si="61"/>
        <v>4.400367824666284E-12</v>
      </c>
      <c r="BH93" s="60">
        <f t="shared" si="62"/>
        <v>293.33333333333769</v>
      </c>
      <c r="BI93" s="60">
        <f ca="1">AVERAGE(OFFSET($BH$3,0,0,'Données projet'!$E$11+1,1))-AVERAGE(OFFSET($H$3,0,0,'Données projet'!$E$11+1,1))</f>
        <v>278.61904724595763</v>
      </c>
      <c r="BJ93" s="60">
        <f t="shared" si="92"/>
        <v>274.55710362891892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0">
        <f t="shared" si="65"/>
        <v>293.33333333333582</v>
      </c>
      <c r="CD93" s="60">
        <f ca="1">AVERAGE(OFFSET($CC$3,0,0,'Données projet'!$E$12+1,1))-AVERAGE(OFFSET($H$3,0,0,'Données projet'!$E$12+1,1))</f>
        <v>292.57482726862594</v>
      </c>
      <c r="CE93" s="60">
        <f t="shared" si="94"/>
        <v>283.48738729114024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8.1410256410256405</v>
      </c>
      <c r="CT93" s="13">
        <f>IF('Données projet'!$A$140&gt;35,CT92+CS93-DB92,IF(A93&lt;'Données projet'!$A$140,$CQ$205^A93,IF(A93='Données projet'!$A$140,'Données projet'!$B$140,CT92+CS93-DB92)))</f>
        <v>324.42307692307645</v>
      </c>
      <c r="CU93" s="18">
        <f>CT93*VLOOKUP('Données projet'!$B$13,Paramètres!$A$1:$I$89,3,0)*VLOOKUP('Données projet'!$B$13,Paramètres!$A$1:$I$89,5,0)</f>
        <v>151.82999999999979</v>
      </c>
      <c r="CV93" s="14">
        <f t="shared" si="95"/>
        <v>38.994165732360706</v>
      </c>
      <c r="CW93" s="22">
        <f t="shared" si="67"/>
        <v>332.35208865052783</v>
      </c>
      <c r="CX93" s="60">
        <f t="shared" si="68"/>
        <v>625.68542198386115</v>
      </c>
      <c r="CY93" s="60">
        <f ca="1">AVERAGE(OFFSET($CX$3,0,0,'Données projet'!$E$13+1,1))-AVERAGE(OFFSET($H$3,0,0,'Données projet'!$E$13+1,1))</f>
        <v>246.64907095367749</v>
      </c>
      <c r="CZ93" s="60">
        <f t="shared" si="96"/>
        <v>145.34368562171613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-1.1368683772161603E-13</v>
      </c>
      <c r="DP93" s="18">
        <f>DO93*VLOOKUP('Données projet'!$B$14,Paramètres!$A$1:$I$89,3,0)*VLOOKUP('Données projet'!$B$14,Paramètres!$A$1:$I$89,5,0)</f>
        <v>-9.2222762759774927E-14</v>
      </c>
      <c r="DQ93" s="14" t="e">
        <f t="shared" si="97"/>
        <v>#NUM!</v>
      </c>
      <c r="DR93" s="22" t="e">
        <f t="shared" si="70"/>
        <v>#NUM!</v>
      </c>
      <c r="DS93" s="60" t="e">
        <f t="shared" si="71"/>
        <v>#NUM!</v>
      </c>
      <c r="DT93" s="60">
        <f ca="1">AVERAGE(OFFSET($DS$3,0,0,'Données projet'!$E$14+1,1))-AVERAGE(OFFSET($H$3,0,0,'Données projet'!$E$14+1,1))</f>
        <v>256.19915261735281</v>
      </c>
      <c r="DU93" s="60">
        <f t="shared" si="98"/>
        <v>297.47246687305056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800.94897376928998</v>
      </c>
      <c r="S94" s="60">
        <f ca="1">AVERAGE(OFFSET($R$3,0,0,'Données projet'!$E$9+1,1))-AVERAGE(OFFSET($H$3,0,0,'Données projet'!$E$9+1,1))</f>
        <v>428.8489304403459</v>
      </c>
      <c r="T94" s="60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1.8089849618263545E-13</v>
      </c>
      <c r="AK94" s="14">
        <f t="shared" si="89"/>
        <v>2.536422473342444E-12</v>
      </c>
      <c r="AL94" s="22">
        <f t="shared" si="58"/>
        <v>4.7326673552561798E-12</v>
      </c>
      <c r="AM94" s="60">
        <f t="shared" si="59"/>
        <v>293.33333333333803</v>
      </c>
      <c r="AN94" s="60">
        <f ca="1">AVERAGE(OFFSET($AM$3,0,0,'Données projet'!$E$10+1,1))-AVERAGE(OFFSET($H$3,0,0,'Données projet'!$E$10+1,1))</f>
        <v>299.28262372717484</v>
      </c>
      <c r="AO94" s="60">
        <f t="shared" si="90"/>
        <v>294.28794439094889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projet'!$B$11,Paramètres!$A$1:$I$89,3,0)*VLOOKUP('Données projet'!$B$11,Paramètres!$A$1:$I$89,5,0)</f>
        <v>1.6671037883497774E-13</v>
      </c>
      <c r="BF94" s="14">
        <f t="shared" si="91"/>
        <v>2.3598166018346595E-12</v>
      </c>
      <c r="BG94" s="22">
        <f t="shared" si="61"/>
        <v>4.400367824666284E-12</v>
      </c>
      <c r="BH94" s="60">
        <f t="shared" si="62"/>
        <v>293.33333333333769</v>
      </c>
      <c r="BI94" s="60">
        <f ca="1">AVERAGE(OFFSET($BH$3,0,0,'Données projet'!$E$11+1,1))-AVERAGE(OFFSET($H$3,0,0,'Données projet'!$E$11+1,1))</f>
        <v>278.61904724595763</v>
      </c>
      <c r="BJ94" s="60">
        <f t="shared" si="92"/>
        <v>274.55710362891892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0">
        <f t="shared" si="65"/>
        <v>293.33333333333582</v>
      </c>
      <c r="CD94" s="60">
        <f ca="1">AVERAGE(OFFSET($CC$3,0,0,'Données projet'!$E$12+1,1))-AVERAGE(OFFSET($H$3,0,0,'Données projet'!$E$12+1,1))</f>
        <v>292.57482726862594</v>
      </c>
      <c r="CE94" s="60">
        <f t="shared" si="94"/>
        <v>283.48738729114024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8.1410256410256405</v>
      </c>
      <c r="CT94" s="13">
        <f>IF('Données projet'!$A$140&gt;35,CT93+CS94-DB93,IF(A94&lt;'Données projet'!$A$140,$CQ$205^A94,IF(A94='Données projet'!$A$140,'Données projet'!$B$140,CT93+CS94-DB93)))</f>
        <v>332.56410256410209</v>
      </c>
      <c r="CU94" s="18">
        <f>CT94*VLOOKUP('Données projet'!$B$13,Paramètres!$A$1:$I$89,3,0)*VLOOKUP('Données projet'!$B$13,Paramètres!$A$1:$I$89,5,0)</f>
        <v>155.63999999999979</v>
      </c>
      <c r="CV94" s="14">
        <f t="shared" si="95"/>
        <v>39.857529549413819</v>
      </c>
      <c r="CW94" s="22">
        <f t="shared" si="67"/>
        <v>340.49153063189533</v>
      </c>
      <c r="CX94" s="60">
        <f t="shared" si="68"/>
        <v>633.82486396522859</v>
      </c>
      <c r="CY94" s="60">
        <f ca="1">AVERAGE(OFFSET($CX$3,0,0,'Données projet'!$E$13+1,1))-AVERAGE(OFFSET($H$3,0,0,'Données projet'!$E$13+1,1))</f>
        <v>246.64907095367749</v>
      </c>
      <c r="CZ94" s="60">
        <f t="shared" si="96"/>
        <v>145.34368562171613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-1.1368683772161603E-13</v>
      </c>
      <c r="DP94" s="18">
        <f>DO94*VLOOKUP('Données projet'!$B$14,Paramètres!$A$1:$I$89,3,0)*VLOOKUP('Données projet'!$B$14,Paramètres!$A$1:$I$89,5,0)</f>
        <v>-9.2222762759774927E-14</v>
      </c>
      <c r="DQ94" s="14" t="e">
        <f t="shared" si="97"/>
        <v>#NUM!</v>
      </c>
      <c r="DR94" s="22" t="e">
        <f t="shared" si="70"/>
        <v>#NUM!</v>
      </c>
      <c r="DS94" s="60" t="e">
        <f t="shared" si="71"/>
        <v>#NUM!</v>
      </c>
      <c r="DT94" s="60">
        <f ca="1">AVERAGE(OFFSET($DS$3,0,0,'Données projet'!$E$14+1,1))-AVERAGE(OFFSET($H$3,0,0,'Données projet'!$E$14+1,1))</f>
        <v>256.19915261735281</v>
      </c>
      <c r="DU94" s="60">
        <f t="shared" si="98"/>
        <v>297.47246687305056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810.33492368208931</v>
      </c>
      <c r="S95" s="60">
        <f ca="1">AVERAGE(OFFSET($R$3,0,0,'Données projet'!$E$9+1,1))-AVERAGE(OFFSET($H$3,0,0,'Données projet'!$E$9+1,1))</f>
        <v>428.8489304403459</v>
      </c>
      <c r="T95" s="60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1.8089849618263545E-13</v>
      </c>
      <c r="AK95" s="14">
        <f t="shared" si="89"/>
        <v>2.536422473342444E-12</v>
      </c>
      <c r="AL95" s="22">
        <f t="shared" si="58"/>
        <v>4.7326673552561798E-12</v>
      </c>
      <c r="AM95" s="60">
        <f t="shared" si="59"/>
        <v>293.33333333333803</v>
      </c>
      <c r="AN95" s="60">
        <f ca="1">AVERAGE(OFFSET($AM$3,0,0,'Données projet'!$E$10+1,1))-AVERAGE(OFFSET($H$3,0,0,'Données projet'!$E$10+1,1))</f>
        <v>299.28262372717484</v>
      </c>
      <c r="AO95" s="60">
        <f t="shared" si="90"/>
        <v>294.28794439094889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projet'!$B$11,Paramètres!$A$1:$I$89,3,0)*VLOOKUP('Données projet'!$B$11,Paramètres!$A$1:$I$89,5,0)</f>
        <v>1.6671037883497774E-13</v>
      </c>
      <c r="BF95" s="14">
        <f t="shared" si="91"/>
        <v>2.3598166018346595E-12</v>
      </c>
      <c r="BG95" s="22">
        <f t="shared" si="61"/>
        <v>4.400367824666284E-12</v>
      </c>
      <c r="BH95" s="60">
        <f t="shared" si="62"/>
        <v>293.33333333333769</v>
      </c>
      <c r="BI95" s="60">
        <f ca="1">AVERAGE(OFFSET($BH$3,0,0,'Données projet'!$E$11+1,1))-AVERAGE(OFFSET($H$3,0,0,'Données projet'!$E$11+1,1))</f>
        <v>278.61904724595763</v>
      </c>
      <c r="BJ95" s="60">
        <f t="shared" si="92"/>
        <v>274.55710362891892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0">
        <f t="shared" si="65"/>
        <v>293.33333333333582</v>
      </c>
      <c r="CD95" s="60">
        <f ca="1">AVERAGE(OFFSET($CC$3,0,0,'Données projet'!$E$12+1,1))-AVERAGE(OFFSET($H$3,0,0,'Données projet'!$E$12+1,1))</f>
        <v>292.57482726862594</v>
      </c>
      <c r="CE95" s="60">
        <f t="shared" si="94"/>
        <v>283.48738729114024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8.1410256410256405</v>
      </c>
      <c r="CT95" s="13">
        <f>IF('Données projet'!$A$140&gt;35,CT94+CS95-DB94,IF(A95&lt;'Données projet'!$A$140,$CQ$205^A95,IF(A95='Données projet'!$A$140,'Données projet'!$B$140,CT94+CS95-DB94)))</f>
        <v>340.70512820512772</v>
      </c>
      <c r="CU95" s="18">
        <f>CT95*VLOOKUP('Données projet'!$B$13,Paramètres!$A$1:$I$89,3,0)*VLOOKUP('Données projet'!$B$13,Paramètres!$A$1:$I$89,5,0)</f>
        <v>159.44999999999976</v>
      </c>
      <c r="CV95" s="14">
        <f t="shared" si="95"/>
        <v>40.718436521095953</v>
      </c>
      <c r="CW95" s="22">
        <f t="shared" si="67"/>
        <v>348.62669360757508</v>
      </c>
      <c r="CX95" s="60">
        <f t="shared" si="68"/>
        <v>641.96002694090839</v>
      </c>
      <c r="CY95" s="60">
        <f ca="1">AVERAGE(OFFSET($CX$3,0,0,'Données projet'!$E$13+1,1))-AVERAGE(OFFSET($H$3,0,0,'Données projet'!$E$13+1,1))</f>
        <v>246.64907095367749</v>
      </c>
      <c r="CZ95" s="60">
        <f t="shared" si="96"/>
        <v>145.34368562171613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-1.1368683772161603E-13</v>
      </c>
      <c r="DP95" s="18">
        <f>DO95*VLOOKUP('Données projet'!$B$14,Paramètres!$A$1:$I$89,3,0)*VLOOKUP('Données projet'!$B$14,Paramètres!$A$1:$I$89,5,0)</f>
        <v>-9.2222762759774927E-14</v>
      </c>
      <c r="DQ95" s="14" t="e">
        <f t="shared" si="97"/>
        <v>#NUM!</v>
      </c>
      <c r="DR95" s="22" t="e">
        <f t="shared" si="70"/>
        <v>#NUM!</v>
      </c>
      <c r="DS95" s="60" t="e">
        <f t="shared" si="71"/>
        <v>#NUM!</v>
      </c>
      <c r="DT95" s="60">
        <f ca="1">AVERAGE(OFFSET($DS$3,0,0,'Données projet'!$E$14+1,1))-AVERAGE(OFFSET($H$3,0,0,'Données projet'!$E$14+1,1))</f>
        <v>256.19915261735281</v>
      </c>
      <c r="DU95" s="60">
        <f t="shared" si="98"/>
        <v>297.47246687305056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819.71727903145597</v>
      </c>
      <c r="S96" s="60">
        <f ca="1">AVERAGE(OFFSET($R$3,0,0,'Données projet'!$E$9+1,1))-AVERAGE(OFFSET($H$3,0,0,'Données projet'!$E$9+1,1))</f>
        <v>428.8489304403459</v>
      </c>
      <c r="T96" s="60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1.8089849618263545E-13</v>
      </c>
      <c r="AK96" s="14">
        <f t="shared" si="89"/>
        <v>2.536422473342444E-12</v>
      </c>
      <c r="AL96" s="22">
        <f t="shared" si="58"/>
        <v>4.7326673552561798E-12</v>
      </c>
      <c r="AM96" s="60">
        <f t="shared" si="59"/>
        <v>293.33333333333803</v>
      </c>
      <c r="AN96" s="60">
        <f ca="1">AVERAGE(OFFSET($AM$3,0,0,'Données projet'!$E$10+1,1))-AVERAGE(OFFSET($H$3,0,0,'Données projet'!$E$10+1,1))</f>
        <v>299.28262372717484</v>
      </c>
      <c r="AO96" s="60">
        <f t="shared" si="90"/>
        <v>294.28794439094889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projet'!$B$11,Paramètres!$A$1:$I$89,3,0)*VLOOKUP('Données projet'!$B$11,Paramètres!$A$1:$I$89,5,0)</f>
        <v>1.6671037883497774E-13</v>
      </c>
      <c r="BF96" s="14">
        <f t="shared" si="91"/>
        <v>2.3598166018346595E-12</v>
      </c>
      <c r="BG96" s="22">
        <f t="shared" si="61"/>
        <v>4.400367824666284E-12</v>
      </c>
      <c r="BH96" s="60">
        <f t="shared" si="62"/>
        <v>293.33333333333769</v>
      </c>
      <c r="BI96" s="60">
        <f ca="1">AVERAGE(OFFSET($BH$3,0,0,'Données projet'!$E$11+1,1))-AVERAGE(OFFSET($H$3,0,0,'Données projet'!$E$11+1,1))</f>
        <v>278.61904724595763</v>
      </c>
      <c r="BJ96" s="60">
        <f t="shared" si="92"/>
        <v>274.55710362891892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0">
        <f t="shared" si="65"/>
        <v>293.33333333333582</v>
      </c>
      <c r="CD96" s="60">
        <f ca="1">AVERAGE(OFFSET($CC$3,0,0,'Données projet'!$E$12+1,1))-AVERAGE(OFFSET($H$3,0,0,'Données projet'!$E$12+1,1))</f>
        <v>292.57482726862594</v>
      </c>
      <c r="CE96" s="60">
        <f t="shared" si="94"/>
        <v>283.48738729114024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8.1410256410256405</v>
      </c>
      <c r="CT96" s="13">
        <f>IF('Données projet'!$A$140&gt;35,CT95+CS96-DB95,IF(A96&lt;'Données projet'!$A$140,$CQ$205^A96,IF(A96='Données projet'!$A$140,'Données projet'!$B$140,CT95+CS96-DB95)))</f>
        <v>348.84615384615336</v>
      </c>
      <c r="CU96" s="18">
        <f>CT96*VLOOKUP('Données projet'!$B$13,Paramètres!$A$1:$I$89,3,0)*VLOOKUP('Données projet'!$B$13,Paramètres!$A$1:$I$89,5,0)</f>
        <v>163.25999999999976</v>
      </c>
      <c r="CV96" s="14">
        <f t="shared" si="95"/>
        <v>41.576952107686338</v>
      </c>
      <c r="CW96" s="22">
        <f t="shared" si="67"/>
        <v>356.75769158755321</v>
      </c>
      <c r="CX96" s="60">
        <f t="shared" si="68"/>
        <v>650.09102492088653</v>
      </c>
      <c r="CY96" s="60">
        <f ca="1">AVERAGE(OFFSET($CX$3,0,0,'Données projet'!$E$13+1,1))-AVERAGE(OFFSET($H$3,0,0,'Données projet'!$E$13+1,1))</f>
        <v>246.64907095367749</v>
      </c>
      <c r="CZ96" s="60">
        <f t="shared" si="96"/>
        <v>145.34368562171613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-1.1368683772161603E-13</v>
      </c>
      <c r="DP96" s="18">
        <f>DO96*VLOOKUP('Données projet'!$B$14,Paramètres!$A$1:$I$89,3,0)*VLOOKUP('Données projet'!$B$14,Paramètres!$A$1:$I$89,5,0)</f>
        <v>-9.2222762759774927E-14</v>
      </c>
      <c r="DQ96" s="14" t="e">
        <f t="shared" si="97"/>
        <v>#NUM!</v>
      </c>
      <c r="DR96" s="22" t="e">
        <f t="shared" si="70"/>
        <v>#NUM!</v>
      </c>
      <c r="DS96" s="60" t="e">
        <f t="shared" si="71"/>
        <v>#NUM!</v>
      </c>
      <c r="DT96" s="60">
        <f ca="1">AVERAGE(OFFSET($DS$3,0,0,'Données projet'!$E$14+1,1))-AVERAGE(OFFSET($H$3,0,0,'Données projet'!$E$14+1,1))</f>
        <v>256.19915261735281</v>
      </c>
      <c r="DU96" s="60">
        <f t="shared" si="98"/>
        <v>297.47246687305056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829.09611292828231</v>
      </c>
      <c r="S97" s="60">
        <f ca="1">AVERAGE(OFFSET($R$3,0,0,'Données projet'!$E$9+1,1))-AVERAGE(OFFSET($H$3,0,0,'Données projet'!$E$9+1,1))</f>
        <v>428.8489304403459</v>
      </c>
      <c r="T97" s="60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1.8089849618263545E-13</v>
      </c>
      <c r="AK97" s="14">
        <f t="shared" si="89"/>
        <v>2.536422473342444E-12</v>
      </c>
      <c r="AL97" s="22">
        <f t="shared" si="58"/>
        <v>4.7326673552561798E-12</v>
      </c>
      <c r="AM97" s="60">
        <f t="shared" si="59"/>
        <v>293.33333333333803</v>
      </c>
      <c r="AN97" s="60">
        <f ca="1">AVERAGE(OFFSET($AM$3,0,0,'Données projet'!$E$10+1,1))-AVERAGE(OFFSET($H$3,0,0,'Données projet'!$E$10+1,1))</f>
        <v>299.28262372717484</v>
      </c>
      <c r="AO97" s="60">
        <f t="shared" si="90"/>
        <v>294.28794439094889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projet'!$B$11,Paramètres!$A$1:$I$89,3,0)*VLOOKUP('Données projet'!$B$11,Paramètres!$A$1:$I$89,5,0)</f>
        <v>1.6671037883497774E-13</v>
      </c>
      <c r="BF97" s="14">
        <f t="shared" si="91"/>
        <v>2.3598166018346595E-12</v>
      </c>
      <c r="BG97" s="22">
        <f t="shared" si="61"/>
        <v>4.400367824666284E-12</v>
      </c>
      <c r="BH97" s="60">
        <f t="shared" si="62"/>
        <v>293.33333333333769</v>
      </c>
      <c r="BI97" s="60">
        <f ca="1">AVERAGE(OFFSET($BH$3,0,0,'Données projet'!$E$11+1,1))-AVERAGE(OFFSET($H$3,0,0,'Données projet'!$E$11+1,1))</f>
        <v>278.61904724595763</v>
      </c>
      <c r="BJ97" s="60">
        <f t="shared" si="92"/>
        <v>274.55710362891892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0">
        <f t="shared" si="65"/>
        <v>293.33333333333582</v>
      </c>
      <c r="CD97" s="60">
        <f ca="1">AVERAGE(OFFSET($CC$3,0,0,'Données projet'!$E$12+1,1))-AVERAGE(OFFSET($H$3,0,0,'Données projet'!$E$12+1,1))</f>
        <v>292.57482726862594</v>
      </c>
      <c r="CE97" s="60">
        <f t="shared" si="94"/>
        <v>283.48738729114024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8.1410256410256405</v>
      </c>
      <c r="CT97" s="13">
        <f>IF('Données projet'!$A$140&gt;35,CT96+CS97-DB96,IF(A97&lt;'Données projet'!$A$140,$CQ$205^A97,IF(A97='Données projet'!$A$140,'Données projet'!$B$140,CT96+CS97-DB96)))</f>
        <v>356.98717948717899</v>
      </c>
      <c r="CU97" s="18">
        <f>CT97*VLOOKUP('Données projet'!$B$13,Paramètres!$A$1:$I$89,3,0)*VLOOKUP('Données projet'!$B$13,Paramètres!$A$1:$I$89,5,0)</f>
        <v>167.06999999999977</v>
      </c>
      <c r="CV97" s="14">
        <f t="shared" si="95"/>
        <v>42.433138539856941</v>
      </c>
      <c r="CW97" s="22">
        <f t="shared" si="67"/>
        <v>364.88463295691707</v>
      </c>
      <c r="CX97" s="60">
        <f t="shared" si="68"/>
        <v>658.21796629025039</v>
      </c>
      <c r="CY97" s="60">
        <f ca="1">AVERAGE(OFFSET($CX$3,0,0,'Données projet'!$E$13+1,1))-AVERAGE(OFFSET($H$3,0,0,'Données projet'!$E$13+1,1))</f>
        <v>246.64907095367749</v>
      </c>
      <c r="CZ97" s="60">
        <f t="shared" si="96"/>
        <v>145.34368562171613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-1.1368683772161603E-13</v>
      </c>
      <c r="DP97" s="18">
        <f>DO97*VLOOKUP('Données projet'!$B$14,Paramètres!$A$1:$I$89,3,0)*VLOOKUP('Données projet'!$B$14,Paramètres!$A$1:$I$89,5,0)</f>
        <v>-9.2222762759774927E-14</v>
      </c>
      <c r="DQ97" s="14" t="e">
        <f t="shared" si="97"/>
        <v>#NUM!</v>
      </c>
      <c r="DR97" s="22" t="e">
        <f t="shared" si="70"/>
        <v>#NUM!</v>
      </c>
      <c r="DS97" s="60" t="e">
        <f t="shared" si="71"/>
        <v>#NUM!</v>
      </c>
      <c r="DT97" s="60">
        <f ca="1">AVERAGE(OFFSET($DS$3,0,0,'Données projet'!$E$14+1,1))-AVERAGE(OFFSET($H$3,0,0,'Données projet'!$E$14+1,1))</f>
        <v>256.19915261735281</v>
      </c>
      <c r="DU97" s="60">
        <f t="shared" si="98"/>
        <v>297.47246687305056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838.4714957147562</v>
      </c>
      <c r="S98" s="60">
        <f ca="1">AVERAGE(OFFSET($R$3,0,0,'Données projet'!$E$9+1,1))-AVERAGE(OFFSET($H$3,0,0,'Données projet'!$E$9+1,1))</f>
        <v>428.8489304403459</v>
      </c>
      <c r="T98" s="60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1.8089849618263545E-13</v>
      </c>
      <c r="AK98" s="14">
        <f t="shared" si="89"/>
        <v>2.536422473342444E-12</v>
      </c>
      <c r="AL98" s="22">
        <f t="shared" si="58"/>
        <v>4.7326673552561798E-12</v>
      </c>
      <c r="AM98" s="60">
        <f t="shared" si="59"/>
        <v>293.33333333333803</v>
      </c>
      <c r="AN98" s="60">
        <f ca="1">AVERAGE(OFFSET($AM$3,0,0,'Données projet'!$E$10+1,1))-AVERAGE(OFFSET($H$3,0,0,'Données projet'!$E$10+1,1))</f>
        <v>299.28262372717484</v>
      </c>
      <c r="AO98" s="60">
        <f t="shared" si="90"/>
        <v>294.28794439094889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projet'!$B$11,Paramètres!$A$1:$I$89,3,0)*VLOOKUP('Données projet'!$B$11,Paramètres!$A$1:$I$89,5,0)</f>
        <v>1.6671037883497774E-13</v>
      </c>
      <c r="BF98" s="14">
        <f t="shared" si="91"/>
        <v>2.3598166018346595E-12</v>
      </c>
      <c r="BG98" s="22">
        <f t="shared" si="61"/>
        <v>4.400367824666284E-12</v>
      </c>
      <c r="BH98" s="60">
        <f t="shared" si="62"/>
        <v>293.33333333333769</v>
      </c>
      <c r="BI98" s="60">
        <f ca="1">AVERAGE(OFFSET($BH$3,0,0,'Données projet'!$E$11+1,1))-AVERAGE(OFFSET($H$3,0,0,'Données projet'!$E$11+1,1))</f>
        <v>278.61904724595763</v>
      </c>
      <c r="BJ98" s="60">
        <f t="shared" si="92"/>
        <v>274.55710362891892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0">
        <f t="shared" si="65"/>
        <v>293.33333333333582</v>
      </c>
      <c r="CD98" s="60">
        <f ca="1">AVERAGE(OFFSET($CC$3,0,0,'Données projet'!$E$12+1,1))-AVERAGE(OFFSET($H$3,0,0,'Données projet'!$E$12+1,1))</f>
        <v>292.57482726862594</v>
      </c>
      <c r="CE98" s="60">
        <f t="shared" si="94"/>
        <v>283.48738729114024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8.1410256410256405</v>
      </c>
      <c r="CT98" s="13">
        <f>IF('Données projet'!$A$140&gt;35,CT97+CS98-DB97,IF(A98&lt;'Données projet'!$A$140,$CQ$205^A98,IF(A98='Données projet'!$A$140,'Données projet'!$B$140,CT97+CS98-DB97)))</f>
        <v>365.12820512820463</v>
      </c>
      <c r="CU98" s="18">
        <f>CT98*VLOOKUP('Données projet'!$B$13,Paramètres!$A$1:$I$89,3,0)*VLOOKUP('Données projet'!$B$13,Paramètres!$A$1:$I$89,5,0)</f>
        <v>170.87999999999977</v>
      </c>
      <c r="CV98" s="14">
        <f t="shared" si="95"/>
        <v>43.287055047972629</v>
      </c>
      <c r="CW98" s="22">
        <f t="shared" si="67"/>
        <v>373.00762087521849</v>
      </c>
      <c r="CX98" s="60">
        <f t="shared" si="68"/>
        <v>666.34095420855181</v>
      </c>
      <c r="CY98" s="60">
        <f ca="1">AVERAGE(OFFSET($CX$3,0,0,'Données projet'!$E$13+1,1))-AVERAGE(OFFSET($H$3,0,0,'Données projet'!$E$13+1,1))</f>
        <v>246.64907095367749</v>
      </c>
      <c r="CZ98" s="60">
        <f t="shared" si="96"/>
        <v>145.34368562171613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-1.1368683772161603E-13</v>
      </c>
      <c r="DP98" s="18">
        <f>DO98*VLOOKUP('Données projet'!$B$14,Paramètres!$A$1:$I$89,3,0)*VLOOKUP('Données projet'!$B$14,Paramètres!$A$1:$I$89,5,0)</f>
        <v>-9.2222762759774927E-14</v>
      </c>
      <c r="DQ98" s="14" t="e">
        <f t="shared" si="97"/>
        <v>#NUM!</v>
      </c>
      <c r="DR98" s="22" t="e">
        <f t="shared" si="70"/>
        <v>#NUM!</v>
      </c>
      <c r="DS98" s="60" t="e">
        <f t="shared" si="71"/>
        <v>#NUM!</v>
      </c>
      <c r="DT98" s="60">
        <f ca="1">AVERAGE(OFFSET($DS$3,0,0,'Données projet'!$E$14+1,1))-AVERAGE(OFFSET($H$3,0,0,'Données projet'!$E$14+1,1))</f>
        <v>256.19915261735281</v>
      </c>
      <c r="DU98" s="60">
        <f t="shared" si="98"/>
        <v>297.47246687305056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847.84349511604591</v>
      </c>
      <c r="S99" s="60">
        <f ca="1">AVERAGE(OFFSET($R$3,0,0,'Données projet'!$E$9+1,1))-AVERAGE(OFFSET($H$3,0,0,'Données projet'!$E$9+1,1))</f>
        <v>428.8489304403459</v>
      </c>
      <c r="T99" s="60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1.8089849618263545E-13</v>
      </c>
      <c r="AK99" s="14">
        <f t="shared" si="89"/>
        <v>2.536422473342444E-12</v>
      </c>
      <c r="AL99" s="22">
        <f t="shared" si="58"/>
        <v>4.7326673552561798E-12</v>
      </c>
      <c r="AM99" s="60">
        <f t="shared" si="59"/>
        <v>293.33333333333803</v>
      </c>
      <c r="AN99" s="60">
        <f ca="1">AVERAGE(OFFSET($AM$3,0,0,'Données projet'!$E$10+1,1))-AVERAGE(OFFSET($H$3,0,0,'Données projet'!$E$10+1,1))</f>
        <v>299.28262372717484</v>
      </c>
      <c r="AO99" s="60">
        <f t="shared" si="90"/>
        <v>294.28794439094889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projet'!$B$11,Paramètres!$A$1:$I$89,3,0)*VLOOKUP('Données projet'!$B$11,Paramètres!$A$1:$I$89,5,0)</f>
        <v>1.6671037883497774E-13</v>
      </c>
      <c r="BF99" s="14">
        <f t="shared" si="91"/>
        <v>2.3598166018346595E-12</v>
      </c>
      <c r="BG99" s="22">
        <f t="shared" si="61"/>
        <v>4.400367824666284E-12</v>
      </c>
      <c r="BH99" s="60">
        <f t="shared" si="62"/>
        <v>293.33333333333769</v>
      </c>
      <c r="BI99" s="60">
        <f ca="1">AVERAGE(OFFSET($BH$3,0,0,'Données projet'!$E$11+1,1))-AVERAGE(OFFSET($H$3,0,0,'Données projet'!$E$11+1,1))</f>
        <v>278.61904724595763</v>
      </c>
      <c r="BJ99" s="60">
        <f t="shared" si="92"/>
        <v>274.55710362891892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0">
        <f t="shared" si="65"/>
        <v>293.33333333333582</v>
      </c>
      <c r="CD99" s="60">
        <f ca="1">AVERAGE(OFFSET($CC$3,0,0,'Données projet'!$E$12+1,1))-AVERAGE(OFFSET($H$3,0,0,'Données projet'!$E$12+1,1))</f>
        <v>292.57482726862594</v>
      </c>
      <c r="CE99" s="60">
        <f t="shared" si="94"/>
        <v>283.48738729114024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8.1410256410256405</v>
      </c>
      <c r="CT99" s="13">
        <f>IF('Données projet'!$A$140&gt;35,CT98+CS99-DB98,IF(A99&lt;'Données projet'!$A$140,$CQ$205^A99,IF(A99='Données projet'!$A$140,'Données projet'!$B$140,CT98+CS99-DB98)))</f>
        <v>373.26923076923026</v>
      </c>
      <c r="CU99" s="18">
        <f>CT99*VLOOKUP('Données projet'!$B$13,Paramètres!$A$1:$I$89,3,0)*VLOOKUP('Données projet'!$B$13,Paramètres!$A$1:$I$89,5,0)</f>
        <v>174.68999999999974</v>
      </c>
      <c r="CV99" s="14">
        <f t="shared" si="95"/>
        <v>44.138758070364624</v>
      </c>
      <c r="CW99" s="22">
        <f t="shared" si="67"/>
        <v>381.1267536392179</v>
      </c>
      <c r="CX99" s="60">
        <f t="shared" si="68"/>
        <v>674.46008697255115</v>
      </c>
      <c r="CY99" s="60">
        <f ca="1">AVERAGE(OFFSET($CX$3,0,0,'Données projet'!$E$13+1,1))-AVERAGE(OFFSET($H$3,0,0,'Données projet'!$E$13+1,1))</f>
        <v>246.64907095367749</v>
      </c>
      <c r="CZ99" s="60">
        <f t="shared" si="96"/>
        <v>145.34368562171613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-1.1368683772161603E-13</v>
      </c>
      <c r="DP99" s="18">
        <f>DO99*VLOOKUP('Données projet'!$B$14,Paramètres!$A$1:$I$89,3,0)*VLOOKUP('Données projet'!$B$14,Paramètres!$A$1:$I$89,5,0)</f>
        <v>-9.2222762759774927E-14</v>
      </c>
      <c r="DQ99" s="14" t="e">
        <f t="shared" si="97"/>
        <v>#NUM!</v>
      </c>
      <c r="DR99" s="22" t="e">
        <f t="shared" si="70"/>
        <v>#NUM!</v>
      </c>
      <c r="DS99" s="60" t="e">
        <f t="shared" si="71"/>
        <v>#NUM!</v>
      </c>
      <c r="DT99" s="60">
        <f ca="1">AVERAGE(OFFSET($DS$3,0,0,'Données projet'!$E$14+1,1))-AVERAGE(OFFSET($H$3,0,0,'Données projet'!$E$14+1,1))</f>
        <v>256.19915261735281</v>
      </c>
      <c r="DU99" s="60">
        <f t="shared" si="98"/>
        <v>297.47246687305056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857.21217638119901</v>
      </c>
      <c r="S100" s="60">
        <f ca="1">AVERAGE(OFFSET($R$3,0,0,'Données projet'!$E$9+1,1))-AVERAGE(OFFSET($H$3,0,0,'Données projet'!$E$9+1,1))</f>
        <v>428.8489304403459</v>
      </c>
      <c r="T100" s="60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1.8089849618263545E-13</v>
      </c>
      <c r="AK100" s="14">
        <f t="shared" si="89"/>
        <v>2.536422473342444E-12</v>
      </c>
      <c r="AL100" s="22">
        <f t="shared" si="58"/>
        <v>4.7326673552561798E-12</v>
      </c>
      <c r="AM100" s="60">
        <f t="shared" si="59"/>
        <v>293.33333333333803</v>
      </c>
      <c r="AN100" s="60">
        <f ca="1">AVERAGE(OFFSET($AM$3,0,0,'Données projet'!$E$10+1,1))-AVERAGE(OFFSET($H$3,0,0,'Données projet'!$E$10+1,1))</f>
        <v>299.28262372717484</v>
      </c>
      <c r="AO100" s="60">
        <f t="shared" si="90"/>
        <v>294.28794439094889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projet'!$B$11,Paramètres!$A$1:$I$89,3,0)*VLOOKUP('Données projet'!$B$11,Paramètres!$A$1:$I$89,5,0)</f>
        <v>1.6671037883497774E-13</v>
      </c>
      <c r="BF100" s="14">
        <f t="shared" si="91"/>
        <v>2.3598166018346595E-12</v>
      </c>
      <c r="BG100" s="22">
        <f t="shared" si="61"/>
        <v>4.400367824666284E-12</v>
      </c>
      <c r="BH100" s="60">
        <f t="shared" si="62"/>
        <v>293.33333333333769</v>
      </c>
      <c r="BI100" s="60">
        <f ca="1">AVERAGE(OFFSET($BH$3,0,0,'Données projet'!$E$11+1,1))-AVERAGE(OFFSET($H$3,0,0,'Données projet'!$E$11+1,1))</f>
        <v>278.61904724595763</v>
      </c>
      <c r="BJ100" s="60">
        <f t="shared" si="92"/>
        <v>274.55710362891892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0">
        <f t="shared" si="65"/>
        <v>293.33333333333582</v>
      </c>
      <c r="CD100" s="60">
        <f ca="1">AVERAGE(OFFSET($CC$3,0,0,'Données projet'!$E$12+1,1))-AVERAGE(OFFSET($H$3,0,0,'Données projet'!$E$12+1,1))</f>
        <v>292.57482726862594</v>
      </c>
      <c r="CE100" s="60">
        <f t="shared" si="94"/>
        <v>283.48738729114024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8.1410256410256405</v>
      </c>
      <c r="CT100" s="13">
        <f>IF('Données projet'!$A$140&gt;35,CT99+CS100-DB99,IF(A100&lt;'Données projet'!$A$140,$CQ$205^A100,IF(A100='Données projet'!$A$140,'Données projet'!$B$140,CT99+CS100-DB99)))</f>
        <v>381.4102564102559</v>
      </c>
      <c r="CU100" s="18">
        <f>CT100*VLOOKUP('Données projet'!$B$13,Paramètres!$A$1:$I$89,3,0)*VLOOKUP('Données projet'!$B$13,Paramètres!$A$1:$I$89,5,0)</f>
        <v>178.49999999999977</v>
      </c>
      <c r="CV100" s="14">
        <f t="shared" si="95"/>
        <v>44.988301442921504</v>
      </c>
      <c r="CW100" s="22">
        <f t="shared" si="67"/>
        <v>389.24212501308784</v>
      </c>
      <c r="CX100" s="60">
        <f t="shared" si="68"/>
        <v>682.5754583464211</v>
      </c>
      <c r="CY100" s="60">
        <f ca="1">AVERAGE(OFFSET($CX$3,0,0,'Données projet'!$E$13+1,1))-AVERAGE(OFFSET($H$3,0,0,'Données projet'!$E$13+1,1))</f>
        <v>246.64907095367749</v>
      </c>
      <c r="CZ100" s="60">
        <f t="shared" si="96"/>
        <v>145.34368562171613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-1.1368683772161603E-13</v>
      </c>
      <c r="DP100" s="18">
        <f>DO100*VLOOKUP('Données projet'!$B$14,Paramètres!$A$1:$I$89,3,0)*VLOOKUP('Données projet'!$B$14,Paramètres!$A$1:$I$89,5,0)</f>
        <v>-9.2222762759774927E-14</v>
      </c>
      <c r="DQ100" s="14" t="e">
        <f t="shared" si="97"/>
        <v>#NUM!</v>
      </c>
      <c r="DR100" s="22" t="e">
        <f t="shared" si="70"/>
        <v>#NUM!</v>
      </c>
      <c r="DS100" s="60" t="e">
        <f t="shared" si="71"/>
        <v>#NUM!</v>
      </c>
      <c r="DT100" s="60">
        <f ca="1">AVERAGE(OFFSET($DS$3,0,0,'Données projet'!$E$14+1,1))-AVERAGE(OFFSET($H$3,0,0,'Données projet'!$E$14+1,1))</f>
        <v>256.19915261735281</v>
      </c>
      <c r="DU100" s="60">
        <f t="shared" si="98"/>
        <v>297.47246687305056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866.57760241418919</v>
      </c>
      <c r="S101" s="60">
        <f ca="1">AVERAGE(OFFSET($R$3,0,0,'Données projet'!$E$9+1,1))-AVERAGE(OFFSET($H$3,0,0,'Données projet'!$E$9+1,1))</f>
        <v>428.8489304403459</v>
      </c>
      <c r="T101" s="60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1.8089849618263545E-13</v>
      </c>
      <c r="AK101" s="14">
        <f t="shared" si="89"/>
        <v>2.536422473342444E-12</v>
      </c>
      <c r="AL101" s="22">
        <f t="shared" si="58"/>
        <v>4.7326673552561798E-12</v>
      </c>
      <c r="AM101" s="60">
        <f t="shared" si="59"/>
        <v>293.33333333333803</v>
      </c>
      <c r="AN101" s="60">
        <f ca="1">AVERAGE(OFFSET($AM$3,0,0,'Données projet'!$E$10+1,1))-AVERAGE(OFFSET($H$3,0,0,'Données projet'!$E$10+1,1))</f>
        <v>299.28262372717484</v>
      </c>
      <c r="AO101" s="60">
        <f t="shared" si="90"/>
        <v>294.28794439094889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projet'!$B$11,Paramètres!$A$1:$I$89,3,0)*VLOOKUP('Données projet'!$B$11,Paramètres!$A$1:$I$89,5,0)</f>
        <v>1.6671037883497774E-13</v>
      </c>
      <c r="BF101" s="14">
        <f t="shared" si="91"/>
        <v>2.3598166018346595E-12</v>
      </c>
      <c r="BG101" s="22">
        <f t="shared" si="61"/>
        <v>4.400367824666284E-12</v>
      </c>
      <c r="BH101" s="60">
        <f t="shared" si="62"/>
        <v>293.33333333333769</v>
      </c>
      <c r="BI101" s="60">
        <f ca="1">AVERAGE(OFFSET($BH$3,0,0,'Données projet'!$E$11+1,1))-AVERAGE(OFFSET($H$3,0,0,'Données projet'!$E$11+1,1))</f>
        <v>278.61904724595763</v>
      </c>
      <c r="BJ101" s="60">
        <f t="shared" si="92"/>
        <v>274.55710362891892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0">
        <f t="shared" si="65"/>
        <v>293.33333333333582</v>
      </c>
      <c r="CD101" s="60">
        <f ca="1">AVERAGE(OFFSET($CC$3,0,0,'Données projet'!$E$12+1,1))-AVERAGE(OFFSET($H$3,0,0,'Données projet'!$E$12+1,1))</f>
        <v>292.57482726862594</v>
      </c>
      <c r="CE101" s="60">
        <f t="shared" si="94"/>
        <v>283.48738729114024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8.1410256410256405</v>
      </c>
      <c r="CT101" s="13">
        <f>IF('Données projet'!$A$140&gt;35,CT100+CS101-DB100,IF(A101&lt;'Données projet'!$A$140,$CQ$205^A101,IF(A101='Données projet'!$A$140,'Données projet'!$B$140,CT100+CS101-DB100)))</f>
        <v>389.55128205128153</v>
      </c>
      <c r="CU101" s="18">
        <f>CT101*VLOOKUP('Données projet'!$B$13,Paramètres!$A$1:$I$89,3,0)*VLOOKUP('Données projet'!$B$13,Paramètres!$A$1:$I$89,5,0)</f>
        <v>182.30999999999975</v>
      </c>
      <c r="CV101" s="14">
        <f t="shared" si="95"/>
        <v>45.835736572036403</v>
      </c>
      <c r="CW101" s="22">
        <f t="shared" si="67"/>
        <v>397.35382452962966</v>
      </c>
      <c r="CX101" s="60">
        <f t="shared" si="68"/>
        <v>690.68715786296298</v>
      </c>
      <c r="CY101" s="60">
        <f ca="1">AVERAGE(OFFSET($CX$3,0,0,'Données projet'!$E$13+1,1))-AVERAGE(OFFSET($H$3,0,0,'Données projet'!$E$13+1,1))</f>
        <v>246.64907095367749</v>
      </c>
      <c r="CZ101" s="60">
        <f t="shared" si="96"/>
        <v>145.34368562171613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-1.1368683772161603E-13</v>
      </c>
      <c r="DP101" s="18">
        <f>DO101*VLOOKUP('Données projet'!$B$14,Paramètres!$A$1:$I$89,3,0)*VLOOKUP('Données projet'!$B$14,Paramètres!$A$1:$I$89,5,0)</f>
        <v>-9.2222762759774927E-14</v>
      </c>
      <c r="DQ101" s="14" t="e">
        <f t="shared" si="97"/>
        <v>#NUM!</v>
      </c>
      <c r="DR101" s="22" t="e">
        <f t="shared" si="70"/>
        <v>#NUM!</v>
      </c>
      <c r="DS101" s="60" t="e">
        <f t="shared" si="71"/>
        <v>#NUM!</v>
      </c>
      <c r="DT101" s="60">
        <f ca="1">AVERAGE(OFFSET($DS$3,0,0,'Données projet'!$E$14+1,1))-AVERAGE(OFFSET($H$3,0,0,'Données projet'!$E$14+1,1))</f>
        <v>256.19915261735281</v>
      </c>
      <c r="DU101" s="60">
        <f t="shared" si="98"/>
        <v>297.47246687305056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875.93983389595746</v>
      </c>
      <c r="S102" s="60">
        <f ca="1">AVERAGE(OFFSET($R$3,0,0,'Données projet'!$E$9+1,1))-AVERAGE(OFFSET($H$3,0,0,'Données projet'!$E$9+1,1))</f>
        <v>428.8489304403459</v>
      </c>
      <c r="T102" s="60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1.8089849618263545E-13</v>
      </c>
      <c r="AK102" s="14">
        <f t="shared" si="89"/>
        <v>2.536422473342444E-12</v>
      </c>
      <c r="AL102" s="22">
        <f t="shared" si="58"/>
        <v>4.7326673552561798E-12</v>
      </c>
      <c r="AM102" s="60">
        <f t="shared" si="59"/>
        <v>293.33333333333803</v>
      </c>
      <c r="AN102" s="60">
        <f ca="1">AVERAGE(OFFSET($AM$3,0,0,'Données projet'!$E$10+1,1))-AVERAGE(OFFSET($H$3,0,0,'Données projet'!$E$10+1,1))</f>
        <v>299.28262372717484</v>
      </c>
      <c r="AO102" s="60">
        <f t="shared" si="90"/>
        <v>294.28794439094889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projet'!$B$11,Paramètres!$A$1:$I$89,3,0)*VLOOKUP('Données projet'!$B$11,Paramètres!$A$1:$I$89,5,0)</f>
        <v>1.6671037883497774E-13</v>
      </c>
      <c r="BF102" s="14">
        <f t="shared" si="91"/>
        <v>2.3598166018346595E-12</v>
      </c>
      <c r="BG102" s="22">
        <f t="shared" si="61"/>
        <v>4.400367824666284E-12</v>
      </c>
      <c r="BH102" s="60">
        <f t="shared" si="62"/>
        <v>293.33333333333769</v>
      </c>
      <c r="BI102" s="60">
        <f ca="1">AVERAGE(OFFSET($BH$3,0,0,'Données projet'!$E$11+1,1))-AVERAGE(OFFSET($H$3,0,0,'Données projet'!$E$11+1,1))</f>
        <v>278.61904724595763</v>
      </c>
      <c r="BJ102" s="60">
        <f t="shared" si="92"/>
        <v>274.55710362891892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0">
        <f t="shared" si="65"/>
        <v>293.33333333333582</v>
      </c>
      <c r="CD102" s="60">
        <f ca="1">AVERAGE(OFFSET($CC$3,0,0,'Données projet'!$E$12+1,1))-AVERAGE(OFFSET($H$3,0,0,'Données projet'!$E$12+1,1))</f>
        <v>292.57482726862594</v>
      </c>
      <c r="CE102" s="60">
        <f t="shared" si="94"/>
        <v>283.48738729114024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>
        <f>VLOOKUP(A102,'Données projet'!$A$139:$I$159,2,0)</f>
        <v>397.69230769230768</v>
      </c>
      <c r="CR102" s="13">
        <f>VLOOKUP(A102,'Données projet'!$A$139:$I$159,9,0)</f>
        <v>8.1410256410256405</v>
      </c>
      <c r="CS102" s="13">
        <f t="array" ref="CS102">INDEX(CR:CR,MIN(IF(ISNUMBER(CR102:CR298),ROW(CR102:CR298),"")))</f>
        <v>8.1410256410256405</v>
      </c>
      <c r="CT102" s="13">
        <f>IF('Données projet'!$A$140&gt;35,CT101+CS102-DB101,IF(A102&lt;'Données projet'!$A$140,$CQ$205^A102,IF(A102='Données projet'!$A$140,'Données projet'!$B$140,CT101+CS102-DB101)))</f>
        <v>397.69230769230717</v>
      </c>
      <c r="CU102" s="18">
        <f>CT102*VLOOKUP('Données projet'!$B$13,Paramètres!$A$1:$I$89,3,0)*VLOOKUP('Données projet'!$B$13,Paramètres!$A$1:$I$89,5,0)</f>
        <v>186.11999999999975</v>
      </c>
      <c r="CV102" s="14">
        <f t="shared" si="95"/>
        <v>46.681112592689374</v>
      </c>
      <c r="CW102" s="22">
        <f t="shared" si="67"/>
        <v>405.46193776560017</v>
      </c>
      <c r="CX102" s="60">
        <f t="shared" si="68"/>
        <v>698.79527109893343</v>
      </c>
      <c r="CY102" s="60">
        <f ca="1">AVERAGE(OFFSET($CX$3,0,0,'Données projet'!$E$13+1,1))-AVERAGE(OFFSET($H$3,0,0,'Données projet'!$E$13+1,1))</f>
        <v>246.64907095367749</v>
      </c>
      <c r="CZ102" s="60">
        <f t="shared" si="96"/>
        <v>145.34368562171613</v>
      </c>
      <c r="DA102" s="16">
        <f>IF(ISNA(VLOOKUP(A102,'Données projet'!$A$139:$I$159,3,0)),0,VLOOKUP(A102,'Données projet'!$A$139:$I$159,3,0))</f>
        <v>5</v>
      </c>
      <c r="DB102" s="16">
        <f>IF(ISNA(VLOOKUP(A102,'Données projet'!$A$139:$I$159,4,0)),0,VLOOKUP(A102,'Données projet'!$A$139:$I$159,4,0))</f>
        <v>198.46153846153845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-1.1368683772161603E-13</v>
      </c>
      <c r="DP102" s="18">
        <f>DO102*VLOOKUP('Données projet'!$B$14,Paramètres!$A$1:$I$89,3,0)*VLOOKUP('Données projet'!$B$14,Paramètres!$A$1:$I$89,5,0)</f>
        <v>-9.2222762759774927E-14</v>
      </c>
      <c r="DQ102" s="14" t="e">
        <f t="shared" si="97"/>
        <v>#NUM!</v>
      </c>
      <c r="DR102" s="22" t="e">
        <f t="shared" si="70"/>
        <v>#NUM!</v>
      </c>
      <c r="DS102" s="60" t="e">
        <f t="shared" si="71"/>
        <v>#NUM!</v>
      </c>
      <c r="DT102" s="60">
        <f ca="1">AVERAGE(OFFSET($DS$3,0,0,'Données projet'!$E$14+1,1))-AVERAGE(OFFSET($H$3,0,0,'Données projet'!$E$14+1,1))</f>
        <v>256.19915261735281</v>
      </c>
      <c r="DU102" s="60">
        <f t="shared" si="98"/>
        <v>297.47246687305056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885.29892939819797</v>
      </c>
      <c r="S103" s="60">
        <f ca="1">AVERAGE(OFFSET($R$3,0,0,'Données projet'!$E$9+1,1))-AVERAGE(OFFSET($H$3,0,0,'Données projet'!$E$9+1,1))</f>
        <v>428.8489304403459</v>
      </c>
      <c r="T103" s="60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1.8089849618263545E-13</v>
      </c>
      <c r="AK103" s="14">
        <f t="shared" si="89"/>
        <v>2.536422473342444E-12</v>
      </c>
      <c r="AL103" s="22">
        <f t="shared" si="58"/>
        <v>4.7326673552561798E-12</v>
      </c>
      <c r="AM103" s="60">
        <f t="shared" si="59"/>
        <v>293.33333333333803</v>
      </c>
      <c r="AN103" s="60">
        <f ca="1">AVERAGE(OFFSET($AM$3,0,0,'Données projet'!$E$10+1,1))-AVERAGE(OFFSET($H$3,0,0,'Données projet'!$E$10+1,1))</f>
        <v>299.28262372717484</v>
      </c>
      <c r="AO103" s="60">
        <f t="shared" si="90"/>
        <v>294.28794439094889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projet'!$B$11,Paramètres!$A$1:$I$89,3,0)*VLOOKUP('Données projet'!$B$11,Paramètres!$A$1:$I$89,5,0)</f>
        <v>1.6671037883497774E-13</v>
      </c>
      <c r="BF103" s="14">
        <f t="shared" si="91"/>
        <v>2.3598166018346595E-12</v>
      </c>
      <c r="BG103" s="22">
        <f t="shared" si="61"/>
        <v>4.400367824666284E-12</v>
      </c>
      <c r="BH103" s="60">
        <f t="shared" si="62"/>
        <v>293.33333333333769</v>
      </c>
      <c r="BI103" s="60">
        <f ca="1">AVERAGE(OFFSET($BH$3,0,0,'Données projet'!$E$11+1,1))-AVERAGE(OFFSET($H$3,0,0,'Données projet'!$E$11+1,1))</f>
        <v>278.61904724595763</v>
      </c>
      <c r="BJ103" s="60">
        <f t="shared" si="92"/>
        <v>274.55710362891892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0">
        <f t="shared" si="65"/>
        <v>293.33333333333582</v>
      </c>
      <c r="CD103" s="60">
        <f ca="1">AVERAGE(OFFSET($CC$3,0,0,'Données projet'!$E$12+1,1))-AVERAGE(OFFSET($H$3,0,0,'Données projet'!$E$12+1,1))</f>
        <v>292.57482726862594</v>
      </c>
      <c r="CE103" s="60">
        <f t="shared" si="94"/>
        <v>283.48738729114024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5.6923076923076907</v>
      </c>
      <c r="CT103" s="13">
        <f>IF('Données projet'!$A$140&gt;35,CT102+CS103-DB102,IF(A103&lt;'Données projet'!$A$140,$CQ$205^A103,IF(A103='Données projet'!$A$140,'Données projet'!$B$140,CT102+CS103-DB102)))</f>
        <v>204.92307692307639</v>
      </c>
      <c r="CU103" s="18">
        <f>CT103*VLOOKUP('Données projet'!$B$13,Paramètres!$A$1:$I$89,3,0)*VLOOKUP('Données projet'!$B$13,Paramètres!$A$1:$I$89,5,0)</f>
        <v>95.903999999999741</v>
      </c>
      <c r="CV103" s="14">
        <f t="shared" si="95"/>
        <v>25.983819565312803</v>
      </c>
      <c r="CW103" s="22">
        <f t="shared" si="67"/>
        <v>212.28795240958598</v>
      </c>
      <c r="CX103" s="60">
        <f t="shared" si="68"/>
        <v>505.62128574291933</v>
      </c>
      <c r="CY103" s="60">
        <f ca="1">AVERAGE(OFFSET($CX$3,0,0,'Données projet'!$E$13+1,1))-AVERAGE(OFFSET($H$3,0,0,'Données projet'!$E$13+1,1))</f>
        <v>246.64907095367749</v>
      </c>
      <c r="CZ103" s="60">
        <f t="shared" si="96"/>
        <v>145.34368562171613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-1.1368683772161603E-13</v>
      </c>
      <c r="DP103" s="18">
        <f>DO103*VLOOKUP('Données projet'!$B$14,Paramètres!$A$1:$I$89,3,0)*VLOOKUP('Données projet'!$B$14,Paramètres!$A$1:$I$89,5,0)</f>
        <v>-9.2222762759774927E-14</v>
      </c>
      <c r="DQ103" s="14" t="e">
        <f t="shared" si="97"/>
        <v>#NUM!</v>
      </c>
      <c r="DR103" s="22" t="e">
        <f t="shared" si="70"/>
        <v>#NUM!</v>
      </c>
      <c r="DS103" s="60" t="e">
        <f t="shared" si="71"/>
        <v>#NUM!</v>
      </c>
      <c r="DT103" s="60">
        <f ca="1">AVERAGE(OFFSET($DS$3,0,0,'Données projet'!$E$14+1,1))-AVERAGE(OFFSET($H$3,0,0,'Données projet'!$E$14+1,1))</f>
        <v>256.19915261735281</v>
      </c>
      <c r="DU103" s="60">
        <f t="shared" si="98"/>
        <v>297.47246687305056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813.3989415432759</v>
      </c>
      <c r="S104" s="60">
        <f ca="1">AVERAGE(OFFSET($R$3,0,0,'Données projet'!$E$9+1,1))-AVERAGE(OFFSET($H$3,0,0,'Données projet'!$E$9+1,1))</f>
        <v>428.8489304403459</v>
      </c>
      <c r="T104" s="60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1.8089849618263545E-13</v>
      </c>
      <c r="AK104" s="14">
        <f t="shared" si="89"/>
        <v>2.536422473342444E-12</v>
      </c>
      <c r="AL104" s="22">
        <f t="shared" si="58"/>
        <v>4.7326673552561798E-12</v>
      </c>
      <c r="AM104" s="60">
        <f t="shared" si="59"/>
        <v>293.33333333333803</v>
      </c>
      <c r="AN104" s="60">
        <f ca="1">AVERAGE(OFFSET($AM$3,0,0,'Données projet'!$E$10+1,1))-AVERAGE(OFFSET($H$3,0,0,'Données projet'!$E$10+1,1))</f>
        <v>299.28262372717484</v>
      </c>
      <c r="AO104" s="60">
        <f t="shared" si="90"/>
        <v>294.28794439094889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projet'!$B$11,Paramètres!$A$1:$I$89,3,0)*VLOOKUP('Données projet'!$B$11,Paramètres!$A$1:$I$89,5,0)</f>
        <v>1.6671037883497774E-13</v>
      </c>
      <c r="BF104" s="14">
        <f t="shared" si="91"/>
        <v>2.3598166018346595E-12</v>
      </c>
      <c r="BG104" s="22">
        <f t="shared" si="61"/>
        <v>4.400367824666284E-12</v>
      </c>
      <c r="BH104" s="60">
        <f t="shared" si="62"/>
        <v>293.33333333333769</v>
      </c>
      <c r="BI104" s="60">
        <f ca="1">AVERAGE(OFFSET($BH$3,0,0,'Données projet'!$E$11+1,1))-AVERAGE(OFFSET($H$3,0,0,'Données projet'!$E$11+1,1))</f>
        <v>278.61904724595763</v>
      </c>
      <c r="BJ104" s="60">
        <f t="shared" si="92"/>
        <v>274.55710362891892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0">
        <f t="shared" si="65"/>
        <v>293.33333333333582</v>
      </c>
      <c r="CD104" s="60">
        <f ca="1">AVERAGE(OFFSET($CC$3,0,0,'Données projet'!$E$12+1,1))-AVERAGE(OFFSET($H$3,0,0,'Données projet'!$E$12+1,1))</f>
        <v>292.57482726862594</v>
      </c>
      <c r="CE104" s="60">
        <f t="shared" si="94"/>
        <v>283.48738729114024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5.6923076923076907</v>
      </c>
      <c r="CT104" s="13">
        <f>IF('Données projet'!$A$140&gt;35,CT103+CS104-DB103,IF(A104&lt;'Données projet'!$A$140,$CQ$205^A104,IF(A104='Données projet'!$A$140,'Données projet'!$B$140,CT103+CS104-DB103)))</f>
        <v>210.61538461538407</v>
      </c>
      <c r="CU104" s="18">
        <f>CT104*VLOOKUP('Données projet'!$B$13,Paramètres!$A$1:$I$89,3,0)*VLOOKUP('Données projet'!$B$13,Paramètres!$A$1:$I$89,5,0)</f>
        <v>98.567999999999756</v>
      </c>
      <c r="CV104" s="14">
        <f t="shared" si="95"/>
        <v>26.620557442262673</v>
      </c>
      <c r="CW104" s="22">
        <f t="shared" si="67"/>
        <v>218.03673754527372</v>
      </c>
      <c r="CX104" s="60">
        <f t="shared" si="68"/>
        <v>511.37007087860707</v>
      </c>
      <c r="CY104" s="60">
        <f ca="1">AVERAGE(OFFSET($CX$3,0,0,'Données projet'!$E$13+1,1))-AVERAGE(OFFSET($H$3,0,0,'Données projet'!$E$13+1,1))</f>
        <v>246.64907095367749</v>
      </c>
      <c r="CZ104" s="60">
        <f t="shared" si="96"/>
        <v>145.34368562171613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-9.2222762759774927E-14</v>
      </c>
      <c r="DQ104" s="14" t="e">
        <f t="shared" si="97"/>
        <v>#NUM!</v>
      </c>
      <c r="DR104" s="22" t="e">
        <f t="shared" si="70"/>
        <v>#NUM!</v>
      </c>
      <c r="DS104" s="60" t="e">
        <f t="shared" si="71"/>
        <v>#NUM!</v>
      </c>
      <c r="DT104" s="60">
        <f ca="1">AVERAGE(OFFSET($DS$3,0,0,'Données projet'!$E$14+1,1))-AVERAGE(OFFSET($H$3,0,0,'Données projet'!$E$14+1,1))</f>
        <v>256.19915261735281</v>
      </c>
      <c r="DU104" s="60">
        <f t="shared" si="98"/>
        <v>297.47246687305056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821.82303552922986</v>
      </c>
      <c r="S105" s="60">
        <f ca="1">AVERAGE(OFFSET($R$3,0,0,'Données projet'!$E$9+1,1))-AVERAGE(OFFSET($H$3,0,0,'Données projet'!$E$9+1,1))</f>
        <v>428.8489304403459</v>
      </c>
      <c r="T105" s="60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1.8089849618263545E-13</v>
      </c>
      <c r="AK105" s="14">
        <f t="shared" si="89"/>
        <v>2.536422473342444E-12</v>
      </c>
      <c r="AL105" s="22">
        <f t="shared" si="58"/>
        <v>4.7326673552561798E-12</v>
      </c>
      <c r="AM105" s="60">
        <f t="shared" si="59"/>
        <v>293.33333333333803</v>
      </c>
      <c r="AN105" s="60">
        <f ca="1">AVERAGE(OFFSET($AM$3,0,0,'Données projet'!$E$10+1,1))-AVERAGE(OFFSET($H$3,0,0,'Données projet'!$E$10+1,1))</f>
        <v>299.28262372717484</v>
      </c>
      <c r="AO105" s="60">
        <f t="shared" si="90"/>
        <v>294.28794439094889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projet'!$B$11,Paramètres!$A$1:$I$89,3,0)*VLOOKUP('Données projet'!$B$11,Paramètres!$A$1:$I$89,5,0)</f>
        <v>1.6671037883497774E-13</v>
      </c>
      <c r="BF105" s="14">
        <f t="shared" si="91"/>
        <v>2.3598166018346595E-12</v>
      </c>
      <c r="BG105" s="22">
        <f t="shared" si="61"/>
        <v>4.400367824666284E-12</v>
      </c>
      <c r="BH105" s="60">
        <f t="shared" si="62"/>
        <v>293.33333333333769</v>
      </c>
      <c r="BI105" s="60">
        <f ca="1">AVERAGE(OFFSET($BH$3,0,0,'Données projet'!$E$11+1,1))-AVERAGE(OFFSET($H$3,0,0,'Données projet'!$E$11+1,1))</f>
        <v>278.61904724595763</v>
      </c>
      <c r="BJ105" s="60">
        <f t="shared" si="92"/>
        <v>274.55710362891892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0">
        <f t="shared" si="65"/>
        <v>293.33333333333582</v>
      </c>
      <c r="CD105" s="60">
        <f ca="1">AVERAGE(OFFSET($CC$3,0,0,'Données projet'!$E$12+1,1))-AVERAGE(OFFSET($H$3,0,0,'Données projet'!$E$12+1,1))</f>
        <v>292.57482726862594</v>
      </c>
      <c r="CE105" s="60">
        <f t="shared" si="94"/>
        <v>283.48738729114024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5.6923076923076907</v>
      </c>
      <c r="CT105" s="13">
        <f>IF('Données projet'!$A$140&gt;35,CT104+CS105-DB104,IF(A105&lt;'Données projet'!$A$140,$CQ$205^A105,IF(A105='Données projet'!$A$140,'Données projet'!$B$140,CT104+CS105-DB104)))</f>
        <v>216.30769230769175</v>
      </c>
      <c r="CU105" s="18">
        <f>CT105*VLOOKUP('Données projet'!$B$13,Paramètres!$A$1:$I$89,3,0)*VLOOKUP('Données projet'!$B$13,Paramètres!$A$1:$I$89,5,0)</f>
        <v>101.23199999999974</v>
      </c>
      <c r="CV105" s="14">
        <f t="shared" si="95"/>
        <v>27.255295066527388</v>
      </c>
      <c r="CW105" s="22">
        <f t="shared" si="67"/>
        <v>223.78203890753477</v>
      </c>
      <c r="CX105" s="60">
        <f t="shared" si="68"/>
        <v>517.11537224086806</v>
      </c>
      <c r="CY105" s="60">
        <f ca="1">AVERAGE(OFFSET($CX$3,0,0,'Données projet'!$E$13+1,1))-AVERAGE(OFFSET($H$3,0,0,'Données projet'!$E$13+1,1))</f>
        <v>246.64907095367749</v>
      </c>
      <c r="CZ105" s="60">
        <f t="shared" si="96"/>
        <v>145.34368562171613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-9.2222762759774927E-14</v>
      </c>
      <c r="DQ105" s="14" t="e">
        <f t="shared" si="97"/>
        <v>#NUM!</v>
      </c>
      <c r="DR105" s="22" t="e">
        <f t="shared" si="70"/>
        <v>#NUM!</v>
      </c>
      <c r="DS105" s="60" t="e">
        <f t="shared" si="71"/>
        <v>#NUM!</v>
      </c>
      <c r="DT105" s="60">
        <f ca="1">AVERAGE(OFFSET($DS$3,0,0,'Données projet'!$E$14+1,1))-AVERAGE(OFFSET($H$3,0,0,'Données projet'!$E$14+1,1))</f>
        <v>256.19915261735281</v>
      </c>
      <c r="DU105" s="60">
        <f t="shared" si="98"/>
        <v>297.47246687305056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830.24430301815983</v>
      </c>
      <c r="S106" s="60">
        <f ca="1">AVERAGE(OFFSET($R$3,0,0,'Données projet'!$E$9+1,1))-AVERAGE(OFFSET($H$3,0,0,'Données projet'!$E$9+1,1))</f>
        <v>428.8489304403459</v>
      </c>
      <c r="T106" s="60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1.8089849618263545E-13</v>
      </c>
      <c r="AK106" s="14">
        <f t="shared" si="89"/>
        <v>2.536422473342444E-12</v>
      </c>
      <c r="AL106" s="22">
        <f t="shared" si="58"/>
        <v>4.7326673552561798E-12</v>
      </c>
      <c r="AM106" s="60">
        <f t="shared" si="59"/>
        <v>293.33333333333803</v>
      </c>
      <c r="AN106" s="60">
        <f ca="1">AVERAGE(OFFSET($AM$3,0,0,'Données projet'!$E$10+1,1))-AVERAGE(OFFSET($H$3,0,0,'Données projet'!$E$10+1,1))</f>
        <v>299.28262372717484</v>
      </c>
      <c r="AO106" s="60">
        <f t="shared" si="90"/>
        <v>294.28794439094889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projet'!$B$11,Paramètres!$A$1:$I$89,3,0)*VLOOKUP('Données projet'!$B$11,Paramètres!$A$1:$I$89,5,0)</f>
        <v>1.6671037883497774E-13</v>
      </c>
      <c r="BF106" s="14">
        <f t="shared" si="91"/>
        <v>2.3598166018346595E-12</v>
      </c>
      <c r="BG106" s="22">
        <f t="shared" si="61"/>
        <v>4.400367824666284E-12</v>
      </c>
      <c r="BH106" s="60">
        <f t="shared" si="62"/>
        <v>293.33333333333769</v>
      </c>
      <c r="BI106" s="60">
        <f ca="1">AVERAGE(OFFSET($BH$3,0,0,'Données projet'!$E$11+1,1))-AVERAGE(OFFSET($H$3,0,0,'Données projet'!$E$11+1,1))</f>
        <v>278.61904724595763</v>
      </c>
      <c r="BJ106" s="60">
        <f t="shared" si="92"/>
        <v>274.55710362891892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0">
        <f t="shared" si="65"/>
        <v>293.33333333333582</v>
      </c>
      <c r="CD106" s="60">
        <f ca="1">AVERAGE(OFFSET($CC$3,0,0,'Données projet'!$E$12+1,1))-AVERAGE(OFFSET($H$3,0,0,'Données projet'!$E$12+1,1))</f>
        <v>292.57482726862594</v>
      </c>
      <c r="CE106" s="60">
        <f t="shared" si="94"/>
        <v>283.48738729114024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5.6923076923076907</v>
      </c>
      <c r="CT106" s="13">
        <f>IF('Données projet'!$A$140&gt;35,CT105+CS106-DB105,IF(A106&lt;'Données projet'!$A$140,$CQ$205^A106,IF(A106='Données projet'!$A$140,'Données projet'!$B$140,CT105+CS106-DB105)))</f>
        <v>221.99999999999943</v>
      </c>
      <c r="CU106" s="18">
        <f>CT106*VLOOKUP('Données projet'!$B$13,Paramètres!$A$1:$I$89,3,0)*VLOOKUP('Données projet'!$B$13,Paramètres!$A$1:$I$89,5,0)</f>
        <v>103.89599999999973</v>
      </c>
      <c r="CV106" s="14">
        <f t="shared" si="95"/>
        <v>27.888091127225749</v>
      </c>
      <c r="CW106" s="22">
        <f t="shared" si="67"/>
        <v>229.52395871325101</v>
      </c>
      <c r="CX106" s="60">
        <f t="shared" si="68"/>
        <v>522.85729204658435</v>
      </c>
      <c r="CY106" s="60">
        <f ca="1">AVERAGE(OFFSET($CX$3,0,0,'Données projet'!$E$13+1,1))-AVERAGE(OFFSET($H$3,0,0,'Données projet'!$E$13+1,1))</f>
        <v>246.64907095367749</v>
      </c>
      <c r="CZ106" s="60">
        <f t="shared" si="96"/>
        <v>145.34368562171613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-9.2222762759774927E-14</v>
      </c>
      <c r="DQ106" s="14" t="e">
        <f t="shared" si="97"/>
        <v>#NUM!</v>
      </c>
      <c r="DR106" s="22" t="e">
        <f t="shared" si="70"/>
        <v>#NUM!</v>
      </c>
      <c r="DS106" s="60" t="e">
        <f t="shared" si="71"/>
        <v>#NUM!</v>
      </c>
      <c r="DT106" s="60">
        <f ca="1">AVERAGE(OFFSET($DS$3,0,0,'Données projet'!$E$14+1,1))-AVERAGE(OFFSET($H$3,0,0,'Données projet'!$E$14+1,1))</f>
        <v>256.19915261735281</v>
      </c>
      <c r="DU106" s="60">
        <f t="shared" si="98"/>
        <v>297.47246687305056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838.6627946025028</v>
      </c>
      <c r="S107" s="60">
        <f ca="1">AVERAGE(OFFSET($R$3,0,0,'Données projet'!$E$9+1,1))-AVERAGE(OFFSET($H$3,0,0,'Données projet'!$E$9+1,1))</f>
        <v>428.8489304403459</v>
      </c>
      <c r="T107" s="60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1.8089849618263545E-13</v>
      </c>
      <c r="AK107" s="14">
        <f t="shared" si="89"/>
        <v>2.536422473342444E-12</v>
      </c>
      <c r="AL107" s="22">
        <f t="shared" si="58"/>
        <v>4.7326673552561798E-12</v>
      </c>
      <c r="AM107" s="60">
        <f t="shared" si="59"/>
        <v>293.33333333333803</v>
      </c>
      <c r="AN107" s="60">
        <f ca="1">AVERAGE(OFFSET($AM$3,0,0,'Données projet'!$E$10+1,1))-AVERAGE(OFFSET($H$3,0,0,'Données projet'!$E$10+1,1))</f>
        <v>299.28262372717484</v>
      </c>
      <c r="AO107" s="60">
        <f t="shared" si="90"/>
        <v>294.28794439094889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projet'!$B$11,Paramètres!$A$1:$I$89,3,0)*VLOOKUP('Données projet'!$B$11,Paramètres!$A$1:$I$89,5,0)</f>
        <v>1.6671037883497774E-13</v>
      </c>
      <c r="BF107" s="14">
        <f t="shared" si="91"/>
        <v>2.3598166018346595E-12</v>
      </c>
      <c r="BG107" s="22">
        <f t="shared" si="61"/>
        <v>4.400367824666284E-12</v>
      </c>
      <c r="BH107" s="60">
        <f t="shared" si="62"/>
        <v>293.33333333333769</v>
      </c>
      <c r="BI107" s="60">
        <f ca="1">AVERAGE(OFFSET($BH$3,0,0,'Données projet'!$E$11+1,1))-AVERAGE(OFFSET($H$3,0,0,'Données projet'!$E$11+1,1))</f>
        <v>278.61904724595763</v>
      </c>
      <c r="BJ107" s="60">
        <f t="shared" si="92"/>
        <v>274.55710362891892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0">
        <f t="shared" si="65"/>
        <v>293.33333333333582</v>
      </c>
      <c r="CD107" s="60">
        <f ca="1">AVERAGE(OFFSET($CC$3,0,0,'Données projet'!$E$12+1,1))-AVERAGE(OFFSET($H$3,0,0,'Données projet'!$E$12+1,1))</f>
        <v>292.57482726862594</v>
      </c>
      <c r="CE107" s="60">
        <f t="shared" si="94"/>
        <v>283.48738729114024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5.6923076923076907</v>
      </c>
      <c r="CT107" s="13">
        <f>IF('Données projet'!$A$140&gt;35,CT106+CS107-DB106,IF(A107&lt;'Données projet'!$A$140,$CQ$205^A107,IF(A107='Données projet'!$A$140,'Données projet'!$B$140,CT106+CS107-DB106)))</f>
        <v>227.69230769230711</v>
      </c>
      <c r="CU107" s="18">
        <f>CT107*VLOOKUP('Données projet'!$B$13,Paramètres!$A$1:$I$89,3,0)*VLOOKUP('Données projet'!$B$13,Paramètres!$A$1:$I$89,5,0)</f>
        <v>106.55999999999973</v>
      </c>
      <c r="CV107" s="14">
        <f t="shared" si="95"/>
        <v>28.519001132310215</v>
      </c>
      <c r="CW107" s="22">
        <f t="shared" si="67"/>
        <v>235.26259363877315</v>
      </c>
      <c r="CX107" s="60">
        <f t="shared" si="68"/>
        <v>528.59592697210644</v>
      </c>
      <c r="CY107" s="60">
        <f ca="1">AVERAGE(OFFSET($CX$3,0,0,'Données projet'!$E$13+1,1))-AVERAGE(OFFSET($H$3,0,0,'Données projet'!$E$13+1,1))</f>
        <v>246.64907095367749</v>
      </c>
      <c r="CZ107" s="60">
        <f t="shared" si="96"/>
        <v>145.34368562171613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-9.2222762759774927E-14</v>
      </c>
      <c r="DQ107" s="14" t="e">
        <f t="shared" si="97"/>
        <v>#NUM!</v>
      </c>
      <c r="DR107" s="22" t="e">
        <f t="shared" si="70"/>
        <v>#NUM!</v>
      </c>
      <c r="DS107" s="60" t="e">
        <f t="shared" si="71"/>
        <v>#NUM!</v>
      </c>
      <c r="DT107" s="60">
        <f ca="1">AVERAGE(OFFSET($DS$3,0,0,'Données projet'!$E$14+1,1))-AVERAGE(OFFSET($H$3,0,0,'Données projet'!$E$14+1,1))</f>
        <v>256.19915261735281</v>
      </c>
      <c r="DU107" s="60">
        <f t="shared" si="98"/>
        <v>297.47246687305056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847.07855918499604</v>
      </c>
      <c r="S108" s="60">
        <f ca="1">AVERAGE(OFFSET($R$3,0,0,'Données projet'!$E$9+1,1))-AVERAGE(OFFSET($H$3,0,0,'Données projet'!$E$9+1,1))</f>
        <v>428.8489304403459</v>
      </c>
      <c r="T108" s="60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1.8089849618263545E-13</v>
      </c>
      <c r="AK108" s="14">
        <f t="shared" si="89"/>
        <v>2.536422473342444E-12</v>
      </c>
      <c r="AL108" s="22">
        <f t="shared" si="58"/>
        <v>4.7326673552561798E-12</v>
      </c>
      <c r="AM108" s="60">
        <f t="shared" si="59"/>
        <v>293.33333333333803</v>
      </c>
      <c r="AN108" s="60">
        <f ca="1">AVERAGE(OFFSET($AM$3,0,0,'Données projet'!$E$10+1,1))-AVERAGE(OFFSET($H$3,0,0,'Données projet'!$E$10+1,1))</f>
        <v>299.28262372717484</v>
      </c>
      <c r="AO108" s="60">
        <f t="shared" si="90"/>
        <v>294.28794439094889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projet'!$B$11,Paramètres!$A$1:$I$89,3,0)*VLOOKUP('Données projet'!$B$11,Paramètres!$A$1:$I$89,5,0)</f>
        <v>1.6671037883497774E-13</v>
      </c>
      <c r="BF108" s="14">
        <f t="shared" si="91"/>
        <v>2.3598166018346595E-12</v>
      </c>
      <c r="BG108" s="22">
        <f t="shared" si="61"/>
        <v>4.400367824666284E-12</v>
      </c>
      <c r="BH108" s="60">
        <f t="shared" si="62"/>
        <v>293.33333333333769</v>
      </c>
      <c r="BI108" s="60">
        <f ca="1">AVERAGE(OFFSET($BH$3,0,0,'Données projet'!$E$11+1,1))-AVERAGE(OFFSET($H$3,0,0,'Données projet'!$E$11+1,1))</f>
        <v>278.61904724595763</v>
      </c>
      <c r="BJ108" s="60">
        <f t="shared" si="92"/>
        <v>274.55710362891892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0">
        <f t="shared" si="65"/>
        <v>293.33333333333582</v>
      </c>
      <c r="CD108" s="60">
        <f ca="1">AVERAGE(OFFSET($CC$3,0,0,'Données projet'!$E$12+1,1))-AVERAGE(OFFSET($H$3,0,0,'Données projet'!$E$12+1,1))</f>
        <v>292.57482726862594</v>
      </c>
      <c r="CE108" s="60">
        <f t="shared" si="94"/>
        <v>283.48738729114024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5.6923076923076907</v>
      </c>
      <c r="CT108" s="13">
        <f>IF('Données projet'!$A$140&gt;35,CT107+CS108-DB107,IF(A108&lt;'Données projet'!$A$140,$CQ$205^A108,IF(A108='Données projet'!$A$140,'Données projet'!$B$140,CT107+CS108-DB107)))</f>
        <v>233.38461538461479</v>
      </c>
      <c r="CU108" s="18">
        <f>CT108*VLOOKUP('Données projet'!$B$13,Paramètres!$A$1:$I$89,3,0)*VLOOKUP('Données projet'!$B$13,Paramètres!$A$1:$I$89,5,0)</f>
        <v>109.22399999999972</v>
      </c>
      <c r="CV108" s="14">
        <f t="shared" si="95"/>
        <v>29.148077656155348</v>
      </c>
      <c r="CW108" s="22">
        <f t="shared" si="67"/>
        <v>240.99803525113671</v>
      </c>
      <c r="CX108" s="60">
        <f t="shared" si="68"/>
        <v>534.33136858447006</v>
      </c>
      <c r="CY108" s="60">
        <f ca="1">AVERAGE(OFFSET($CX$3,0,0,'Données projet'!$E$13+1,1))-AVERAGE(OFFSET($H$3,0,0,'Données projet'!$E$13+1,1))</f>
        <v>246.64907095367749</v>
      </c>
      <c r="CZ108" s="60">
        <f t="shared" si="96"/>
        <v>145.34368562171613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-9.2222762759774927E-14</v>
      </c>
      <c r="DQ108" s="14" t="e">
        <f t="shared" si="97"/>
        <v>#NUM!</v>
      </c>
      <c r="DR108" s="22" t="e">
        <f t="shared" si="70"/>
        <v>#NUM!</v>
      </c>
      <c r="DS108" s="60" t="e">
        <f t="shared" si="71"/>
        <v>#NUM!</v>
      </c>
      <c r="DT108" s="60">
        <f ca="1">AVERAGE(OFFSET($DS$3,0,0,'Données projet'!$E$14+1,1))-AVERAGE(OFFSET($H$3,0,0,'Données projet'!$E$14+1,1))</f>
        <v>256.19915261735281</v>
      </c>
      <c r="DU108" s="60">
        <f t="shared" si="98"/>
        <v>297.47246687305056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855.49164406048612</v>
      </c>
      <c r="S109" s="60">
        <f ca="1">AVERAGE(OFFSET($R$3,0,0,'Données projet'!$E$9+1,1))-AVERAGE(OFFSET($H$3,0,0,'Données projet'!$E$9+1,1))</f>
        <v>428.8489304403459</v>
      </c>
      <c r="T109" s="60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1.8089849618263545E-13</v>
      </c>
      <c r="AK109" s="14">
        <f t="shared" si="89"/>
        <v>2.536422473342444E-12</v>
      </c>
      <c r="AL109" s="22">
        <f t="shared" si="58"/>
        <v>4.7326673552561798E-12</v>
      </c>
      <c r="AM109" s="60">
        <f t="shared" si="59"/>
        <v>293.33333333333803</v>
      </c>
      <c r="AN109" s="60">
        <f ca="1">AVERAGE(OFFSET($AM$3,0,0,'Données projet'!$E$10+1,1))-AVERAGE(OFFSET($H$3,0,0,'Données projet'!$E$10+1,1))</f>
        <v>299.28262372717484</v>
      </c>
      <c r="AO109" s="60">
        <f t="shared" si="90"/>
        <v>294.28794439094889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projet'!$B$11,Paramètres!$A$1:$I$89,3,0)*VLOOKUP('Données projet'!$B$11,Paramètres!$A$1:$I$89,5,0)</f>
        <v>1.6671037883497774E-13</v>
      </c>
      <c r="BF109" s="14">
        <f t="shared" si="91"/>
        <v>2.3598166018346595E-12</v>
      </c>
      <c r="BG109" s="22">
        <f t="shared" si="61"/>
        <v>4.400367824666284E-12</v>
      </c>
      <c r="BH109" s="60">
        <f t="shared" si="62"/>
        <v>293.33333333333769</v>
      </c>
      <c r="BI109" s="60">
        <f ca="1">AVERAGE(OFFSET($BH$3,0,0,'Données projet'!$E$11+1,1))-AVERAGE(OFFSET($H$3,0,0,'Données projet'!$E$11+1,1))</f>
        <v>278.61904724595763</v>
      </c>
      <c r="BJ109" s="60">
        <f t="shared" si="92"/>
        <v>274.55710362891892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0">
        <f t="shared" si="65"/>
        <v>293.33333333333582</v>
      </c>
      <c r="CD109" s="60">
        <f ca="1">AVERAGE(OFFSET($CC$3,0,0,'Données projet'!$E$12+1,1))-AVERAGE(OFFSET($H$3,0,0,'Données projet'!$E$12+1,1))</f>
        <v>292.57482726862594</v>
      </c>
      <c r="CE109" s="60">
        <f t="shared" si="94"/>
        <v>283.48738729114024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5.6923076923076907</v>
      </c>
      <c r="CT109" s="13">
        <f>IF('Données projet'!$A$140&gt;35,CT108+CS109-DB108,IF(A109&lt;'Données projet'!$A$140,$CQ$205^A109,IF(A109='Données projet'!$A$140,'Données projet'!$B$140,CT108+CS109-DB108)))</f>
        <v>239.07692307692247</v>
      </c>
      <c r="CU109" s="18">
        <f>CT109*VLOOKUP('Données projet'!$B$13,Paramètres!$A$1:$I$89,3,0)*VLOOKUP('Données projet'!$B$13,Paramètres!$A$1:$I$89,5,0)</f>
        <v>111.88799999999971</v>
      </c>
      <c r="CV109" s="14">
        <f t="shared" si="95"/>
        <v>29.775370562311089</v>
      </c>
      <c r="CW109" s="22">
        <f t="shared" si="67"/>
        <v>246.73037039602465</v>
      </c>
      <c r="CX109" s="60">
        <f t="shared" si="68"/>
        <v>540.06370372935794</v>
      </c>
      <c r="CY109" s="60">
        <f ca="1">AVERAGE(OFFSET($CX$3,0,0,'Données projet'!$E$13+1,1))-AVERAGE(OFFSET($H$3,0,0,'Données projet'!$E$13+1,1))</f>
        <v>246.64907095367749</v>
      </c>
      <c r="CZ109" s="60">
        <f t="shared" si="96"/>
        <v>145.34368562171613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-9.2222762759774927E-14</v>
      </c>
      <c r="DQ109" s="14" t="e">
        <f t="shared" si="97"/>
        <v>#NUM!</v>
      </c>
      <c r="DR109" s="22" t="e">
        <f t="shared" si="70"/>
        <v>#NUM!</v>
      </c>
      <c r="DS109" s="60" t="e">
        <f t="shared" si="71"/>
        <v>#NUM!</v>
      </c>
      <c r="DT109" s="60">
        <f ca="1">AVERAGE(OFFSET($DS$3,0,0,'Données projet'!$E$14+1,1))-AVERAGE(OFFSET($H$3,0,0,'Données projet'!$E$14+1,1))</f>
        <v>256.19915261735281</v>
      </c>
      <c r="DU109" s="60">
        <f t="shared" si="98"/>
        <v>297.47246687305056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863.9020949925864</v>
      </c>
      <c r="S110" s="60">
        <f ca="1">AVERAGE(OFFSET($R$3,0,0,'Données projet'!$E$9+1,1))-AVERAGE(OFFSET($H$3,0,0,'Données projet'!$E$9+1,1))</f>
        <v>428.8489304403459</v>
      </c>
      <c r="T110" s="60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1.8089849618263545E-13</v>
      </c>
      <c r="AK110" s="14">
        <f t="shared" si="89"/>
        <v>2.536422473342444E-12</v>
      </c>
      <c r="AL110" s="22">
        <f t="shared" si="58"/>
        <v>4.7326673552561798E-12</v>
      </c>
      <c r="AM110" s="60">
        <f t="shared" si="59"/>
        <v>293.33333333333803</v>
      </c>
      <c r="AN110" s="60">
        <f ca="1">AVERAGE(OFFSET($AM$3,0,0,'Données projet'!$E$10+1,1))-AVERAGE(OFFSET($H$3,0,0,'Données projet'!$E$10+1,1))</f>
        <v>299.28262372717484</v>
      </c>
      <c r="AO110" s="60">
        <f t="shared" si="90"/>
        <v>294.28794439094889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projet'!$B$11,Paramètres!$A$1:$I$89,3,0)*VLOOKUP('Données projet'!$B$11,Paramètres!$A$1:$I$89,5,0)</f>
        <v>1.6671037883497774E-13</v>
      </c>
      <c r="BF110" s="14">
        <f t="shared" si="91"/>
        <v>2.3598166018346595E-12</v>
      </c>
      <c r="BG110" s="22">
        <f t="shared" si="61"/>
        <v>4.400367824666284E-12</v>
      </c>
      <c r="BH110" s="60">
        <f t="shared" si="62"/>
        <v>293.33333333333769</v>
      </c>
      <c r="BI110" s="60">
        <f ca="1">AVERAGE(OFFSET($BH$3,0,0,'Données projet'!$E$11+1,1))-AVERAGE(OFFSET($H$3,0,0,'Données projet'!$E$11+1,1))</f>
        <v>278.61904724595763</v>
      </c>
      <c r="BJ110" s="60">
        <f t="shared" si="92"/>
        <v>274.55710362891892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0">
        <f t="shared" si="65"/>
        <v>293.33333333333582</v>
      </c>
      <c r="CD110" s="60">
        <f ca="1">AVERAGE(OFFSET($CC$3,0,0,'Données projet'!$E$12+1,1))-AVERAGE(OFFSET($H$3,0,0,'Données projet'!$E$12+1,1))</f>
        <v>292.57482726862594</v>
      </c>
      <c r="CE110" s="60">
        <f t="shared" si="94"/>
        <v>283.48738729114024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5.6923076923076907</v>
      </c>
      <c r="CT110" s="13">
        <f>IF('Données projet'!$A$140&gt;35,CT109+CS110-DB109,IF(A110&lt;'Données projet'!$A$140,$CQ$205^A110,IF(A110='Données projet'!$A$140,'Données projet'!$B$140,CT109+CS110-DB109)))</f>
        <v>244.76923076923015</v>
      </c>
      <c r="CU110" s="18">
        <f>CT110*VLOOKUP('Données projet'!$B$13,Paramètres!$A$1:$I$89,3,0)*VLOOKUP('Données projet'!$B$13,Paramètres!$A$1:$I$89,5,0)</f>
        <v>114.55199999999971</v>
      </c>
      <c r="CV110" s="14">
        <f t="shared" si="95"/>
        <v>30.400927204443892</v>
      </c>
      <c r="CW110" s="22">
        <f t="shared" si="67"/>
        <v>252.45968154773928</v>
      </c>
      <c r="CX110" s="60">
        <f t="shared" si="68"/>
        <v>545.79301488107262</v>
      </c>
      <c r="CY110" s="60">
        <f ca="1">AVERAGE(OFFSET($CX$3,0,0,'Données projet'!$E$13+1,1))-AVERAGE(OFFSET($H$3,0,0,'Données projet'!$E$13+1,1))</f>
        <v>246.64907095367749</v>
      </c>
      <c r="CZ110" s="60">
        <f t="shared" si="96"/>
        <v>145.34368562171613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-9.2222762759774927E-14</v>
      </c>
      <c r="DQ110" s="14" t="e">
        <f t="shared" si="97"/>
        <v>#NUM!</v>
      </c>
      <c r="DR110" s="22" t="e">
        <f t="shared" si="70"/>
        <v>#NUM!</v>
      </c>
      <c r="DS110" s="60" t="e">
        <f t="shared" si="71"/>
        <v>#NUM!</v>
      </c>
      <c r="DT110" s="60">
        <f ca="1">AVERAGE(OFFSET($DS$3,0,0,'Données projet'!$E$14+1,1))-AVERAGE(OFFSET($H$3,0,0,'Données projet'!$E$14+1,1))</f>
        <v>256.19915261735281</v>
      </c>
      <c r="DU110" s="60">
        <f t="shared" si="98"/>
        <v>297.47246687305056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872.30995628558094</v>
      </c>
      <c r="S111" s="60">
        <f ca="1">AVERAGE(OFFSET($R$3,0,0,'Données projet'!$E$9+1,1))-AVERAGE(OFFSET($H$3,0,0,'Données projet'!$E$9+1,1))</f>
        <v>428.8489304403459</v>
      </c>
      <c r="T111" s="60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1.8089849618263545E-13</v>
      </c>
      <c r="AK111" s="14">
        <f t="shared" si="89"/>
        <v>2.536422473342444E-12</v>
      </c>
      <c r="AL111" s="22">
        <f t="shared" si="58"/>
        <v>4.7326673552561798E-12</v>
      </c>
      <c r="AM111" s="60">
        <f t="shared" si="59"/>
        <v>293.33333333333803</v>
      </c>
      <c r="AN111" s="60">
        <f ca="1">AVERAGE(OFFSET($AM$3,0,0,'Données projet'!$E$10+1,1))-AVERAGE(OFFSET($H$3,0,0,'Données projet'!$E$10+1,1))</f>
        <v>299.28262372717484</v>
      </c>
      <c r="AO111" s="60">
        <f t="shared" si="90"/>
        <v>294.28794439094889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projet'!$B$11,Paramètres!$A$1:$I$89,3,0)*VLOOKUP('Données projet'!$B$11,Paramètres!$A$1:$I$89,5,0)</f>
        <v>1.6671037883497774E-13</v>
      </c>
      <c r="BF111" s="14">
        <f t="shared" si="91"/>
        <v>2.3598166018346595E-12</v>
      </c>
      <c r="BG111" s="22">
        <f t="shared" si="61"/>
        <v>4.400367824666284E-12</v>
      </c>
      <c r="BH111" s="60">
        <f t="shared" si="62"/>
        <v>293.33333333333769</v>
      </c>
      <c r="BI111" s="60">
        <f ca="1">AVERAGE(OFFSET($BH$3,0,0,'Données projet'!$E$11+1,1))-AVERAGE(OFFSET($H$3,0,0,'Données projet'!$E$11+1,1))</f>
        <v>278.61904724595763</v>
      </c>
      <c r="BJ111" s="60">
        <f t="shared" si="92"/>
        <v>274.55710362891892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0">
        <f t="shared" si="65"/>
        <v>293.33333333333582</v>
      </c>
      <c r="CD111" s="60">
        <f ca="1">AVERAGE(OFFSET($CC$3,0,0,'Données projet'!$E$12+1,1))-AVERAGE(OFFSET($H$3,0,0,'Données projet'!$E$12+1,1))</f>
        <v>292.57482726862594</v>
      </c>
      <c r="CE111" s="60">
        <f t="shared" si="94"/>
        <v>283.48738729114024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5.6923076923076907</v>
      </c>
      <c r="CT111" s="13">
        <f>IF('Données projet'!$A$140&gt;35,CT110+CS111-DB110,IF(A111&lt;'Données projet'!$A$140,$CQ$205^A111,IF(A111='Données projet'!$A$140,'Données projet'!$B$140,CT110+CS111-DB110)))</f>
        <v>250.46153846153783</v>
      </c>
      <c r="CU111" s="18">
        <f>CT111*VLOOKUP('Données projet'!$B$13,Paramètres!$A$1:$I$89,3,0)*VLOOKUP('Données projet'!$B$13,Paramètres!$A$1:$I$89,5,0)</f>
        <v>117.21599999999971</v>
      </c>
      <c r="CV111" s="14">
        <f t="shared" si="95"/>
        <v>31.024792608059023</v>
      </c>
      <c r="CW111" s="22">
        <f t="shared" si="67"/>
        <v>258.18604712570226</v>
      </c>
      <c r="CX111" s="60">
        <f t="shared" si="68"/>
        <v>551.51938045903557</v>
      </c>
      <c r="CY111" s="60">
        <f ca="1">AVERAGE(OFFSET($CX$3,0,0,'Données projet'!$E$13+1,1))-AVERAGE(OFFSET($H$3,0,0,'Données projet'!$E$13+1,1))</f>
        <v>246.64907095367749</v>
      </c>
      <c r="CZ111" s="60">
        <f t="shared" si="96"/>
        <v>145.34368562171613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-9.2222762759774927E-14</v>
      </c>
      <c r="DQ111" s="14" t="e">
        <f t="shared" si="97"/>
        <v>#NUM!</v>
      </c>
      <c r="DR111" s="22" t="e">
        <f t="shared" si="70"/>
        <v>#NUM!</v>
      </c>
      <c r="DS111" s="60" t="e">
        <f t="shared" si="71"/>
        <v>#NUM!</v>
      </c>
      <c r="DT111" s="60">
        <f ca="1">AVERAGE(OFFSET($DS$3,0,0,'Données projet'!$E$14+1,1))-AVERAGE(OFFSET($H$3,0,0,'Données projet'!$E$14+1,1))</f>
        <v>256.19915261735281</v>
      </c>
      <c r="DU111" s="60">
        <f t="shared" si="98"/>
        <v>297.47246687305056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880.71527085193179</v>
      </c>
      <c r="S112" s="60">
        <f ca="1">AVERAGE(OFFSET($R$3,0,0,'Données projet'!$E$9+1,1))-AVERAGE(OFFSET($H$3,0,0,'Données projet'!$E$9+1,1))</f>
        <v>428.8489304403459</v>
      </c>
      <c r="T112" s="60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1.8089849618263545E-13</v>
      </c>
      <c r="AK112" s="14">
        <f t="shared" si="89"/>
        <v>2.536422473342444E-12</v>
      </c>
      <c r="AL112" s="22">
        <f t="shared" si="58"/>
        <v>4.7326673552561798E-12</v>
      </c>
      <c r="AM112" s="60">
        <f t="shared" si="59"/>
        <v>293.33333333333803</v>
      </c>
      <c r="AN112" s="60">
        <f ca="1">AVERAGE(OFFSET($AM$3,0,0,'Données projet'!$E$10+1,1))-AVERAGE(OFFSET($H$3,0,0,'Données projet'!$E$10+1,1))</f>
        <v>299.28262372717484</v>
      </c>
      <c r="AO112" s="60">
        <f t="shared" si="90"/>
        <v>294.28794439094889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projet'!$B$11,Paramètres!$A$1:$I$89,3,0)*VLOOKUP('Données projet'!$B$11,Paramètres!$A$1:$I$89,5,0)</f>
        <v>1.6671037883497774E-13</v>
      </c>
      <c r="BF112" s="14">
        <f t="shared" si="91"/>
        <v>2.3598166018346595E-12</v>
      </c>
      <c r="BG112" s="22">
        <f t="shared" si="61"/>
        <v>4.400367824666284E-12</v>
      </c>
      <c r="BH112" s="60">
        <f t="shared" si="62"/>
        <v>293.33333333333769</v>
      </c>
      <c r="BI112" s="60">
        <f ca="1">AVERAGE(OFFSET($BH$3,0,0,'Données projet'!$E$11+1,1))-AVERAGE(OFFSET($H$3,0,0,'Données projet'!$E$11+1,1))</f>
        <v>278.61904724595763</v>
      </c>
      <c r="BJ112" s="60">
        <f t="shared" si="92"/>
        <v>274.55710362891892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0">
        <f t="shared" si="65"/>
        <v>293.33333333333582</v>
      </c>
      <c r="CD112" s="60">
        <f ca="1">AVERAGE(OFFSET($CC$3,0,0,'Données projet'!$E$12+1,1))-AVERAGE(OFFSET($H$3,0,0,'Données projet'!$E$12+1,1))</f>
        <v>292.57482726862594</v>
      </c>
      <c r="CE112" s="60">
        <f t="shared" si="94"/>
        <v>283.48738729114024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256.15384615384613</v>
      </c>
      <c r="CR112" s="13">
        <f>VLOOKUP(A112,'Données projet'!$A$139:$I$159,9,0)</f>
        <v>5.6923076923076907</v>
      </c>
      <c r="CS112" s="13">
        <f t="array" ref="CS112">INDEX(CR:CR,MIN(IF(ISNUMBER(CR112:CR308),ROW(CR112:CR308),"")))</f>
        <v>5.6923076923076907</v>
      </c>
      <c r="CT112" s="13">
        <f>IF('Données projet'!$A$140&gt;35,CT111+CS112-DB111,IF(A112&lt;'Données projet'!$A$140,$CQ$205^A112,IF(A112='Données projet'!$A$140,'Données projet'!$B$140,CT111+CS112-DB111)))</f>
        <v>256.15384615384551</v>
      </c>
      <c r="CU112" s="18">
        <f>CT112*VLOOKUP('Données projet'!$B$13,Paramètres!$A$1:$I$89,3,0)*VLOOKUP('Données projet'!$B$13,Paramètres!$A$1:$I$89,5,0)</f>
        <v>119.8799999999997</v>
      </c>
      <c r="CV112" s="14">
        <f t="shared" si="95"/>
        <v>31.647009635236898</v>
      </c>
      <c r="CW112" s="22">
        <f t="shared" si="67"/>
        <v>263.90954178137036</v>
      </c>
      <c r="CX112" s="60">
        <f t="shared" si="68"/>
        <v>557.24287511470368</v>
      </c>
      <c r="CY112" s="60">
        <f ca="1">AVERAGE(OFFSET($CX$3,0,0,'Données projet'!$E$13+1,1))-AVERAGE(OFFSET($H$3,0,0,'Données projet'!$E$13+1,1))</f>
        <v>246.64907095367749</v>
      </c>
      <c r="CZ112" s="60">
        <f t="shared" si="96"/>
        <v>145.34368562171613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256.15384615384613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-9.2222762759774927E-14</v>
      </c>
      <c r="DQ112" s="14" t="e">
        <f t="shared" si="97"/>
        <v>#NUM!</v>
      </c>
      <c r="DR112" s="22" t="e">
        <f t="shared" si="70"/>
        <v>#NUM!</v>
      </c>
      <c r="DS112" s="60" t="e">
        <f t="shared" si="71"/>
        <v>#NUM!</v>
      </c>
      <c r="DT112" s="60">
        <f ca="1">AVERAGE(OFFSET($DS$3,0,0,'Données projet'!$E$14+1,1))-AVERAGE(OFFSET($H$3,0,0,'Données projet'!$E$14+1,1))</f>
        <v>256.19915261735281</v>
      </c>
      <c r="DU112" s="60">
        <f t="shared" si="98"/>
        <v>297.47246687305056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889.11808027572556</v>
      </c>
      <c r="S113" s="60">
        <f ca="1">AVERAGE(OFFSET($R$3,0,0,'Données projet'!$E$9+1,1))-AVERAGE(OFFSET($H$3,0,0,'Données projet'!$E$9+1,1))</f>
        <v>428.8489304403459</v>
      </c>
      <c r="T113" s="60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1.8089849618263545E-13</v>
      </c>
      <c r="AK113" s="14">
        <f t="shared" si="89"/>
        <v>2.536422473342444E-12</v>
      </c>
      <c r="AL113" s="22">
        <f t="shared" si="58"/>
        <v>4.7326673552561798E-12</v>
      </c>
      <c r="AM113" s="60">
        <f t="shared" si="59"/>
        <v>293.33333333333803</v>
      </c>
      <c r="AN113" s="60">
        <f ca="1">AVERAGE(OFFSET($AM$3,0,0,'Données projet'!$E$10+1,1))-AVERAGE(OFFSET($H$3,0,0,'Données projet'!$E$10+1,1))</f>
        <v>299.28262372717484</v>
      </c>
      <c r="AO113" s="60">
        <f t="shared" si="90"/>
        <v>294.28794439094889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projet'!$B$11,Paramètres!$A$1:$I$89,3,0)*VLOOKUP('Données projet'!$B$11,Paramètres!$A$1:$I$89,5,0)</f>
        <v>1.6671037883497774E-13</v>
      </c>
      <c r="BF113" s="14">
        <f t="shared" si="91"/>
        <v>2.3598166018346595E-12</v>
      </c>
      <c r="BG113" s="22">
        <f t="shared" si="61"/>
        <v>4.400367824666284E-12</v>
      </c>
      <c r="BH113" s="60">
        <f t="shared" si="62"/>
        <v>293.33333333333769</v>
      </c>
      <c r="BI113" s="60">
        <f ca="1">AVERAGE(OFFSET($BH$3,0,0,'Données projet'!$E$11+1,1))-AVERAGE(OFFSET($H$3,0,0,'Données projet'!$E$11+1,1))</f>
        <v>278.61904724595763</v>
      </c>
      <c r="BJ113" s="60">
        <f t="shared" si="92"/>
        <v>274.55710362891892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0">
        <f t="shared" si="65"/>
        <v>293.33333333333582</v>
      </c>
      <c r="CD113" s="60">
        <f ca="1">AVERAGE(OFFSET($CC$3,0,0,'Données projet'!$E$12+1,1))-AVERAGE(OFFSET($H$3,0,0,'Données projet'!$E$12+1,1))</f>
        <v>292.57482726862594</v>
      </c>
      <c r="CE113" s="60">
        <f t="shared" si="94"/>
        <v>283.48738729114024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-6.2527760746888816E-13</v>
      </c>
      <c r="CU113" s="18">
        <f>CT113*VLOOKUP('Données projet'!$B$13,Paramètres!$A$1:$I$89,3,0)*VLOOKUP('Données projet'!$B$13,Paramètres!$A$1:$I$89,5,0)</f>
        <v>-2.9262992029543964E-13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246.64907095367749</v>
      </c>
      <c r="CZ113" s="60">
        <f t="shared" si="96"/>
        <v>145.34368562171613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-9.2222762759774927E-14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256.19915261735281</v>
      </c>
      <c r="DU113" s="60">
        <f t="shared" si="98"/>
        <v>297.47246687305056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821.63161043190416</v>
      </c>
      <c r="S114" s="60">
        <f ca="1">AVERAGE(OFFSET($R$3,0,0,'Données projet'!$E$9+1,1))-AVERAGE(OFFSET($H$3,0,0,'Données projet'!$E$9+1,1))</f>
        <v>428.8489304403459</v>
      </c>
      <c r="T114" s="60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1.8089849618263545E-13</v>
      </c>
      <c r="AK114" s="14">
        <f t="shared" si="89"/>
        <v>2.536422473342444E-12</v>
      </c>
      <c r="AL114" s="22">
        <f t="shared" si="58"/>
        <v>4.7326673552561798E-12</v>
      </c>
      <c r="AM114" s="60">
        <f t="shared" si="59"/>
        <v>293.33333333333803</v>
      </c>
      <c r="AN114" s="60">
        <f ca="1">AVERAGE(OFFSET($AM$3,0,0,'Données projet'!$E$10+1,1))-AVERAGE(OFFSET($H$3,0,0,'Données projet'!$E$10+1,1))</f>
        <v>299.28262372717484</v>
      </c>
      <c r="AO114" s="60">
        <f t="shared" si="90"/>
        <v>294.28794439094889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projet'!$B$11,Paramètres!$A$1:$I$89,3,0)*VLOOKUP('Données projet'!$B$11,Paramètres!$A$1:$I$89,5,0)</f>
        <v>1.6671037883497774E-13</v>
      </c>
      <c r="BF114" s="14">
        <f t="shared" si="91"/>
        <v>2.3598166018346595E-12</v>
      </c>
      <c r="BG114" s="22">
        <f t="shared" si="61"/>
        <v>4.400367824666284E-12</v>
      </c>
      <c r="BH114" s="60">
        <f t="shared" si="62"/>
        <v>293.33333333333769</v>
      </c>
      <c r="BI114" s="60">
        <f ca="1">AVERAGE(OFFSET($BH$3,0,0,'Données projet'!$E$11+1,1))-AVERAGE(OFFSET($H$3,0,0,'Données projet'!$E$11+1,1))</f>
        <v>278.61904724595763</v>
      </c>
      <c r="BJ114" s="60">
        <f t="shared" si="92"/>
        <v>274.55710362891892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0">
        <f t="shared" si="65"/>
        <v>293.33333333333582</v>
      </c>
      <c r="CD114" s="60">
        <f ca="1">AVERAGE(OFFSET($CC$3,0,0,'Données projet'!$E$12+1,1))-AVERAGE(OFFSET($H$3,0,0,'Données projet'!$E$12+1,1))</f>
        <v>292.57482726862594</v>
      </c>
      <c r="CE114" s="60">
        <f t="shared" si="94"/>
        <v>283.48738729114024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-6.2527760746888816E-13</v>
      </c>
      <c r="CU114" s="18">
        <f>CT114*VLOOKUP('Données projet'!$B$13,Paramètres!$A$1:$I$89,3,0)*VLOOKUP('Données projet'!$B$13,Paramètres!$A$1:$I$89,5,0)</f>
        <v>-2.9262992029543964E-13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246.64907095367749</v>
      </c>
      <c r="CZ114" s="60">
        <f t="shared" si="96"/>
        <v>145.34368562171613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-9.2222762759774927E-14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256.19915261735281</v>
      </c>
      <c r="DU114" s="60">
        <f t="shared" si="98"/>
        <v>297.47246687305056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828.7133714063857</v>
      </c>
      <c r="S115" s="60">
        <f ca="1">AVERAGE(OFFSET($R$3,0,0,'Données projet'!$E$9+1,1))-AVERAGE(OFFSET($H$3,0,0,'Données projet'!$E$9+1,1))</f>
        <v>428.8489304403459</v>
      </c>
      <c r="T115" s="60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1.8089849618263545E-13</v>
      </c>
      <c r="AK115" s="14">
        <f t="shared" si="89"/>
        <v>2.536422473342444E-12</v>
      </c>
      <c r="AL115" s="22">
        <f t="shared" si="58"/>
        <v>4.7326673552561798E-12</v>
      </c>
      <c r="AM115" s="60">
        <f t="shared" si="59"/>
        <v>293.33333333333803</v>
      </c>
      <c r="AN115" s="60">
        <f ca="1">AVERAGE(OFFSET($AM$3,0,0,'Données projet'!$E$10+1,1))-AVERAGE(OFFSET($H$3,0,0,'Données projet'!$E$10+1,1))</f>
        <v>299.28262372717484</v>
      </c>
      <c r="AO115" s="60">
        <f t="shared" si="90"/>
        <v>294.28794439094889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projet'!$B$11,Paramètres!$A$1:$I$89,3,0)*VLOOKUP('Données projet'!$B$11,Paramètres!$A$1:$I$89,5,0)</f>
        <v>1.6671037883497774E-13</v>
      </c>
      <c r="BF115" s="14">
        <f t="shared" si="91"/>
        <v>2.3598166018346595E-12</v>
      </c>
      <c r="BG115" s="22">
        <f t="shared" si="61"/>
        <v>4.400367824666284E-12</v>
      </c>
      <c r="BH115" s="60">
        <f t="shared" si="62"/>
        <v>293.33333333333769</v>
      </c>
      <c r="BI115" s="60">
        <f ca="1">AVERAGE(OFFSET($BH$3,0,0,'Données projet'!$E$11+1,1))-AVERAGE(OFFSET($H$3,0,0,'Données projet'!$E$11+1,1))</f>
        <v>278.61904724595763</v>
      </c>
      <c r="BJ115" s="60">
        <f t="shared" si="92"/>
        <v>274.55710362891892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0">
        <f t="shared" si="65"/>
        <v>293.33333333333582</v>
      </c>
      <c r="CD115" s="60">
        <f ca="1">AVERAGE(OFFSET($CC$3,0,0,'Données projet'!$E$12+1,1))-AVERAGE(OFFSET($H$3,0,0,'Données projet'!$E$12+1,1))</f>
        <v>292.57482726862594</v>
      </c>
      <c r="CE115" s="60">
        <f t="shared" si="94"/>
        <v>283.48738729114024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-6.2527760746888816E-13</v>
      </c>
      <c r="CU115" s="18">
        <f>CT115*VLOOKUP('Données projet'!$B$13,Paramètres!$A$1:$I$89,3,0)*VLOOKUP('Données projet'!$B$13,Paramètres!$A$1:$I$89,5,0)</f>
        <v>-2.9262992029543964E-13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246.64907095367749</v>
      </c>
      <c r="CZ115" s="60">
        <f t="shared" si="96"/>
        <v>145.34368562171613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-9.2222762759774927E-14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256.19915261735281</v>
      </c>
      <c r="DU115" s="60">
        <f t="shared" si="98"/>
        <v>297.47246687305056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835.79316307617296</v>
      </c>
      <c r="S116" s="60">
        <f ca="1">AVERAGE(OFFSET($R$3,0,0,'Données projet'!$E$9+1,1))-AVERAGE(OFFSET($H$3,0,0,'Données projet'!$E$9+1,1))</f>
        <v>428.8489304403459</v>
      </c>
      <c r="T116" s="60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1.8089849618263545E-13</v>
      </c>
      <c r="AK116" s="14">
        <f t="shared" si="89"/>
        <v>2.536422473342444E-12</v>
      </c>
      <c r="AL116" s="22">
        <f t="shared" si="58"/>
        <v>4.7326673552561798E-12</v>
      </c>
      <c r="AM116" s="60">
        <f t="shared" si="59"/>
        <v>293.33333333333803</v>
      </c>
      <c r="AN116" s="60">
        <f ca="1">AVERAGE(OFFSET($AM$3,0,0,'Données projet'!$E$10+1,1))-AVERAGE(OFFSET($H$3,0,0,'Données projet'!$E$10+1,1))</f>
        <v>299.28262372717484</v>
      </c>
      <c r="AO116" s="60">
        <f t="shared" si="90"/>
        <v>294.28794439094889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projet'!$B$11,Paramètres!$A$1:$I$89,3,0)*VLOOKUP('Données projet'!$B$11,Paramètres!$A$1:$I$89,5,0)</f>
        <v>1.6671037883497774E-13</v>
      </c>
      <c r="BF116" s="14">
        <f t="shared" si="91"/>
        <v>2.3598166018346595E-12</v>
      </c>
      <c r="BG116" s="22">
        <f t="shared" si="61"/>
        <v>4.400367824666284E-12</v>
      </c>
      <c r="BH116" s="60">
        <f t="shared" si="62"/>
        <v>293.33333333333769</v>
      </c>
      <c r="BI116" s="60">
        <f ca="1">AVERAGE(OFFSET($BH$3,0,0,'Données projet'!$E$11+1,1))-AVERAGE(OFFSET($H$3,0,0,'Données projet'!$E$11+1,1))</f>
        <v>278.61904724595763</v>
      </c>
      <c r="BJ116" s="60">
        <f t="shared" si="92"/>
        <v>274.55710362891892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0">
        <f t="shared" si="65"/>
        <v>293.33333333333582</v>
      </c>
      <c r="CD116" s="60">
        <f ca="1">AVERAGE(OFFSET($CC$3,0,0,'Données projet'!$E$12+1,1))-AVERAGE(OFFSET($H$3,0,0,'Données projet'!$E$12+1,1))</f>
        <v>292.57482726862594</v>
      </c>
      <c r="CE116" s="60">
        <f t="shared" si="94"/>
        <v>283.48738729114024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-6.2527760746888816E-13</v>
      </c>
      <c r="CU116" s="18">
        <f>CT116*VLOOKUP('Données projet'!$B$13,Paramètres!$A$1:$I$89,3,0)*VLOOKUP('Données projet'!$B$13,Paramètres!$A$1:$I$89,5,0)</f>
        <v>-2.9262992029543964E-13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246.64907095367749</v>
      </c>
      <c r="CZ116" s="60">
        <f t="shared" si="96"/>
        <v>145.34368562171613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-9.2222762759774927E-14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256.19915261735281</v>
      </c>
      <c r="DU116" s="60">
        <f t="shared" si="98"/>
        <v>297.47246687305056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842.87101477628994</v>
      </c>
      <c r="S117" s="60">
        <f ca="1">AVERAGE(OFFSET($R$3,0,0,'Données projet'!$E$9+1,1))-AVERAGE(OFFSET($H$3,0,0,'Données projet'!$E$9+1,1))</f>
        <v>428.8489304403459</v>
      </c>
      <c r="T117" s="60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1.8089849618263545E-13</v>
      </c>
      <c r="AK117" s="14">
        <f t="shared" si="89"/>
        <v>2.536422473342444E-12</v>
      </c>
      <c r="AL117" s="22">
        <f t="shared" si="58"/>
        <v>4.7326673552561798E-12</v>
      </c>
      <c r="AM117" s="60">
        <f t="shared" si="59"/>
        <v>293.33333333333803</v>
      </c>
      <c r="AN117" s="60">
        <f ca="1">AVERAGE(OFFSET($AM$3,0,0,'Données projet'!$E$10+1,1))-AVERAGE(OFFSET($H$3,0,0,'Données projet'!$E$10+1,1))</f>
        <v>299.28262372717484</v>
      </c>
      <c r="AO117" s="60">
        <f t="shared" si="90"/>
        <v>294.28794439094889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projet'!$B$11,Paramètres!$A$1:$I$89,3,0)*VLOOKUP('Données projet'!$B$11,Paramètres!$A$1:$I$89,5,0)</f>
        <v>1.6671037883497774E-13</v>
      </c>
      <c r="BF117" s="14">
        <f t="shared" si="91"/>
        <v>2.3598166018346595E-12</v>
      </c>
      <c r="BG117" s="22">
        <f t="shared" si="61"/>
        <v>4.400367824666284E-12</v>
      </c>
      <c r="BH117" s="60">
        <f t="shared" si="62"/>
        <v>293.33333333333769</v>
      </c>
      <c r="BI117" s="60">
        <f ca="1">AVERAGE(OFFSET($BH$3,0,0,'Données projet'!$E$11+1,1))-AVERAGE(OFFSET($H$3,0,0,'Données projet'!$E$11+1,1))</f>
        <v>278.61904724595763</v>
      </c>
      <c r="BJ117" s="60">
        <f t="shared" si="92"/>
        <v>274.55710362891892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0">
        <f t="shared" si="65"/>
        <v>293.33333333333582</v>
      </c>
      <c r="CD117" s="60">
        <f ca="1">AVERAGE(OFFSET($CC$3,0,0,'Données projet'!$E$12+1,1))-AVERAGE(OFFSET($H$3,0,0,'Données projet'!$E$12+1,1))</f>
        <v>292.57482726862594</v>
      </c>
      <c r="CE117" s="60">
        <f t="shared" si="94"/>
        <v>283.48738729114024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-6.2527760746888816E-13</v>
      </c>
      <c r="CU117" s="18">
        <f>CT117*VLOOKUP('Données projet'!$B$13,Paramètres!$A$1:$I$89,3,0)*VLOOKUP('Données projet'!$B$13,Paramètres!$A$1:$I$89,5,0)</f>
        <v>-2.9262992029543964E-13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246.64907095367749</v>
      </c>
      <c r="CZ117" s="60">
        <f t="shared" si="96"/>
        <v>145.34368562171613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-9.2222762759774927E-14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256.19915261735281</v>
      </c>
      <c r="DU117" s="60">
        <f t="shared" si="98"/>
        <v>297.47246687305056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849.94695502425111</v>
      </c>
      <c r="S118" s="60">
        <f ca="1">AVERAGE(OFFSET($R$3,0,0,'Données projet'!$E$9+1,1))-AVERAGE(OFFSET($H$3,0,0,'Données projet'!$E$9+1,1))</f>
        <v>428.8489304403459</v>
      </c>
      <c r="T118" s="60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1.8089849618263545E-13</v>
      </c>
      <c r="AK118" s="14">
        <f t="shared" si="89"/>
        <v>2.536422473342444E-12</v>
      </c>
      <c r="AL118" s="22">
        <f t="shared" si="58"/>
        <v>4.7326673552561798E-12</v>
      </c>
      <c r="AM118" s="60">
        <f t="shared" si="59"/>
        <v>293.33333333333803</v>
      </c>
      <c r="AN118" s="60">
        <f ca="1">AVERAGE(OFFSET($AM$3,0,0,'Données projet'!$E$10+1,1))-AVERAGE(OFFSET($H$3,0,0,'Données projet'!$E$10+1,1))</f>
        <v>299.28262372717484</v>
      </c>
      <c r="AO118" s="60">
        <f t="shared" si="90"/>
        <v>294.28794439094889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projet'!$B$11,Paramètres!$A$1:$I$89,3,0)*VLOOKUP('Données projet'!$B$11,Paramètres!$A$1:$I$89,5,0)</f>
        <v>1.6671037883497774E-13</v>
      </c>
      <c r="BF118" s="14">
        <f t="shared" si="91"/>
        <v>2.3598166018346595E-12</v>
      </c>
      <c r="BG118" s="22">
        <f t="shared" si="61"/>
        <v>4.400367824666284E-12</v>
      </c>
      <c r="BH118" s="60">
        <f t="shared" si="62"/>
        <v>293.33333333333769</v>
      </c>
      <c r="BI118" s="60">
        <f ca="1">AVERAGE(OFFSET($BH$3,0,0,'Données projet'!$E$11+1,1))-AVERAGE(OFFSET($H$3,0,0,'Données projet'!$E$11+1,1))</f>
        <v>278.61904724595763</v>
      </c>
      <c r="BJ118" s="60">
        <f t="shared" si="92"/>
        <v>274.55710362891892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0">
        <f t="shared" si="65"/>
        <v>293.33333333333582</v>
      </c>
      <c r="CD118" s="60">
        <f ca="1">AVERAGE(OFFSET($CC$3,0,0,'Données projet'!$E$12+1,1))-AVERAGE(OFFSET($H$3,0,0,'Données projet'!$E$12+1,1))</f>
        <v>292.57482726862594</v>
      </c>
      <c r="CE118" s="60">
        <f t="shared" si="94"/>
        <v>283.48738729114024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-6.2527760746888816E-13</v>
      </c>
      <c r="CU118" s="18">
        <f>CT118*VLOOKUP('Données projet'!$B$13,Paramètres!$A$1:$I$89,3,0)*VLOOKUP('Données projet'!$B$13,Paramètres!$A$1:$I$89,5,0)</f>
        <v>-2.9262992029543964E-13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246.64907095367749</v>
      </c>
      <c r="CZ118" s="60">
        <f t="shared" si="96"/>
        <v>145.34368562171613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-9.2222762759774927E-14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256.19915261735281</v>
      </c>
      <c r="DU118" s="60">
        <f t="shared" si="98"/>
        <v>297.47246687305056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857.02101155317155</v>
      </c>
      <c r="S119" s="60">
        <f ca="1">AVERAGE(OFFSET($R$3,0,0,'Données projet'!$E$9+1,1))-AVERAGE(OFFSET($H$3,0,0,'Données projet'!$E$9+1,1))</f>
        <v>428.8489304403459</v>
      </c>
      <c r="T119" s="60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1.8089849618263545E-13</v>
      </c>
      <c r="AK119" s="14">
        <f t="shared" si="89"/>
        <v>2.536422473342444E-12</v>
      </c>
      <c r="AL119" s="22">
        <f t="shared" si="58"/>
        <v>4.7326673552561798E-12</v>
      </c>
      <c r="AM119" s="60">
        <f t="shared" si="59"/>
        <v>293.33333333333803</v>
      </c>
      <c r="AN119" s="60">
        <f ca="1">AVERAGE(OFFSET($AM$3,0,0,'Données projet'!$E$10+1,1))-AVERAGE(OFFSET($H$3,0,0,'Données projet'!$E$10+1,1))</f>
        <v>299.28262372717484</v>
      </c>
      <c r="AO119" s="60">
        <f t="shared" si="90"/>
        <v>294.28794439094889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projet'!$B$11,Paramètres!$A$1:$I$89,3,0)*VLOOKUP('Données projet'!$B$11,Paramètres!$A$1:$I$89,5,0)</f>
        <v>1.6671037883497774E-13</v>
      </c>
      <c r="BF119" s="14">
        <f t="shared" si="91"/>
        <v>2.3598166018346595E-12</v>
      </c>
      <c r="BG119" s="22">
        <f t="shared" si="61"/>
        <v>4.400367824666284E-12</v>
      </c>
      <c r="BH119" s="60">
        <f t="shared" si="62"/>
        <v>293.33333333333769</v>
      </c>
      <c r="BI119" s="60">
        <f ca="1">AVERAGE(OFFSET($BH$3,0,0,'Données projet'!$E$11+1,1))-AVERAGE(OFFSET($H$3,0,0,'Données projet'!$E$11+1,1))</f>
        <v>278.61904724595763</v>
      </c>
      <c r="BJ119" s="60">
        <f t="shared" si="92"/>
        <v>274.55710362891892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0">
        <f t="shared" si="65"/>
        <v>293.33333333333582</v>
      </c>
      <c r="CD119" s="60">
        <f ca="1">AVERAGE(OFFSET($CC$3,0,0,'Données projet'!$E$12+1,1))-AVERAGE(OFFSET($H$3,0,0,'Données projet'!$E$12+1,1))</f>
        <v>292.57482726862594</v>
      </c>
      <c r="CE119" s="60">
        <f t="shared" si="94"/>
        <v>283.48738729114024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-6.2527760746888816E-13</v>
      </c>
      <c r="CU119" s="18">
        <f>CT119*VLOOKUP('Données projet'!$B$13,Paramètres!$A$1:$I$89,3,0)*VLOOKUP('Données projet'!$B$13,Paramètres!$A$1:$I$89,5,0)</f>
        <v>-2.9262992029543964E-13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246.64907095367749</v>
      </c>
      <c r="CZ119" s="60">
        <f t="shared" si="96"/>
        <v>145.34368562171613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-9.2222762759774927E-14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256.19915261735281</v>
      </c>
      <c r="DU119" s="60">
        <f t="shared" si="98"/>
        <v>297.47246687305056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864.09321134313223</v>
      </c>
      <c r="S120" s="60">
        <f ca="1">AVERAGE(OFFSET($R$3,0,0,'Données projet'!$E$9+1,1))-AVERAGE(OFFSET($H$3,0,0,'Données projet'!$E$9+1,1))</f>
        <v>428.8489304403459</v>
      </c>
      <c r="T120" s="60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1.8089849618263545E-13</v>
      </c>
      <c r="AK120" s="14">
        <f t="shared" si="89"/>
        <v>2.536422473342444E-12</v>
      </c>
      <c r="AL120" s="22">
        <f t="shared" si="58"/>
        <v>4.7326673552561798E-12</v>
      </c>
      <c r="AM120" s="60">
        <f t="shared" si="59"/>
        <v>293.33333333333803</v>
      </c>
      <c r="AN120" s="60">
        <f ca="1">AVERAGE(OFFSET($AM$3,0,0,'Données projet'!$E$10+1,1))-AVERAGE(OFFSET($H$3,0,0,'Données projet'!$E$10+1,1))</f>
        <v>299.28262372717484</v>
      </c>
      <c r="AO120" s="60">
        <f t="shared" si="90"/>
        <v>294.28794439094889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projet'!$B$11,Paramètres!$A$1:$I$89,3,0)*VLOOKUP('Données projet'!$B$11,Paramètres!$A$1:$I$89,5,0)</f>
        <v>1.6671037883497774E-13</v>
      </c>
      <c r="BF120" s="14">
        <f t="shared" si="91"/>
        <v>2.3598166018346595E-12</v>
      </c>
      <c r="BG120" s="22">
        <f t="shared" si="61"/>
        <v>4.400367824666284E-12</v>
      </c>
      <c r="BH120" s="60">
        <f t="shared" si="62"/>
        <v>293.33333333333769</v>
      </c>
      <c r="BI120" s="60">
        <f ca="1">AVERAGE(OFFSET($BH$3,0,0,'Données projet'!$E$11+1,1))-AVERAGE(OFFSET($H$3,0,0,'Données projet'!$E$11+1,1))</f>
        <v>278.61904724595763</v>
      </c>
      <c r="BJ120" s="60">
        <f t="shared" si="92"/>
        <v>274.55710362891892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0">
        <f t="shared" si="65"/>
        <v>293.33333333333582</v>
      </c>
      <c r="CD120" s="60">
        <f ca="1">AVERAGE(OFFSET($CC$3,0,0,'Données projet'!$E$12+1,1))-AVERAGE(OFFSET($H$3,0,0,'Données projet'!$E$12+1,1))</f>
        <v>292.57482726862594</v>
      </c>
      <c r="CE120" s="60">
        <f t="shared" si="94"/>
        <v>283.48738729114024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-6.2527760746888816E-13</v>
      </c>
      <c r="CU120" s="18">
        <f>CT120*VLOOKUP('Données projet'!$B$13,Paramètres!$A$1:$I$89,3,0)*VLOOKUP('Données projet'!$B$13,Paramètres!$A$1:$I$89,5,0)</f>
        <v>-2.9262992029543964E-13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246.64907095367749</v>
      </c>
      <c r="CZ120" s="60">
        <f t="shared" si="96"/>
        <v>145.34368562171613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-9.2222762759774927E-14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256.19915261735281</v>
      </c>
      <c r="DU120" s="60">
        <f t="shared" si="98"/>
        <v>297.47246687305056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871.16358065090617</v>
      </c>
      <c r="S121" s="60">
        <f ca="1">AVERAGE(OFFSET($R$3,0,0,'Données projet'!$E$9+1,1))-AVERAGE(OFFSET($H$3,0,0,'Données projet'!$E$9+1,1))</f>
        <v>428.8489304403459</v>
      </c>
      <c r="T121" s="60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1.8089849618263545E-13</v>
      </c>
      <c r="AK121" s="14">
        <f t="shared" si="89"/>
        <v>2.536422473342444E-12</v>
      </c>
      <c r="AL121" s="22">
        <f t="shared" si="58"/>
        <v>4.7326673552561798E-12</v>
      </c>
      <c r="AM121" s="60">
        <f t="shared" si="59"/>
        <v>293.33333333333803</v>
      </c>
      <c r="AN121" s="60">
        <f ca="1">AVERAGE(OFFSET($AM$3,0,0,'Données projet'!$E$10+1,1))-AVERAGE(OFFSET($H$3,0,0,'Données projet'!$E$10+1,1))</f>
        <v>299.28262372717484</v>
      </c>
      <c r="AO121" s="60">
        <f t="shared" si="90"/>
        <v>294.28794439094889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projet'!$B$11,Paramètres!$A$1:$I$89,3,0)*VLOOKUP('Données projet'!$B$11,Paramètres!$A$1:$I$89,5,0)</f>
        <v>1.6671037883497774E-13</v>
      </c>
      <c r="BF121" s="14">
        <f t="shared" si="91"/>
        <v>2.3598166018346595E-12</v>
      </c>
      <c r="BG121" s="22">
        <f t="shared" si="61"/>
        <v>4.400367824666284E-12</v>
      </c>
      <c r="BH121" s="60">
        <f t="shared" si="62"/>
        <v>293.33333333333769</v>
      </c>
      <c r="BI121" s="60">
        <f ca="1">AVERAGE(OFFSET($BH$3,0,0,'Données projet'!$E$11+1,1))-AVERAGE(OFFSET($H$3,0,0,'Données projet'!$E$11+1,1))</f>
        <v>278.61904724595763</v>
      </c>
      <c r="BJ121" s="60">
        <f t="shared" si="92"/>
        <v>274.55710362891892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0">
        <f t="shared" si="65"/>
        <v>293.33333333333582</v>
      </c>
      <c r="CD121" s="60">
        <f ca="1">AVERAGE(OFFSET($CC$3,0,0,'Données projet'!$E$12+1,1))-AVERAGE(OFFSET($H$3,0,0,'Données projet'!$E$12+1,1))</f>
        <v>292.57482726862594</v>
      </c>
      <c r="CE121" s="60">
        <f t="shared" si="94"/>
        <v>283.48738729114024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-6.2527760746888816E-13</v>
      </c>
      <c r="CU121" s="18">
        <f>CT121*VLOOKUP('Données projet'!$B$13,Paramètres!$A$1:$I$89,3,0)*VLOOKUP('Données projet'!$B$13,Paramètres!$A$1:$I$89,5,0)</f>
        <v>-2.9262992029543964E-13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246.64907095367749</v>
      </c>
      <c r="CZ121" s="60">
        <f t="shared" si="96"/>
        <v>145.34368562171613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-9.2222762759774927E-14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256.19915261735281</v>
      </c>
      <c r="DU121" s="60">
        <f t="shared" si="98"/>
        <v>297.47246687305056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878.23214503815643</v>
      </c>
      <c r="S122" s="60">
        <f ca="1">AVERAGE(OFFSET($R$3,0,0,'Données projet'!$E$9+1,1))-AVERAGE(OFFSET($H$3,0,0,'Données projet'!$E$9+1,1))</f>
        <v>428.8489304403459</v>
      </c>
      <c r="T122" s="60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1.8089849618263545E-13</v>
      </c>
      <c r="AK122" s="14">
        <f t="shared" si="89"/>
        <v>2.536422473342444E-12</v>
      </c>
      <c r="AL122" s="22">
        <f t="shared" si="58"/>
        <v>4.7326673552561798E-12</v>
      </c>
      <c r="AM122" s="60">
        <f t="shared" si="59"/>
        <v>293.33333333333803</v>
      </c>
      <c r="AN122" s="60">
        <f ca="1">AVERAGE(OFFSET($AM$3,0,0,'Données projet'!$E$10+1,1))-AVERAGE(OFFSET($H$3,0,0,'Données projet'!$E$10+1,1))</f>
        <v>299.28262372717484</v>
      </c>
      <c r="AO122" s="60">
        <f t="shared" si="90"/>
        <v>294.28794439094889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projet'!$B$11,Paramètres!$A$1:$I$89,3,0)*VLOOKUP('Données projet'!$B$11,Paramètres!$A$1:$I$89,5,0)</f>
        <v>1.6671037883497774E-13</v>
      </c>
      <c r="BF122" s="14">
        <f t="shared" si="91"/>
        <v>2.3598166018346595E-12</v>
      </c>
      <c r="BG122" s="22">
        <f t="shared" si="61"/>
        <v>4.400367824666284E-12</v>
      </c>
      <c r="BH122" s="60">
        <f t="shared" si="62"/>
        <v>293.33333333333769</v>
      </c>
      <c r="BI122" s="60">
        <f ca="1">AVERAGE(OFFSET($BH$3,0,0,'Données projet'!$E$11+1,1))-AVERAGE(OFFSET($H$3,0,0,'Données projet'!$E$11+1,1))</f>
        <v>278.61904724595763</v>
      </c>
      <c r="BJ122" s="60">
        <f t="shared" si="92"/>
        <v>274.55710362891892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0">
        <f t="shared" si="65"/>
        <v>293.33333333333582</v>
      </c>
      <c r="CD122" s="60">
        <f ca="1">AVERAGE(OFFSET($CC$3,0,0,'Données projet'!$E$12+1,1))-AVERAGE(OFFSET($H$3,0,0,'Données projet'!$E$12+1,1))</f>
        <v>292.57482726862594</v>
      </c>
      <c r="CE122" s="60">
        <f t="shared" si="94"/>
        <v>283.48738729114024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-6.2527760746888816E-13</v>
      </c>
      <c r="CU122" s="18">
        <f>CT122*VLOOKUP('Données projet'!$B$13,Paramètres!$A$1:$I$89,3,0)*VLOOKUP('Données projet'!$B$13,Paramètres!$A$1:$I$89,5,0)</f>
        <v>-2.9262992029543964E-13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246.64907095367749</v>
      </c>
      <c r="CZ122" s="60">
        <f t="shared" si="96"/>
        <v>145.34368562171613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-9.2222762759774927E-14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256.19915261735281</v>
      </c>
      <c r="DU122" s="60">
        <f t="shared" si="98"/>
        <v>297.47246687305056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885.29892939819752</v>
      </c>
      <c r="S123" s="60">
        <f ca="1">AVERAGE(OFFSET($R$3,0,0,'Données projet'!$E$9+1,1))-AVERAGE(OFFSET($H$3,0,0,'Données projet'!$E$9+1,1))</f>
        <v>428.8489304403459</v>
      </c>
      <c r="T123" s="60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1.8089849618263545E-13</v>
      </c>
      <c r="AK123" s="14">
        <f t="shared" si="89"/>
        <v>2.536422473342444E-12</v>
      </c>
      <c r="AL123" s="22">
        <f t="shared" si="58"/>
        <v>4.7326673552561798E-12</v>
      </c>
      <c r="AM123" s="60">
        <f t="shared" si="59"/>
        <v>293.33333333333803</v>
      </c>
      <c r="AN123" s="60">
        <f ca="1">AVERAGE(OFFSET($AM$3,0,0,'Données projet'!$E$10+1,1))-AVERAGE(OFFSET($H$3,0,0,'Données projet'!$E$10+1,1))</f>
        <v>299.28262372717484</v>
      </c>
      <c r="AO123" s="60">
        <f t="shared" si="90"/>
        <v>294.28794439094889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projet'!$B$11,Paramètres!$A$1:$I$89,3,0)*VLOOKUP('Données projet'!$B$11,Paramètres!$A$1:$I$89,5,0)</f>
        <v>1.6671037883497774E-13</v>
      </c>
      <c r="BF123" s="14">
        <f t="shared" si="91"/>
        <v>2.3598166018346595E-12</v>
      </c>
      <c r="BG123" s="22">
        <f t="shared" si="61"/>
        <v>4.400367824666284E-12</v>
      </c>
      <c r="BH123" s="60">
        <f t="shared" si="62"/>
        <v>293.33333333333769</v>
      </c>
      <c r="BI123" s="60">
        <f ca="1">AVERAGE(OFFSET($BH$3,0,0,'Données projet'!$E$11+1,1))-AVERAGE(OFFSET($H$3,0,0,'Données projet'!$E$11+1,1))</f>
        <v>278.61904724595763</v>
      </c>
      <c r="BJ123" s="60">
        <f t="shared" si="92"/>
        <v>274.55710362891892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0">
        <f t="shared" si="65"/>
        <v>293.33333333333582</v>
      </c>
      <c r="CD123" s="60">
        <f ca="1">AVERAGE(OFFSET($CC$3,0,0,'Données projet'!$E$12+1,1))-AVERAGE(OFFSET($H$3,0,0,'Données projet'!$E$12+1,1))</f>
        <v>292.57482726862594</v>
      </c>
      <c r="CE123" s="60">
        <f t="shared" si="94"/>
        <v>283.48738729114024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-6.2527760746888816E-13</v>
      </c>
      <c r="CU123" s="18">
        <f>CT123*VLOOKUP('Données projet'!$B$13,Paramètres!$A$1:$I$89,3,0)*VLOOKUP('Données projet'!$B$13,Paramètres!$A$1:$I$89,5,0)</f>
        <v>-2.9262992029543964E-13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246.64907095367749</v>
      </c>
      <c r="CZ123" s="60">
        <f t="shared" si="96"/>
        <v>145.34368562171613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-9.2222762759774927E-14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256.19915261735281</v>
      </c>
      <c r="DU123" s="60">
        <f t="shared" si="98"/>
        <v>297.47246687305056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824.50283387733225</v>
      </c>
      <c r="S124" s="60">
        <f ca="1">AVERAGE(OFFSET($R$3,0,0,'Données projet'!$E$9+1,1))-AVERAGE(OFFSET($H$3,0,0,'Données projet'!$E$9+1,1))</f>
        <v>428.8489304403459</v>
      </c>
      <c r="T124" s="60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1.8089849618263545E-13</v>
      </c>
      <c r="AK124" s="14">
        <f t="shared" si="89"/>
        <v>2.536422473342444E-12</v>
      </c>
      <c r="AL124" s="22">
        <f t="shared" si="58"/>
        <v>4.7326673552561798E-12</v>
      </c>
      <c r="AM124" s="60">
        <f t="shared" si="59"/>
        <v>293.33333333333803</v>
      </c>
      <c r="AN124" s="60">
        <f ca="1">AVERAGE(OFFSET($AM$3,0,0,'Données projet'!$E$10+1,1))-AVERAGE(OFFSET($H$3,0,0,'Données projet'!$E$10+1,1))</f>
        <v>299.28262372717484</v>
      </c>
      <c r="AO124" s="60">
        <f t="shared" si="90"/>
        <v>294.28794439094889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projet'!$B$11,Paramètres!$A$1:$I$89,3,0)*VLOOKUP('Données projet'!$B$11,Paramètres!$A$1:$I$89,5,0)</f>
        <v>1.6671037883497774E-13</v>
      </c>
      <c r="BF124" s="14">
        <f t="shared" si="91"/>
        <v>2.3598166018346595E-12</v>
      </c>
      <c r="BG124" s="22">
        <f t="shared" si="61"/>
        <v>4.400367824666284E-12</v>
      </c>
      <c r="BH124" s="60">
        <f t="shared" si="62"/>
        <v>293.33333333333769</v>
      </c>
      <c r="BI124" s="60">
        <f ca="1">AVERAGE(OFFSET($BH$3,0,0,'Données projet'!$E$11+1,1))-AVERAGE(OFFSET($H$3,0,0,'Données projet'!$E$11+1,1))</f>
        <v>278.61904724595763</v>
      </c>
      <c r="BJ124" s="60">
        <f t="shared" si="92"/>
        <v>274.55710362891892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0">
        <f t="shared" si="65"/>
        <v>293.33333333333582</v>
      </c>
      <c r="CD124" s="60">
        <f ca="1">AVERAGE(OFFSET($CC$3,0,0,'Données projet'!$E$12+1,1))-AVERAGE(OFFSET($H$3,0,0,'Données projet'!$E$12+1,1))</f>
        <v>292.57482726862594</v>
      </c>
      <c r="CE124" s="60">
        <f t="shared" si="94"/>
        <v>283.48738729114024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-6.2527760746888816E-13</v>
      </c>
      <c r="CU124" s="18">
        <f>CT124*VLOOKUP('Données projet'!$B$13,Paramètres!$A$1:$I$89,3,0)*VLOOKUP('Données projet'!$B$13,Paramètres!$A$1:$I$89,5,0)</f>
        <v>-2.9262992029543964E-13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246.64907095367749</v>
      </c>
      <c r="CZ124" s="60">
        <f t="shared" si="96"/>
        <v>145.34368562171613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-9.2222762759774927E-14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256.19915261735281</v>
      </c>
      <c r="DU124" s="60">
        <f t="shared" si="98"/>
        <v>297.47246687305056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830.62702157178478</v>
      </c>
      <c r="S125" s="60">
        <f ca="1">AVERAGE(OFFSET($R$3,0,0,'Données projet'!$E$9+1,1))-AVERAGE(OFFSET($H$3,0,0,'Données projet'!$E$9+1,1))</f>
        <v>428.8489304403459</v>
      </c>
      <c r="T125" s="60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1.8089849618263545E-13</v>
      </c>
      <c r="AK125" s="14">
        <f t="shared" si="89"/>
        <v>2.536422473342444E-12</v>
      </c>
      <c r="AL125" s="22">
        <f t="shared" si="58"/>
        <v>4.7326673552561798E-12</v>
      </c>
      <c r="AM125" s="60">
        <f t="shared" si="59"/>
        <v>293.33333333333803</v>
      </c>
      <c r="AN125" s="60">
        <f ca="1">AVERAGE(OFFSET($AM$3,0,0,'Données projet'!$E$10+1,1))-AVERAGE(OFFSET($H$3,0,0,'Données projet'!$E$10+1,1))</f>
        <v>299.28262372717484</v>
      </c>
      <c r="AO125" s="60">
        <f t="shared" si="90"/>
        <v>294.28794439094889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projet'!$B$11,Paramètres!$A$1:$I$89,3,0)*VLOOKUP('Données projet'!$B$11,Paramètres!$A$1:$I$89,5,0)</f>
        <v>1.6671037883497774E-13</v>
      </c>
      <c r="BF125" s="14">
        <f t="shared" si="91"/>
        <v>2.3598166018346595E-12</v>
      </c>
      <c r="BG125" s="22">
        <f t="shared" si="61"/>
        <v>4.400367824666284E-12</v>
      </c>
      <c r="BH125" s="60">
        <f t="shared" si="62"/>
        <v>293.33333333333769</v>
      </c>
      <c r="BI125" s="60">
        <f ca="1">AVERAGE(OFFSET($BH$3,0,0,'Données projet'!$E$11+1,1))-AVERAGE(OFFSET($H$3,0,0,'Données projet'!$E$11+1,1))</f>
        <v>278.61904724595763</v>
      </c>
      <c r="BJ125" s="60">
        <f t="shared" si="92"/>
        <v>274.55710362891892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0">
        <f t="shared" si="65"/>
        <v>293.33333333333582</v>
      </c>
      <c r="CD125" s="60">
        <f ca="1">AVERAGE(OFFSET($CC$3,0,0,'Données projet'!$E$12+1,1))-AVERAGE(OFFSET($H$3,0,0,'Données projet'!$E$12+1,1))</f>
        <v>292.57482726862594</v>
      </c>
      <c r="CE125" s="60">
        <f t="shared" si="94"/>
        <v>283.48738729114024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-6.2527760746888816E-13</v>
      </c>
      <c r="CU125" s="18">
        <f>CT125*VLOOKUP('Données projet'!$B$13,Paramètres!$A$1:$I$89,3,0)*VLOOKUP('Données projet'!$B$13,Paramètres!$A$1:$I$89,5,0)</f>
        <v>-2.9262992029543964E-13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246.64907095367749</v>
      </c>
      <c r="CZ125" s="60">
        <f t="shared" si="96"/>
        <v>145.34368562171613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-9.2222762759774927E-14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256.19915261735281</v>
      </c>
      <c r="DU125" s="60">
        <f t="shared" si="98"/>
        <v>297.47246687305056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836.74974224894845</v>
      </c>
      <c r="S126" s="60">
        <f ca="1">AVERAGE(OFFSET($R$3,0,0,'Données projet'!$E$9+1,1))-AVERAGE(OFFSET($H$3,0,0,'Données projet'!$E$9+1,1))</f>
        <v>428.8489304403459</v>
      </c>
      <c r="T126" s="60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1.8089849618263545E-13</v>
      </c>
      <c r="AK126" s="14">
        <f t="shared" si="89"/>
        <v>2.536422473342444E-12</v>
      </c>
      <c r="AL126" s="22">
        <f t="shared" si="58"/>
        <v>4.7326673552561798E-12</v>
      </c>
      <c r="AM126" s="60">
        <f t="shared" si="59"/>
        <v>293.33333333333803</v>
      </c>
      <c r="AN126" s="60">
        <f ca="1">AVERAGE(OFFSET($AM$3,0,0,'Données projet'!$E$10+1,1))-AVERAGE(OFFSET($H$3,0,0,'Données projet'!$E$10+1,1))</f>
        <v>299.28262372717484</v>
      </c>
      <c r="AO126" s="60">
        <f t="shared" si="90"/>
        <v>294.28794439094889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projet'!$B$11,Paramètres!$A$1:$I$89,3,0)*VLOOKUP('Données projet'!$B$11,Paramètres!$A$1:$I$89,5,0)</f>
        <v>1.6671037883497774E-13</v>
      </c>
      <c r="BF126" s="14">
        <f t="shared" si="91"/>
        <v>2.3598166018346595E-12</v>
      </c>
      <c r="BG126" s="22">
        <f t="shared" si="61"/>
        <v>4.400367824666284E-12</v>
      </c>
      <c r="BH126" s="60">
        <f t="shared" si="62"/>
        <v>293.33333333333769</v>
      </c>
      <c r="BI126" s="60">
        <f ca="1">AVERAGE(OFFSET($BH$3,0,0,'Données projet'!$E$11+1,1))-AVERAGE(OFFSET($H$3,0,0,'Données projet'!$E$11+1,1))</f>
        <v>278.61904724595763</v>
      </c>
      <c r="BJ126" s="60">
        <f t="shared" si="92"/>
        <v>274.55710362891892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0">
        <f t="shared" si="65"/>
        <v>293.33333333333582</v>
      </c>
      <c r="CD126" s="60">
        <f ca="1">AVERAGE(OFFSET($CC$3,0,0,'Données projet'!$E$12+1,1))-AVERAGE(OFFSET($H$3,0,0,'Données projet'!$E$12+1,1))</f>
        <v>292.57482726862594</v>
      </c>
      <c r="CE126" s="60">
        <f t="shared" si="94"/>
        <v>283.48738729114024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-6.2527760746888816E-13</v>
      </c>
      <c r="CU126" s="18">
        <f>CT126*VLOOKUP('Données projet'!$B$13,Paramètres!$A$1:$I$89,3,0)*VLOOKUP('Données projet'!$B$13,Paramètres!$A$1:$I$89,5,0)</f>
        <v>-2.9262992029543964E-13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246.64907095367749</v>
      </c>
      <c r="CZ126" s="60">
        <f t="shared" si="96"/>
        <v>145.34368562171613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-9.2222762759774927E-14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256.19915261735281</v>
      </c>
      <c r="DU126" s="60">
        <f t="shared" si="98"/>
        <v>297.47246687305056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842.87101477628971</v>
      </c>
      <c r="S127" s="60">
        <f ca="1">AVERAGE(OFFSET($R$3,0,0,'Données projet'!$E$9+1,1))-AVERAGE(OFFSET($H$3,0,0,'Données projet'!$E$9+1,1))</f>
        <v>428.8489304403459</v>
      </c>
      <c r="T127" s="60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1.8089849618263545E-13</v>
      </c>
      <c r="AK127" s="14">
        <f t="shared" si="89"/>
        <v>2.536422473342444E-12</v>
      </c>
      <c r="AL127" s="22">
        <f t="shared" si="58"/>
        <v>4.7326673552561798E-12</v>
      </c>
      <c r="AM127" s="60">
        <f t="shared" si="59"/>
        <v>293.33333333333803</v>
      </c>
      <c r="AN127" s="60">
        <f ca="1">AVERAGE(OFFSET($AM$3,0,0,'Données projet'!$E$10+1,1))-AVERAGE(OFFSET($H$3,0,0,'Données projet'!$E$10+1,1))</f>
        <v>299.28262372717484</v>
      </c>
      <c r="AO127" s="60">
        <f t="shared" si="90"/>
        <v>294.28794439094889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projet'!$B$11,Paramètres!$A$1:$I$89,3,0)*VLOOKUP('Données projet'!$B$11,Paramètres!$A$1:$I$89,5,0)</f>
        <v>1.6671037883497774E-13</v>
      </c>
      <c r="BF127" s="14">
        <f t="shared" si="91"/>
        <v>2.3598166018346595E-12</v>
      </c>
      <c r="BG127" s="22">
        <f t="shared" si="61"/>
        <v>4.400367824666284E-12</v>
      </c>
      <c r="BH127" s="60">
        <f t="shared" si="62"/>
        <v>293.33333333333769</v>
      </c>
      <c r="BI127" s="60">
        <f ca="1">AVERAGE(OFFSET($BH$3,0,0,'Données projet'!$E$11+1,1))-AVERAGE(OFFSET($H$3,0,0,'Données projet'!$E$11+1,1))</f>
        <v>278.61904724595763</v>
      </c>
      <c r="BJ127" s="60">
        <f t="shared" si="92"/>
        <v>274.55710362891892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0">
        <f t="shared" si="65"/>
        <v>293.33333333333582</v>
      </c>
      <c r="CD127" s="60">
        <f ca="1">AVERAGE(OFFSET($CC$3,0,0,'Données projet'!$E$12+1,1))-AVERAGE(OFFSET($H$3,0,0,'Données projet'!$E$12+1,1))</f>
        <v>292.57482726862594</v>
      </c>
      <c r="CE127" s="60">
        <f t="shared" si="94"/>
        <v>283.48738729114024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-6.2527760746888816E-13</v>
      </c>
      <c r="CU127" s="18">
        <f>CT127*VLOOKUP('Données projet'!$B$13,Paramètres!$A$1:$I$89,3,0)*VLOOKUP('Données projet'!$B$13,Paramètres!$A$1:$I$89,5,0)</f>
        <v>-2.9262992029543964E-13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246.64907095367749</v>
      </c>
      <c r="CZ127" s="60">
        <f t="shared" si="96"/>
        <v>145.34368562171613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-9.2222762759774927E-14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256.19915261735281</v>
      </c>
      <c r="DU127" s="60">
        <f t="shared" si="98"/>
        <v>297.47246687305056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848.99085756649174</v>
      </c>
      <c r="S128" s="60">
        <f ca="1">AVERAGE(OFFSET($R$3,0,0,'Données projet'!$E$9+1,1))-AVERAGE(OFFSET($H$3,0,0,'Données projet'!$E$9+1,1))</f>
        <v>428.8489304403459</v>
      </c>
      <c r="T128" s="60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1.8089849618263545E-13</v>
      </c>
      <c r="AK128" s="14">
        <f t="shared" si="89"/>
        <v>2.536422473342444E-12</v>
      </c>
      <c r="AL128" s="22">
        <f t="shared" si="58"/>
        <v>4.7326673552561798E-12</v>
      </c>
      <c r="AM128" s="60">
        <f t="shared" si="59"/>
        <v>293.33333333333803</v>
      </c>
      <c r="AN128" s="60">
        <f ca="1">AVERAGE(OFFSET($AM$3,0,0,'Données projet'!$E$10+1,1))-AVERAGE(OFFSET($H$3,0,0,'Données projet'!$E$10+1,1))</f>
        <v>299.28262372717484</v>
      </c>
      <c r="AO128" s="60">
        <f t="shared" si="90"/>
        <v>294.28794439094889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projet'!$B$11,Paramètres!$A$1:$I$89,3,0)*VLOOKUP('Données projet'!$B$11,Paramètres!$A$1:$I$89,5,0)</f>
        <v>1.6671037883497774E-13</v>
      </c>
      <c r="BF128" s="14">
        <f t="shared" si="91"/>
        <v>2.3598166018346595E-12</v>
      </c>
      <c r="BG128" s="22">
        <f t="shared" si="61"/>
        <v>4.400367824666284E-12</v>
      </c>
      <c r="BH128" s="60">
        <f t="shared" si="62"/>
        <v>293.33333333333769</v>
      </c>
      <c r="BI128" s="60">
        <f ca="1">AVERAGE(OFFSET($BH$3,0,0,'Données projet'!$E$11+1,1))-AVERAGE(OFFSET($H$3,0,0,'Données projet'!$E$11+1,1))</f>
        <v>278.61904724595763</v>
      </c>
      <c r="BJ128" s="60">
        <f t="shared" si="92"/>
        <v>274.55710362891892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0">
        <f t="shared" si="65"/>
        <v>293.33333333333582</v>
      </c>
      <c r="CD128" s="60">
        <f ca="1">AVERAGE(OFFSET($CC$3,0,0,'Données projet'!$E$12+1,1))-AVERAGE(OFFSET($H$3,0,0,'Données projet'!$E$12+1,1))</f>
        <v>292.57482726862594</v>
      </c>
      <c r="CE128" s="60">
        <f t="shared" si="94"/>
        <v>283.48738729114024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-6.2527760746888816E-13</v>
      </c>
      <c r="CU128" s="18">
        <f>CT128*VLOOKUP('Données projet'!$B$13,Paramètres!$A$1:$I$89,3,0)*VLOOKUP('Données projet'!$B$13,Paramètres!$A$1:$I$89,5,0)</f>
        <v>-2.9262992029543964E-13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246.64907095367749</v>
      </c>
      <c r="CZ128" s="60">
        <f t="shared" si="96"/>
        <v>145.34368562171613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-9.2222762759774927E-14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256.19915261735281</v>
      </c>
      <c r="DU128" s="60">
        <f t="shared" si="98"/>
        <v>297.47246687305056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855.10928859341493</v>
      </c>
      <c r="S129" s="60">
        <f ca="1">AVERAGE(OFFSET($R$3,0,0,'Données projet'!$E$9+1,1))-AVERAGE(OFFSET($H$3,0,0,'Données projet'!$E$9+1,1))</f>
        <v>428.8489304403459</v>
      </c>
      <c r="T129" s="60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1.8089849618263545E-13</v>
      </c>
      <c r="AK129" s="14">
        <f t="shared" si="89"/>
        <v>2.536422473342444E-12</v>
      </c>
      <c r="AL129" s="22">
        <f t="shared" si="58"/>
        <v>4.7326673552561798E-12</v>
      </c>
      <c r="AM129" s="60">
        <f t="shared" si="59"/>
        <v>293.33333333333803</v>
      </c>
      <c r="AN129" s="60">
        <f ca="1">AVERAGE(OFFSET($AM$3,0,0,'Données projet'!$E$10+1,1))-AVERAGE(OFFSET($H$3,0,0,'Données projet'!$E$10+1,1))</f>
        <v>299.28262372717484</v>
      </c>
      <c r="AO129" s="60">
        <f t="shared" si="90"/>
        <v>294.28794439094889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projet'!$B$11,Paramètres!$A$1:$I$89,3,0)*VLOOKUP('Données projet'!$B$11,Paramètres!$A$1:$I$89,5,0)</f>
        <v>1.6671037883497774E-13</v>
      </c>
      <c r="BF129" s="14">
        <f t="shared" si="91"/>
        <v>2.3598166018346595E-12</v>
      </c>
      <c r="BG129" s="22">
        <f t="shared" si="61"/>
        <v>4.400367824666284E-12</v>
      </c>
      <c r="BH129" s="60">
        <f t="shared" si="62"/>
        <v>293.33333333333769</v>
      </c>
      <c r="BI129" s="60">
        <f ca="1">AVERAGE(OFFSET($BH$3,0,0,'Données projet'!$E$11+1,1))-AVERAGE(OFFSET($H$3,0,0,'Données projet'!$E$11+1,1))</f>
        <v>278.61904724595763</v>
      </c>
      <c r="BJ129" s="60">
        <f t="shared" si="92"/>
        <v>274.55710362891892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0">
        <f t="shared" si="65"/>
        <v>293.33333333333582</v>
      </c>
      <c r="CD129" s="60">
        <f ca="1">AVERAGE(OFFSET($CC$3,0,0,'Données projet'!$E$12+1,1))-AVERAGE(OFFSET($H$3,0,0,'Données projet'!$E$12+1,1))</f>
        <v>292.57482726862594</v>
      </c>
      <c r="CE129" s="60">
        <f t="shared" si="94"/>
        <v>283.48738729114024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-6.2527760746888816E-13</v>
      </c>
      <c r="CU129" s="18">
        <f>CT129*VLOOKUP('Données projet'!$B$13,Paramètres!$A$1:$I$89,3,0)*VLOOKUP('Données projet'!$B$13,Paramètres!$A$1:$I$89,5,0)</f>
        <v>-2.9262992029543964E-13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246.64907095367749</v>
      </c>
      <c r="CZ129" s="60">
        <f t="shared" si="96"/>
        <v>145.34368562171613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-9.2222762759774927E-14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256.19915261735281</v>
      </c>
      <c r="DU129" s="60">
        <f t="shared" si="98"/>
        <v>297.47246687305056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861.22632540732639</v>
      </c>
      <c r="S130" s="60">
        <f ca="1">AVERAGE(OFFSET($R$3,0,0,'Données projet'!$E$9+1,1))-AVERAGE(OFFSET($H$3,0,0,'Données projet'!$E$9+1,1))</f>
        <v>428.8489304403459</v>
      </c>
      <c r="T130" s="60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1.8089849618263545E-13</v>
      </c>
      <c r="AK130" s="14">
        <f t="shared" si="89"/>
        <v>2.536422473342444E-12</v>
      </c>
      <c r="AL130" s="22">
        <f t="shared" si="58"/>
        <v>4.7326673552561798E-12</v>
      </c>
      <c r="AM130" s="60">
        <f t="shared" si="59"/>
        <v>293.33333333333803</v>
      </c>
      <c r="AN130" s="60">
        <f ca="1">AVERAGE(OFFSET($AM$3,0,0,'Données projet'!$E$10+1,1))-AVERAGE(OFFSET($H$3,0,0,'Données projet'!$E$10+1,1))</f>
        <v>299.28262372717484</v>
      </c>
      <c r="AO130" s="60">
        <f t="shared" si="90"/>
        <v>294.28794439094889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projet'!$B$11,Paramètres!$A$1:$I$89,3,0)*VLOOKUP('Données projet'!$B$11,Paramètres!$A$1:$I$89,5,0)</f>
        <v>1.6671037883497774E-13</v>
      </c>
      <c r="BF130" s="14">
        <f t="shared" si="91"/>
        <v>2.3598166018346595E-12</v>
      </c>
      <c r="BG130" s="22">
        <f t="shared" si="61"/>
        <v>4.400367824666284E-12</v>
      </c>
      <c r="BH130" s="60">
        <f t="shared" si="62"/>
        <v>293.33333333333769</v>
      </c>
      <c r="BI130" s="60">
        <f ca="1">AVERAGE(OFFSET($BH$3,0,0,'Données projet'!$E$11+1,1))-AVERAGE(OFFSET($H$3,0,0,'Données projet'!$E$11+1,1))</f>
        <v>278.61904724595763</v>
      </c>
      <c r="BJ130" s="60">
        <f t="shared" si="92"/>
        <v>274.55710362891892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0">
        <f t="shared" si="65"/>
        <v>293.33333333333582</v>
      </c>
      <c r="CD130" s="60">
        <f ca="1">AVERAGE(OFFSET($CC$3,0,0,'Données projet'!$E$12+1,1))-AVERAGE(OFFSET($H$3,0,0,'Données projet'!$E$12+1,1))</f>
        <v>292.57482726862594</v>
      </c>
      <c r="CE130" s="60">
        <f t="shared" si="94"/>
        <v>283.48738729114024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-6.2527760746888816E-13</v>
      </c>
      <c r="CU130" s="18">
        <f>CT130*VLOOKUP('Données projet'!$B$13,Paramètres!$A$1:$I$89,3,0)*VLOOKUP('Données projet'!$B$13,Paramètres!$A$1:$I$89,5,0)</f>
        <v>-2.9262992029543964E-13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246.64907095367749</v>
      </c>
      <c r="CZ130" s="60">
        <f t="shared" si="96"/>
        <v>145.34368562171613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-9.2222762759774927E-14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256.19915261735281</v>
      </c>
      <c r="DU130" s="60">
        <f t="shared" si="98"/>
        <v>297.47246687305056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867.3419851494366</v>
      </c>
      <c r="S131" s="60">
        <f ca="1">AVERAGE(OFFSET($R$3,0,0,'Données projet'!$E$9+1,1))-AVERAGE(OFFSET($H$3,0,0,'Données projet'!$E$9+1,1))</f>
        <v>428.8489304403459</v>
      </c>
      <c r="T131" s="60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1.8089849618263545E-13</v>
      </c>
      <c r="AK131" s="14">
        <f t="shared" si="89"/>
        <v>2.536422473342444E-12</v>
      </c>
      <c r="AL131" s="22">
        <f t="shared" si="58"/>
        <v>4.7326673552561798E-12</v>
      </c>
      <c r="AM131" s="60">
        <f t="shared" si="59"/>
        <v>293.33333333333803</v>
      </c>
      <c r="AN131" s="60">
        <f ca="1">AVERAGE(OFFSET($AM$3,0,0,'Données projet'!$E$10+1,1))-AVERAGE(OFFSET($H$3,0,0,'Données projet'!$E$10+1,1))</f>
        <v>299.28262372717484</v>
      </c>
      <c r="AO131" s="60">
        <f t="shared" si="90"/>
        <v>294.28794439094889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projet'!$B$11,Paramètres!$A$1:$I$89,3,0)*VLOOKUP('Données projet'!$B$11,Paramètres!$A$1:$I$89,5,0)</f>
        <v>1.6671037883497774E-13</v>
      </c>
      <c r="BF131" s="14">
        <f t="shared" si="91"/>
        <v>2.3598166018346595E-12</v>
      </c>
      <c r="BG131" s="22">
        <f t="shared" si="61"/>
        <v>4.400367824666284E-12</v>
      </c>
      <c r="BH131" s="60">
        <f t="shared" si="62"/>
        <v>293.33333333333769</v>
      </c>
      <c r="BI131" s="60">
        <f ca="1">AVERAGE(OFFSET($BH$3,0,0,'Données projet'!$E$11+1,1))-AVERAGE(OFFSET($H$3,0,0,'Données projet'!$E$11+1,1))</f>
        <v>278.61904724595763</v>
      </c>
      <c r="BJ131" s="60">
        <f t="shared" si="92"/>
        <v>274.55710362891892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0">
        <f t="shared" si="65"/>
        <v>293.33333333333582</v>
      </c>
      <c r="CD131" s="60">
        <f ca="1">AVERAGE(OFFSET($CC$3,0,0,'Données projet'!$E$12+1,1))-AVERAGE(OFFSET($H$3,0,0,'Données projet'!$E$12+1,1))</f>
        <v>292.57482726862594</v>
      </c>
      <c r="CE131" s="60">
        <f t="shared" si="94"/>
        <v>283.48738729114024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-6.2527760746888816E-13</v>
      </c>
      <c r="CU131" s="18">
        <f>CT131*VLOOKUP('Données projet'!$B$13,Paramètres!$A$1:$I$89,3,0)*VLOOKUP('Données projet'!$B$13,Paramètres!$A$1:$I$89,5,0)</f>
        <v>-2.9262992029543964E-13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246.64907095367749</v>
      </c>
      <c r="CZ131" s="60">
        <f t="shared" si="96"/>
        <v>145.34368562171613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-9.2222762759774927E-14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256.19915261735281</v>
      </c>
      <c r="DU131" s="60">
        <f t="shared" si="98"/>
        <v>297.47246687305056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873.4562845657872</v>
      </c>
      <c r="S132" s="60">
        <f ca="1">AVERAGE(OFFSET($R$3,0,0,'Données projet'!$E$9+1,1))-AVERAGE(OFFSET($H$3,0,0,'Données projet'!$E$9+1,1))</f>
        <v>428.8489304403459</v>
      </c>
      <c r="T132" s="60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1.8089849618263545E-13</v>
      </c>
      <c r="AK132" s="14">
        <f t="shared" si="89"/>
        <v>2.536422473342444E-12</v>
      </c>
      <c r="AL132" s="22">
        <f t="shared" ref="AL132:AL153" si="112">(AJ132+AK132)*0.475*44/12</f>
        <v>4.7326673552561798E-12</v>
      </c>
      <c r="AM132" s="60">
        <f t="shared" ref="AM132:AM195" si="113">AL132+(AD132+AE132)*44/12</f>
        <v>293.33333333333803</v>
      </c>
      <c r="AN132" s="60">
        <f ca="1">AVERAGE(OFFSET($AM$3,0,0,'Données projet'!$E$10+1,1))-AVERAGE(OFFSET($H$3,0,0,'Données projet'!$E$10+1,1))</f>
        <v>299.28262372717484</v>
      </c>
      <c r="AO132" s="60">
        <f t="shared" si="90"/>
        <v>294.28794439094889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projet'!$B$11,Paramètres!$A$1:$I$89,3,0)*VLOOKUP('Données projet'!$B$11,Paramètres!$A$1:$I$89,5,0)</f>
        <v>1.6671037883497774E-13</v>
      </c>
      <c r="BF132" s="14">
        <f t="shared" si="91"/>
        <v>2.3598166018346595E-12</v>
      </c>
      <c r="BG132" s="22">
        <f t="shared" ref="BG132:BG153" si="115">(BE132+BF132)*0.475*44/12</f>
        <v>4.400367824666284E-12</v>
      </c>
      <c r="BH132" s="60">
        <f t="shared" ref="BH132:BH195" si="116">BG132+(AY132+AZ132)*44/12</f>
        <v>293.33333333333769</v>
      </c>
      <c r="BI132" s="60">
        <f ca="1">AVERAGE(OFFSET($BH$3,0,0,'Données projet'!$E$11+1,1))-AVERAGE(OFFSET($H$3,0,0,'Données projet'!$E$11+1,1))</f>
        <v>278.61904724595763</v>
      </c>
      <c r="BJ132" s="60">
        <f t="shared" si="92"/>
        <v>274.55710362891892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0">
        <f t="shared" ref="CC132:CC195" si="119">CB132+(BT132+BU132)*44/12</f>
        <v>293.33333333333582</v>
      </c>
      <c r="CD132" s="60">
        <f ca="1">AVERAGE(OFFSET($CC$3,0,0,'Données projet'!$E$12+1,1))-AVERAGE(OFFSET($H$3,0,0,'Données projet'!$E$12+1,1))</f>
        <v>292.57482726862594</v>
      </c>
      <c r="CE132" s="60">
        <f t="shared" si="94"/>
        <v>283.48738729114024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-6.2527760746888816E-13</v>
      </c>
      <c r="CU132" s="18">
        <f>CT132*VLOOKUP('Données projet'!$B$13,Paramètres!$A$1:$I$89,3,0)*VLOOKUP('Données projet'!$B$13,Paramètres!$A$1:$I$89,5,0)</f>
        <v>-2.9262992029543964E-13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246.64907095367749</v>
      </c>
      <c r="CZ132" s="60">
        <f t="shared" si="96"/>
        <v>145.34368562171613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-9.2222762759774927E-14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256.19915261735281</v>
      </c>
      <c r="DU132" s="60">
        <f t="shared" si="98"/>
        <v>297.47246687305056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879.56924002052051</v>
      </c>
      <c r="S133" s="60">
        <f ca="1">AVERAGE(OFFSET($R$3,0,0,'Données projet'!$E$9+1,1))-AVERAGE(OFFSET($H$3,0,0,'Données projet'!$E$9+1,1))</f>
        <v>428.8489304403459</v>
      </c>
      <c r="T133" s="60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1.8089849618263545E-13</v>
      </c>
      <c r="AK133" s="14">
        <f t="shared" ref="AK133:AK153" si="143">EXP(-1.0587+0.8836*LN(AJ133)+0.284)</f>
        <v>2.536422473342444E-12</v>
      </c>
      <c r="AL133" s="22">
        <f t="shared" si="112"/>
        <v>4.7326673552561798E-12</v>
      </c>
      <c r="AM133" s="60">
        <f t="shared" si="113"/>
        <v>293.33333333333803</v>
      </c>
      <c r="AN133" s="60">
        <f ca="1">AVERAGE(OFFSET($AM$3,0,0,'Données projet'!$E$10+1,1))-AVERAGE(OFFSET($H$3,0,0,'Données projet'!$E$10+1,1))</f>
        <v>299.28262372717484</v>
      </c>
      <c r="AO133" s="60">
        <f t="shared" ref="AO133:AO196" si="144">$AO$3</f>
        <v>294.28794439094889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projet'!$B$11,Paramètres!$A$1:$I$89,3,0)*VLOOKUP('Données projet'!$B$11,Paramètres!$A$1:$I$89,5,0)</f>
        <v>1.6671037883497774E-13</v>
      </c>
      <c r="BF133" s="14">
        <f t="shared" ref="BF133:BF153" si="145">EXP(-1.0587+0.8836*LN(BE133)+0.284)</f>
        <v>2.3598166018346595E-12</v>
      </c>
      <c r="BG133" s="22">
        <f t="shared" si="115"/>
        <v>4.400367824666284E-12</v>
      </c>
      <c r="BH133" s="60">
        <f t="shared" si="116"/>
        <v>293.33333333333769</v>
      </c>
      <c r="BI133" s="60">
        <f ca="1">AVERAGE(OFFSET($BH$3,0,0,'Données projet'!$E$11+1,1))-AVERAGE(OFFSET($H$3,0,0,'Données projet'!$E$11+1,1))</f>
        <v>278.61904724595763</v>
      </c>
      <c r="BJ133" s="60">
        <f t="shared" ref="BJ133:BJ196" si="146">$BJ$3</f>
        <v>274.55710362891892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0">
        <f t="shared" si="119"/>
        <v>293.33333333333582</v>
      </c>
      <c r="CD133" s="60">
        <f ca="1">AVERAGE(OFFSET($CC$3,0,0,'Données projet'!$E$12+1,1))-AVERAGE(OFFSET($H$3,0,0,'Données projet'!$E$12+1,1))</f>
        <v>292.57482726862594</v>
      </c>
      <c r="CE133" s="60">
        <f t="shared" ref="CE133:CE196" si="148">$CE$3</f>
        <v>283.48738729114024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-6.2527760746888816E-13</v>
      </c>
      <c r="CU133" s="18">
        <f>CT133*VLOOKUP('Données projet'!$B$13,Paramètres!$A$1:$I$89,3,0)*VLOOKUP('Données projet'!$B$13,Paramètres!$A$1:$I$89,5,0)</f>
        <v>-2.9262992029543964E-13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246.64907095367749</v>
      </c>
      <c r="CZ133" s="60">
        <f t="shared" ref="CZ133:CZ196" si="150">$CZ$3</f>
        <v>145.34368562171613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-9.2222762759774927E-14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256.19915261735281</v>
      </c>
      <c r="DU133" s="60">
        <f t="shared" ref="DU133:DU196" si="152">$DU$3</f>
        <v>297.47246687305056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825.45983568521592</v>
      </c>
      <c r="S134" s="60">
        <f ca="1">AVERAGE(OFFSET($R$3,0,0,'Données projet'!$E$9+1,1))-AVERAGE(OFFSET($H$3,0,0,'Données projet'!$E$9+1,1))</f>
        <v>428.8489304403459</v>
      </c>
      <c r="T134" s="60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1.8089849618263545E-13</v>
      </c>
      <c r="AK134" s="14">
        <f t="shared" si="143"/>
        <v>2.536422473342444E-12</v>
      </c>
      <c r="AL134" s="22">
        <f t="shared" si="112"/>
        <v>4.7326673552561798E-12</v>
      </c>
      <c r="AM134" s="60">
        <f t="shared" si="113"/>
        <v>293.33333333333803</v>
      </c>
      <c r="AN134" s="60">
        <f ca="1">AVERAGE(OFFSET($AM$3,0,0,'Données projet'!$E$10+1,1))-AVERAGE(OFFSET($H$3,0,0,'Données projet'!$E$10+1,1))</f>
        <v>299.28262372717484</v>
      </c>
      <c r="AO134" s="60">
        <f t="shared" si="144"/>
        <v>294.28794439094889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projet'!$B$11,Paramètres!$A$1:$I$89,3,0)*VLOOKUP('Données projet'!$B$11,Paramètres!$A$1:$I$89,5,0)</f>
        <v>1.6671037883497774E-13</v>
      </c>
      <c r="BF134" s="14">
        <f t="shared" si="145"/>
        <v>2.3598166018346595E-12</v>
      </c>
      <c r="BG134" s="22">
        <f t="shared" si="115"/>
        <v>4.400367824666284E-12</v>
      </c>
      <c r="BH134" s="60">
        <f t="shared" si="116"/>
        <v>293.33333333333769</v>
      </c>
      <c r="BI134" s="60">
        <f ca="1">AVERAGE(OFFSET($BH$3,0,0,'Données projet'!$E$11+1,1))-AVERAGE(OFFSET($H$3,0,0,'Données projet'!$E$11+1,1))</f>
        <v>278.61904724595763</v>
      </c>
      <c r="BJ134" s="60">
        <f t="shared" si="146"/>
        <v>274.55710362891892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0">
        <f t="shared" si="119"/>
        <v>293.33333333333582</v>
      </c>
      <c r="CD134" s="60">
        <f ca="1">AVERAGE(OFFSET($CC$3,0,0,'Données projet'!$E$12+1,1))-AVERAGE(OFFSET($H$3,0,0,'Données projet'!$E$12+1,1))</f>
        <v>292.57482726862594</v>
      </c>
      <c r="CE134" s="60">
        <f t="shared" si="148"/>
        <v>283.48738729114024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-6.2527760746888816E-13</v>
      </c>
      <c r="CU134" s="18">
        <f>CT134*VLOOKUP('Données projet'!$B$13,Paramètres!$A$1:$I$89,3,0)*VLOOKUP('Données projet'!$B$13,Paramètres!$A$1:$I$89,5,0)</f>
        <v>-2.9262992029543964E-13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246.64907095367749</v>
      </c>
      <c r="CZ134" s="60">
        <f t="shared" si="150"/>
        <v>145.34368562171613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-9.2222762759774927E-14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256.19915261735281</v>
      </c>
      <c r="DU134" s="60">
        <f t="shared" si="152"/>
        <v>297.47246687305056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830.62702157178455</v>
      </c>
      <c r="S135" s="60">
        <f ca="1">AVERAGE(OFFSET($R$3,0,0,'Données projet'!$E$9+1,1))-AVERAGE(OFFSET($H$3,0,0,'Données projet'!$E$9+1,1))</f>
        <v>428.8489304403459</v>
      </c>
      <c r="T135" s="60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1.8089849618263545E-13</v>
      </c>
      <c r="AK135" s="14">
        <f t="shared" si="143"/>
        <v>2.536422473342444E-12</v>
      </c>
      <c r="AL135" s="22">
        <f t="shared" si="112"/>
        <v>4.7326673552561798E-12</v>
      </c>
      <c r="AM135" s="60">
        <f t="shared" si="113"/>
        <v>293.33333333333803</v>
      </c>
      <c r="AN135" s="60">
        <f ca="1">AVERAGE(OFFSET($AM$3,0,0,'Données projet'!$E$10+1,1))-AVERAGE(OFFSET($H$3,0,0,'Données projet'!$E$10+1,1))</f>
        <v>299.28262372717484</v>
      </c>
      <c r="AO135" s="60">
        <f t="shared" si="144"/>
        <v>294.28794439094889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projet'!$B$11,Paramètres!$A$1:$I$89,3,0)*VLOOKUP('Données projet'!$B$11,Paramètres!$A$1:$I$89,5,0)</f>
        <v>1.6671037883497774E-13</v>
      </c>
      <c r="BF135" s="14">
        <f t="shared" si="145"/>
        <v>2.3598166018346595E-12</v>
      </c>
      <c r="BG135" s="22">
        <f t="shared" si="115"/>
        <v>4.400367824666284E-12</v>
      </c>
      <c r="BH135" s="60">
        <f t="shared" si="116"/>
        <v>293.33333333333769</v>
      </c>
      <c r="BI135" s="60">
        <f ca="1">AVERAGE(OFFSET($BH$3,0,0,'Données projet'!$E$11+1,1))-AVERAGE(OFFSET($H$3,0,0,'Données projet'!$E$11+1,1))</f>
        <v>278.61904724595763</v>
      </c>
      <c r="BJ135" s="60">
        <f t="shared" si="146"/>
        <v>274.55710362891892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0">
        <f t="shared" si="119"/>
        <v>293.33333333333582</v>
      </c>
      <c r="CD135" s="60">
        <f ca="1">AVERAGE(OFFSET($CC$3,0,0,'Données projet'!$E$12+1,1))-AVERAGE(OFFSET($H$3,0,0,'Données projet'!$E$12+1,1))</f>
        <v>292.57482726862594</v>
      </c>
      <c r="CE135" s="60">
        <f t="shared" si="148"/>
        <v>283.48738729114024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-6.2527760746888816E-13</v>
      </c>
      <c r="CU135" s="18">
        <f>CT135*VLOOKUP('Données projet'!$B$13,Paramètres!$A$1:$I$89,3,0)*VLOOKUP('Données projet'!$B$13,Paramètres!$A$1:$I$89,5,0)</f>
        <v>-2.9262992029543964E-13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246.64907095367749</v>
      </c>
      <c r="CZ135" s="60">
        <f t="shared" si="150"/>
        <v>145.34368562171613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-9.2222762759774927E-14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256.19915261735281</v>
      </c>
      <c r="DU135" s="60">
        <f t="shared" si="152"/>
        <v>297.47246687305056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835.7931630761725</v>
      </c>
      <c r="S136" s="60">
        <f ca="1">AVERAGE(OFFSET($R$3,0,0,'Données projet'!$E$9+1,1))-AVERAGE(OFFSET($H$3,0,0,'Données projet'!$E$9+1,1))</f>
        <v>428.8489304403459</v>
      </c>
      <c r="T136" s="60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1.8089849618263545E-13</v>
      </c>
      <c r="AK136" s="14">
        <f t="shared" si="143"/>
        <v>2.536422473342444E-12</v>
      </c>
      <c r="AL136" s="22">
        <f t="shared" si="112"/>
        <v>4.7326673552561798E-12</v>
      </c>
      <c r="AM136" s="60">
        <f t="shared" si="113"/>
        <v>293.33333333333803</v>
      </c>
      <c r="AN136" s="60">
        <f ca="1">AVERAGE(OFFSET($AM$3,0,0,'Données projet'!$E$10+1,1))-AVERAGE(OFFSET($H$3,0,0,'Données projet'!$E$10+1,1))</f>
        <v>299.28262372717484</v>
      </c>
      <c r="AO136" s="60">
        <f t="shared" si="144"/>
        <v>294.28794439094889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projet'!$B$11,Paramètres!$A$1:$I$89,3,0)*VLOOKUP('Données projet'!$B$11,Paramètres!$A$1:$I$89,5,0)</f>
        <v>1.6671037883497774E-13</v>
      </c>
      <c r="BF136" s="14">
        <f t="shared" si="145"/>
        <v>2.3598166018346595E-12</v>
      </c>
      <c r="BG136" s="22">
        <f t="shared" si="115"/>
        <v>4.400367824666284E-12</v>
      </c>
      <c r="BH136" s="60">
        <f t="shared" si="116"/>
        <v>293.33333333333769</v>
      </c>
      <c r="BI136" s="60">
        <f ca="1">AVERAGE(OFFSET($BH$3,0,0,'Données projet'!$E$11+1,1))-AVERAGE(OFFSET($H$3,0,0,'Données projet'!$E$11+1,1))</f>
        <v>278.61904724595763</v>
      </c>
      <c r="BJ136" s="60">
        <f t="shared" si="146"/>
        <v>274.55710362891892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0">
        <f t="shared" si="119"/>
        <v>293.33333333333582</v>
      </c>
      <c r="CD136" s="60">
        <f ca="1">AVERAGE(OFFSET($CC$3,0,0,'Données projet'!$E$12+1,1))-AVERAGE(OFFSET($H$3,0,0,'Données projet'!$E$12+1,1))</f>
        <v>292.57482726862594</v>
      </c>
      <c r="CE136" s="60">
        <f t="shared" si="148"/>
        <v>283.48738729114024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-6.2527760746888816E-13</v>
      </c>
      <c r="CU136" s="18">
        <f>CT136*VLOOKUP('Données projet'!$B$13,Paramètres!$A$1:$I$89,3,0)*VLOOKUP('Données projet'!$B$13,Paramètres!$A$1:$I$89,5,0)</f>
        <v>-2.9262992029543964E-13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246.64907095367749</v>
      </c>
      <c r="CZ136" s="60">
        <f t="shared" si="150"/>
        <v>145.34368562171613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-9.2222762759774927E-14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256.19915261735281</v>
      </c>
      <c r="DU136" s="60">
        <f t="shared" si="152"/>
        <v>297.47246687305056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840.958271553038</v>
      </c>
      <c r="S137" s="60">
        <f ca="1">AVERAGE(OFFSET($R$3,0,0,'Données projet'!$E$9+1,1))-AVERAGE(OFFSET($H$3,0,0,'Données projet'!$E$9+1,1))</f>
        <v>428.8489304403459</v>
      </c>
      <c r="T137" s="60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1.8089849618263545E-13</v>
      </c>
      <c r="AK137" s="14">
        <f t="shared" si="143"/>
        <v>2.536422473342444E-12</v>
      </c>
      <c r="AL137" s="22">
        <f t="shared" si="112"/>
        <v>4.7326673552561798E-12</v>
      </c>
      <c r="AM137" s="60">
        <f t="shared" si="113"/>
        <v>293.33333333333803</v>
      </c>
      <c r="AN137" s="60">
        <f ca="1">AVERAGE(OFFSET($AM$3,0,0,'Données projet'!$E$10+1,1))-AVERAGE(OFFSET($H$3,0,0,'Données projet'!$E$10+1,1))</f>
        <v>299.28262372717484</v>
      </c>
      <c r="AO137" s="60">
        <f t="shared" si="144"/>
        <v>294.28794439094889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projet'!$B$11,Paramètres!$A$1:$I$89,3,0)*VLOOKUP('Données projet'!$B$11,Paramètres!$A$1:$I$89,5,0)</f>
        <v>1.6671037883497774E-13</v>
      </c>
      <c r="BF137" s="14">
        <f t="shared" si="145"/>
        <v>2.3598166018346595E-12</v>
      </c>
      <c r="BG137" s="22">
        <f t="shared" si="115"/>
        <v>4.400367824666284E-12</v>
      </c>
      <c r="BH137" s="60">
        <f t="shared" si="116"/>
        <v>293.33333333333769</v>
      </c>
      <c r="BI137" s="60">
        <f ca="1">AVERAGE(OFFSET($BH$3,0,0,'Données projet'!$E$11+1,1))-AVERAGE(OFFSET($H$3,0,0,'Données projet'!$E$11+1,1))</f>
        <v>278.61904724595763</v>
      </c>
      <c r="BJ137" s="60">
        <f t="shared" si="146"/>
        <v>274.55710362891892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0">
        <f t="shared" si="119"/>
        <v>293.33333333333582</v>
      </c>
      <c r="CD137" s="60">
        <f ca="1">AVERAGE(OFFSET($CC$3,0,0,'Données projet'!$E$12+1,1))-AVERAGE(OFFSET($H$3,0,0,'Données projet'!$E$12+1,1))</f>
        <v>292.57482726862594</v>
      </c>
      <c r="CE137" s="60">
        <f t="shared" si="148"/>
        <v>283.48738729114024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-6.2527760746888816E-13</v>
      </c>
      <c r="CU137" s="18">
        <f>CT137*VLOOKUP('Données projet'!$B$13,Paramètres!$A$1:$I$89,3,0)*VLOOKUP('Données projet'!$B$13,Paramètres!$A$1:$I$89,5,0)</f>
        <v>-2.9262992029543964E-13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246.64907095367749</v>
      </c>
      <c r="CZ137" s="60">
        <f t="shared" si="150"/>
        <v>145.34368562171613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-9.2222762759774927E-14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256.19915261735281</v>
      </c>
      <c r="DU137" s="60">
        <f t="shared" si="152"/>
        <v>297.47246687305056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846.12235812526569</v>
      </c>
      <c r="S138" s="60">
        <f ca="1">AVERAGE(OFFSET($R$3,0,0,'Données projet'!$E$9+1,1))-AVERAGE(OFFSET($H$3,0,0,'Données projet'!$E$9+1,1))</f>
        <v>428.8489304403459</v>
      </c>
      <c r="T138" s="60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1.8089849618263545E-13</v>
      </c>
      <c r="AK138" s="14">
        <f t="shared" si="143"/>
        <v>2.536422473342444E-12</v>
      </c>
      <c r="AL138" s="22">
        <f t="shared" si="112"/>
        <v>4.7326673552561798E-12</v>
      </c>
      <c r="AM138" s="60">
        <f t="shared" si="113"/>
        <v>293.33333333333803</v>
      </c>
      <c r="AN138" s="60">
        <f ca="1">AVERAGE(OFFSET($AM$3,0,0,'Données projet'!$E$10+1,1))-AVERAGE(OFFSET($H$3,0,0,'Données projet'!$E$10+1,1))</f>
        <v>299.28262372717484</v>
      </c>
      <c r="AO138" s="60">
        <f t="shared" si="144"/>
        <v>294.28794439094889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projet'!$B$11,Paramètres!$A$1:$I$89,3,0)*VLOOKUP('Données projet'!$B$11,Paramètres!$A$1:$I$89,5,0)</f>
        <v>1.6671037883497774E-13</v>
      </c>
      <c r="BF138" s="14">
        <f t="shared" si="145"/>
        <v>2.3598166018346595E-12</v>
      </c>
      <c r="BG138" s="22">
        <f t="shared" si="115"/>
        <v>4.400367824666284E-12</v>
      </c>
      <c r="BH138" s="60">
        <f t="shared" si="116"/>
        <v>293.33333333333769</v>
      </c>
      <c r="BI138" s="60">
        <f ca="1">AVERAGE(OFFSET($BH$3,0,0,'Données projet'!$E$11+1,1))-AVERAGE(OFFSET($H$3,0,0,'Données projet'!$E$11+1,1))</f>
        <v>278.61904724595763</v>
      </c>
      <c r="BJ138" s="60">
        <f t="shared" si="146"/>
        <v>274.55710362891892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0">
        <f t="shared" si="119"/>
        <v>293.33333333333582</v>
      </c>
      <c r="CD138" s="60">
        <f ca="1">AVERAGE(OFFSET($CC$3,0,0,'Données projet'!$E$12+1,1))-AVERAGE(OFFSET($H$3,0,0,'Données projet'!$E$12+1,1))</f>
        <v>292.57482726862594</v>
      </c>
      <c r="CE138" s="60">
        <f t="shared" si="148"/>
        <v>283.48738729114024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-6.2527760746888816E-13</v>
      </c>
      <c r="CU138" s="18">
        <f>CT138*VLOOKUP('Données projet'!$B$13,Paramètres!$A$1:$I$89,3,0)*VLOOKUP('Données projet'!$B$13,Paramètres!$A$1:$I$89,5,0)</f>
        <v>-2.9262992029543964E-13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246.64907095367749</v>
      </c>
      <c r="CZ138" s="60">
        <f t="shared" si="150"/>
        <v>145.34368562171613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-9.2222762759774927E-14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256.19915261735281</v>
      </c>
      <c r="DU138" s="60">
        <f t="shared" si="152"/>
        <v>297.47246687305056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851.28543369086674</v>
      </c>
      <c r="S139" s="60">
        <f ca="1">AVERAGE(OFFSET($R$3,0,0,'Données projet'!$E$9+1,1))-AVERAGE(OFFSET($H$3,0,0,'Données projet'!$E$9+1,1))</f>
        <v>428.8489304403459</v>
      </c>
      <c r="T139" s="60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1.8089849618263545E-13</v>
      </c>
      <c r="AK139" s="14">
        <f t="shared" si="143"/>
        <v>2.536422473342444E-12</v>
      </c>
      <c r="AL139" s="22">
        <f t="shared" si="112"/>
        <v>4.7326673552561798E-12</v>
      </c>
      <c r="AM139" s="60">
        <f t="shared" si="113"/>
        <v>293.33333333333803</v>
      </c>
      <c r="AN139" s="60">
        <f ca="1">AVERAGE(OFFSET($AM$3,0,0,'Données projet'!$E$10+1,1))-AVERAGE(OFFSET($H$3,0,0,'Données projet'!$E$10+1,1))</f>
        <v>299.28262372717484</v>
      </c>
      <c r="AO139" s="60">
        <f t="shared" si="144"/>
        <v>294.28794439094889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projet'!$B$11,Paramètres!$A$1:$I$89,3,0)*VLOOKUP('Données projet'!$B$11,Paramètres!$A$1:$I$89,5,0)</f>
        <v>1.6671037883497774E-13</v>
      </c>
      <c r="BF139" s="14">
        <f t="shared" si="145"/>
        <v>2.3598166018346595E-12</v>
      </c>
      <c r="BG139" s="22">
        <f t="shared" si="115"/>
        <v>4.400367824666284E-12</v>
      </c>
      <c r="BH139" s="60">
        <f t="shared" si="116"/>
        <v>293.33333333333769</v>
      </c>
      <c r="BI139" s="60">
        <f ca="1">AVERAGE(OFFSET($BH$3,0,0,'Données projet'!$E$11+1,1))-AVERAGE(OFFSET($H$3,0,0,'Données projet'!$E$11+1,1))</f>
        <v>278.61904724595763</v>
      </c>
      <c r="BJ139" s="60">
        <f t="shared" si="146"/>
        <v>274.55710362891892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0">
        <f t="shared" si="119"/>
        <v>293.33333333333582</v>
      </c>
      <c r="CD139" s="60">
        <f ca="1">AVERAGE(OFFSET($CC$3,0,0,'Données projet'!$E$12+1,1))-AVERAGE(OFFSET($H$3,0,0,'Données projet'!$E$12+1,1))</f>
        <v>292.57482726862594</v>
      </c>
      <c r="CE139" s="60">
        <f t="shared" si="148"/>
        <v>283.48738729114024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-6.2527760746888816E-13</v>
      </c>
      <c r="CU139" s="18">
        <f>CT139*VLOOKUP('Données projet'!$B$13,Paramètres!$A$1:$I$89,3,0)*VLOOKUP('Données projet'!$B$13,Paramètres!$A$1:$I$89,5,0)</f>
        <v>-2.9262992029543964E-13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246.64907095367749</v>
      </c>
      <c r="CZ139" s="60">
        <f t="shared" si="150"/>
        <v>145.34368562171613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-9.2222762759774927E-14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256.19915261735281</v>
      </c>
      <c r="DU139" s="60">
        <f t="shared" si="152"/>
        <v>297.47246687305056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856.44750892960883</v>
      </c>
      <c r="S140" s="60">
        <f ca="1">AVERAGE(OFFSET($R$3,0,0,'Données projet'!$E$9+1,1))-AVERAGE(OFFSET($H$3,0,0,'Données projet'!$E$9+1,1))</f>
        <v>428.8489304403459</v>
      </c>
      <c r="T140" s="60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1.8089849618263545E-13</v>
      </c>
      <c r="AK140" s="14">
        <f t="shared" si="143"/>
        <v>2.536422473342444E-12</v>
      </c>
      <c r="AL140" s="22">
        <f t="shared" si="112"/>
        <v>4.7326673552561798E-12</v>
      </c>
      <c r="AM140" s="60">
        <f t="shared" si="113"/>
        <v>293.33333333333803</v>
      </c>
      <c r="AN140" s="60">
        <f ca="1">AVERAGE(OFFSET($AM$3,0,0,'Données projet'!$E$10+1,1))-AVERAGE(OFFSET($H$3,0,0,'Données projet'!$E$10+1,1))</f>
        <v>299.28262372717484</v>
      </c>
      <c r="AO140" s="60">
        <f t="shared" si="144"/>
        <v>294.28794439094889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projet'!$B$11,Paramètres!$A$1:$I$89,3,0)*VLOOKUP('Données projet'!$B$11,Paramètres!$A$1:$I$89,5,0)</f>
        <v>1.6671037883497774E-13</v>
      </c>
      <c r="BF140" s="14">
        <f t="shared" si="145"/>
        <v>2.3598166018346595E-12</v>
      </c>
      <c r="BG140" s="22">
        <f t="shared" si="115"/>
        <v>4.400367824666284E-12</v>
      </c>
      <c r="BH140" s="60">
        <f t="shared" si="116"/>
        <v>293.33333333333769</v>
      </c>
      <c r="BI140" s="60">
        <f ca="1">AVERAGE(OFFSET($BH$3,0,0,'Données projet'!$E$11+1,1))-AVERAGE(OFFSET($H$3,0,0,'Données projet'!$E$11+1,1))</f>
        <v>278.61904724595763</v>
      </c>
      <c r="BJ140" s="60">
        <f t="shared" si="146"/>
        <v>274.55710362891892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0">
        <f t="shared" si="119"/>
        <v>293.33333333333582</v>
      </c>
      <c r="CD140" s="60">
        <f ca="1">AVERAGE(OFFSET($CC$3,0,0,'Données projet'!$E$12+1,1))-AVERAGE(OFFSET($H$3,0,0,'Données projet'!$E$12+1,1))</f>
        <v>292.57482726862594</v>
      </c>
      <c r="CE140" s="60">
        <f t="shared" si="148"/>
        <v>283.48738729114024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-6.2527760746888816E-13</v>
      </c>
      <c r="CU140" s="18">
        <f>CT140*VLOOKUP('Données projet'!$B$13,Paramètres!$A$1:$I$89,3,0)*VLOOKUP('Données projet'!$B$13,Paramètres!$A$1:$I$89,5,0)</f>
        <v>-2.9262992029543964E-13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246.64907095367749</v>
      </c>
      <c r="CZ140" s="60">
        <f t="shared" si="150"/>
        <v>145.34368562171613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-9.2222762759774927E-14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256.19915261735281</v>
      </c>
      <c r="DU140" s="60">
        <f t="shared" si="152"/>
        <v>297.47246687305056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861.60859430939399</v>
      </c>
      <c r="S141" s="60">
        <f ca="1">AVERAGE(OFFSET($R$3,0,0,'Données projet'!$E$9+1,1))-AVERAGE(OFFSET($H$3,0,0,'Données projet'!$E$9+1,1))</f>
        <v>428.8489304403459</v>
      </c>
      <c r="T141" s="60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1.8089849618263545E-13</v>
      </c>
      <c r="AK141" s="14">
        <f t="shared" si="143"/>
        <v>2.536422473342444E-12</v>
      </c>
      <c r="AL141" s="22">
        <f t="shared" si="112"/>
        <v>4.7326673552561798E-12</v>
      </c>
      <c r="AM141" s="60">
        <f t="shared" si="113"/>
        <v>293.33333333333803</v>
      </c>
      <c r="AN141" s="60">
        <f ca="1">AVERAGE(OFFSET($AM$3,0,0,'Données projet'!$E$10+1,1))-AVERAGE(OFFSET($H$3,0,0,'Données projet'!$E$10+1,1))</f>
        <v>299.28262372717484</v>
      </c>
      <c r="AO141" s="60">
        <f t="shared" si="144"/>
        <v>294.28794439094889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projet'!$B$11,Paramètres!$A$1:$I$89,3,0)*VLOOKUP('Données projet'!$B$11,Paramètres!$A$1:$I$89,5,0)</f>
        <v>1.6671037883497774E-13</v>
      </c>
      <c r="BF141" s="14">
        <f t="shared" si="145"/>
        <v>2.3598166018346595E-12</v>
      </c>
      <c r="BG141" s="22">
        <f t="shared" si="115"/>
        <v>4.400367824666284E-12</v>
      </c>
      <c r="BH141" s="60">
        <f t="shared" si="116"/>
        <v>293.33333333333769</v>
      </c>
      <c r="BI141" s="60">
        <f ca="1">AVERAGE(OFFSET($BH$3,0,0,'Données projet'!$E$11+1,1))-AVERAGE(OFFSET($H$3,0,0,'Données projet'!$E$11+1,1))</f>
        <v>278.61904724595763</v>
      </c>
      <c r="BJ141" s="60">
        <f t="shared" si="146"/>
        <v>274.55710362891892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0">
        <f t="shared" si="119"/>
        <v>293.33333333333582</v>
      </c>
      <c r="CD141" s="60">
        <f ca="1">AVERAGE(OFFSET($CC$3,0,0,'Données projet'!$E$12+1,1))-AVERAGE(OFFSET($H$3,0,0,'Données projet'!$E$12+1,1))</f>
        <v>292.57482726862594</v>
      </c>
      <c r="CE141" s="60">
        <f t="shared" si="148"/>
        <v>283.48738729114024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-6.2527760746888816E-13</v>
      </c>
      <c r="CU141" s="18">
        <f>CT141*VLOOKUP('Données projet'!$B$13,Paramètres!$A$1:$I$89,3,0)*VLOOKUP('Données projet'!$B$13,Paramètres!$A$1:$I$89,5,0)</f>
        <v>-2.9262992029543964E-13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246.64907095367749</v>
      </c>
      <c r="CZ141" s="60">
        <f t="shared" si="150"/>
        <v>145.34368562171613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-9.2222762759774927E-14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256.19915261735281</v>
      </c>
      <c r="DU141" s="60">
        <f t="shared" si="152"/>
        <v>297.47246687305056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866.76870009238769</v>
      </c>
      <c r="S142" s="60">
        <f ca="1">AVERAGE(OFFSET($R$3,0,0,'Données projet'!$E$9+1,1))-AVERAGE(OFFSET($H$3,0,0,'Données projet'!$E$9+1,1))</f>
        <v>428.8489304403459</v>
      </c>
      <c r="T142" s="60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1.8089849618263545E-13</v>
      </c>
      <c r="AK142" s="14">
        <f t="shared" si="143"/>
        <v>2.536422473342444E-12</v>
      </c>
      <c r="AL142" s="22">
        <f t="shared" si="112"/>
        <v>4.7326673552561798E-12</v>
      </c>
      <c r="AM142" s="60">
        <f t="shared" si="113"/>
        <v>293.33333333333803</v>
      </c>
      <c r="AN142" s="60">
        <f ca="1">AVERAGE(OFFSET($AM$3,0,0,'Données projet'!$E$10+1,1))-AVERAGE(OFFSET($H$3,0,0,'Données projet'!$E$10+1,1))</f>
        <v>299.28262372717484</v>
      </c>
      <c r="AO142" s="60">
        <f t="shared" si="144"/>
        <v>294.28794439094889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projet'!$B$11,Paramètres!$A$1:$I$89,3,0)*VLOOKUP('Données projet'!$B$11,Paramètres!$A$1:$I$89,5,0)</f>
        <v>1.6671037883497774E-13</v>
      </c>
      <c r="BF142" s="14">
        <f t="shared" si="145"/>
        <v>2.3598166018346595E-12</v>
      </c>
      <c r="BG142" s="22">
        <f t="shared" si="115"/>
        <v>4.400367824666284E-12</v>
      </c>
      <c r="BH142" s="60">
        <f t="shared" si="116"/>
        <v>293.33333333333769</v>
      </c>
      <c r="BI142" s="60">
        <f ca="1">AVERAGE(OFFSET($BH$3,0,0,'Données projet'!$E$11+1,1))-AVERAGE(OFFSET($H$3,0,0,'Données projet'!$E$11+1,1))</f>
        <v>278.61904724595763</v>
      </c>
      <c r="BJ142" s="60">
        <f t="shared" si="146"/>
        <v>274.55710362891892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0">
        <f t="shared" si="119"/>
        <v>293.33333333333582</v>
      </c>
      <c r="CD142" s="60">
        <f ca="1">AVERAGE(OFFSET($CC$3,0,0,'Données projet'!$E$12+1,1))-AVERAGE(OFFSET($H$3,0,0,'Données projet'!$E$12+1,1))</f>
        <v>292.57482726862594</v>
      </c>
      <c r="CE142" s="60">
        <f t="shared" si="148"/>
        <v>283.48738729114024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-6.2527760746888816E-13</v>
      </c>
      <c r="CU142" s="18">
        <f>CT142*VLOOKUP('Données projet'!$B$13,Paramètres!$A$1:$I$89,3,0)*VLOOKUP('Données projet'!$B$13,Paramètres!$A$1:$I$89,5,0)</f>
        <v>-2.9262992029543964E-13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246.64907095367749</v>
      </c>
      <c r="CZ142" s="60">
        <f t="shared" si="150"/>
        <v>145.34368562171613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-9.2222762759774927E-14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256.19915261735281</v>
      </c>
      <c r="DU142" s="60">
        <f t="shared" si="152"/>
        <v>297.47246687305056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871.92783634091984</v>
      </c>
      <c r="S143" s="60">
        <f ca="1">AVERAGE(OFFSET($R$3,0,0,'Données projet'!$E$9+1,1))-AVERAGE(OFFSET($H$3,0,0,'Données projet'!$E$9+1,1))</f>
        <v>428.8489304403459</v>
      </c>
      <c r="T143" s="60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1.8089849618263545E-13</v>
      </c>
      <c r="AK143" s="14">
        <f t="shared" si="143"/>
        <v>2.536422473342444E-12</v>
      </c>
      <c r="AL143" s="22">
        <f t="shared" si="112"/>
        <v>4.7326673552561798E-12</v>
      </c>
      <c r="AM143" s="60">
        <f t="shared" si="113"/>
        <v>293.33333333333803</v>
      </c>
      <c r="AN143" s="60">
        <f ca="1">AVERAGE(OFFSET($AM$3,0,0,'Données projet'!$E$10+1,1))-AVERAGE(OFFSET($H$3,0,0,'Données projet'!$E$10+1,1))</f>
        <v>299.28262372717484</v>
      </c>
      <c r="AO143" s="60">
        <f t="shared" si="144"/>
        <v>294.28794439094889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projet'!$B$11,Paramètres!$A$1:$I$89,3,0)*VLOOKUP('Données projet'!$B$11,Paramètres!$A$1:$I$89,5,0)</f>
        <v>1.6671037883497774E-13</v>
      </c>
      <c r="BF143" s="14">
        <f t="shared" si="145"/>
        <v>2.3598166018346595E-12</v>
      </c>
      <c r="BG143" s="22">
        <f t="shared" si="115"/>
        <v>4.400367824666284E-12</v>
      </c>
      <c r="BH143" s="60">
        <f t="shared" si="116"/>
        <v>293.33333333333769</v>
      </c>
      <c r="BI143" s="60">
        <f ca="1">AVERAGE(OFFSET($BH$3,0,0,'Données projet'!$E$11+1,1))-AVERAGE(OFFSET($H$3,0,0,'Données projet'!$E$11+1,1))</f>
        <v>278.61904724595763</v>
      </c>
      <c r="BJ143" s="60">
        <f t="shared" si="146"/>
        <v>274.55710362891892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0">
        <f t="shared" si="119"/>
        <v>293.33333333333582</v>
      </c>
      <c r="CD143" s="60">
        <f ca="1">AVERAGE(OFFSET($CC$3,0,0,'Données projet'!$E$12+1,1))-AVERAGE(OFFSET($H$3,0,0,'Données projet'!$E$12+1,1))</f>
        <v>292.57482726862594</v>
      </c>
      <c r="CE143" s="60">
        <f t="shared" si="148"/>
        <v>283.48738729114024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-6.2527760746888816E-13</v>
      </c>
      <c r="CU143" s="18">
        <f>CT143*VLOOKUP('Données projet'!$B$13,Paramètres!$A$1:$I$89,3,0)*VLOOKUP('Données projet'!$B$13,Paramètres!$A$1:$I$89,5,0)</f>
        <v>-2.9262992029543964E-13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246.64907095367749</v>
      </c>
      <c r="CZ143" s="60">
        <f t="shared" si="150"/>
        <v>145.34368562171613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-9.2222762759774927E-14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256.19915261735281</v>
      </c>
      <c r="DU143" s="60">
        <f t="shared" si="152"/>
        <v>297.47246687305056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824.88563895074731</v>
      </c>
      <c r="S144" s="60">
        <f ca="1">AVERAGE(OFFSET($R$3,0,0,'Données projet'!$E$9+1,1))-AVERAGE(OFFSET($H$3,0,0,'Données projet'!$E$9+1,1))</f>
        <v>428.8489304403459</v>
      </c>
      <c r="T144" s="60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1.8089849618263545E-13</v>
      </c>
      <c r="AK144" s="14">
        <f t="shared" si="143"/>
        <v>2.536422473342444E-12</v>
      </c>
      <c r="AL144" s="22">
        <f t="shared" si="112"/>
        <v>4.7326673552561798E-12</v>
      </c>
      <c r="AM144" s="60">
        <f t="shared" si="113"/>
        <v>293.33333333333803</v>
      </c>
      <c r="AN144" s="60">
        <f ca="1">AVERAGE(OFFSET($AM$3,0,0,'Données projet'!$E$10+1,1))-AVERAGE(OFFSET($H$3,0,0,'Données projet'!$E$10+1,1))</f>
        <v>299.28262372717484</v>
      </c>
      <c r="AO144" s="60">
        <f t="shared" si="144"/>
        <v>294.28794439094889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projet'!$B$11,Paramètres!$A$1:$I$89,3,0)*VLOOKUP('Données projet'!$B$11,Paramètres!$A$1:$I$89,5,0)</f>
        <v>1.6671037883497774E-13</v>
      </c>
      <c r="BF144" s="14">
        <f t="shared" si="145"/>
        <v>2.3598166018346595E-12</v>
      </c>
      <c r="BG144" s="22">
        <f t="shared" si="115"/>
        <v>4.400367824666284E-12</v>
      </c>
      <c r="BH144" s="60">
        <f t="shared" si="116"/>
        <v>293.33333333333769</v>
      </c>
      <c r="BI144" s="60">
        <f ca="1">AVERAGE(OFFSET($BH$3,0,0,'Données projet'!$E$11+1,1))-AVERAGE(OFFSET($H$3,0,0,'Données projet'!$E$11+1,1))</f>
        <v>278.61904724595763</v>
      </c>
      <c r="BJ144" s="60">
        <f t="shared" si="146"/>
        <v>274.55710362891892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0">
        <f t="shared" si="119"/>
        <v>293.33333333333582</v>
      </c>
      <c r="CD144" s="60">
        <f ca="1">AVERAGE(OFFSET($CC$3,0,0,'Données projet'!$E$12+1,1))-AVERAGE(OFFSET($H$3,0,0,'Données projet'!$E$12+1,1))</f>
        <v>292.57482726862594</v>
      </c>
      <c r="CE144" s="60">
        <f t="shared" si="148"/>
        <v>283.48738729114024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-6.2527760746888816E-13</v>
      </c>
      <c r="CU144" s="18">
        <f>CT144*VLOOKUP('Données projet'!$B$13,Paramètres!$A$1:$I$89,3,0)*VLOOKUP('Données projet'!$B$13,Paramètres!$A$1:$I$89,5,0)</f>
        <v>-2.9262992029543964E-13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246.64907095367749</v>
      </c>
      <c r="CZ144" s="60">
        <f t="shared" si="150"/>
        <v>145.34368562171613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-9.2222762759774927E-14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256.19915261735281</v>
      </c>
      <c r="DU144" s="60">
        <f t="shared" si="152"/>
        <v>297.47246687305056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829.47884870108419</v>
      </c>
      <c r="S145" s="60">
        <f ca="1">AVERAGE(OFFSET($R$3,0,0,'Données projet'!$E$9+1,1))-AVERAGE(OFFSET($H$3,0,0,'Données projet'!$E$9+1,1))</f>
        <v>428.8489304403459</v>
      </c>
      <c r="T145" s="60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1.8089849618263545E-13</v>
      </c>
      <c r="AK145" s="14">
        <f t="shared" si="143"/>
        <v>2.536422473342444E-12</v>
      </c>
      <c r="AL145" s="22">
        <f t="shared" si="112"/>
        <v>4.7326673552561798E-12</v>
      </c>
      <c r="AM145" s="60">
        <f t="shared" si="113"/>
        <v>293.33333333333803</v>
      </c>
      <c r="AN145" s="60">
        <f ca="1">AVERAGE(OFFSET($AM$3,0,0,'Données projet'!$E$10+1,1))-AVERAGE(OFFSET($H$3,0,0,'Données projet'!$E$10+1,1))</f>
        <v>299.28262372717484</v>
      </c>
      <c r="AO145" s="60">
        <f t="shared" si="144"/>
        <v>294.28794439094889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projet'!$B$11,Paramètres!$A$1:$I$89,3,0)*VLOOKUP('Données projet'!$B$11,Paramètres!$A$1:$I$89,5,0)</f>
        <v>1.6671037883497774E-13</v>
      </c>
      <c r="BF145" s="14">
        <f t="shared" si="145"/>
        <v>2.3598166018346595E-12</v>
      </c>
      <c r="BG145" s="22">
        <f t="shared" si="115"/>
        <v>4.400367824666284E-12</v>
      </c>
      <c r="BH145" s="60">
        <f t="shared" si="116"/>
        <v>293.33333333333769</v>
      </c>
      <c r="BI145" s="60">
        <f ca="1">AVERAGE(OFFSET($BH$3,0,0,'Données projet'!$E$11+1,1))-AVERAGE(OFFSET($H$3,0,0,'Données projet'!$E$11+1,1))</f>
        <v>278.61904724595763</v>
      </c>
      <c r="BJ145" s="60">
        <f t="shared" si="146"/>
        <v>274.55710362891892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0">
        <f t="shared" si="119"/>
        <v>293.33333333333582</v>
      </c>
      <c r="CD145" s="60">
        <f ca="1">AVERAGE(OFFSET($CC$3,0,0,'Données projet'!$E$12+1,1))-AVERAGE(OFFSET($H$3,0,0,'Données projet'!$E$12+1,1))</f>
        <v>292.57482726862594</v>
      </c>
      <c r="CE145" s="60">
        <f t="shared" si="148"/>
        <v>283.48738729114024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-6.2527760746888816E-13</v>
      </c>
      <c r="CU145" s="18">
        <f>CT145*VLOOKUP('Données projet'!$B$13,Paramètres!$A$1:$I$89,3,0)*VLOOKUP('Données projet'!$B$13,Paramètres!$A$1:$I$89,5,0)</f>
        <v>-2.9262992029543964E-13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246.64907095367749</v>
      </c>
      <c r="CZ145" s="60">
        <f t="shared" si="150"/>
        <v>145.34368562171613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-9.2222762759774927E-14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256.19915261735281</v>
      </c>
      <c r="DU145" s="60">
        <f t="shared" si="152"/>
        <v>297.47246687305056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834.07123124476584</v>
      </c>
      <c r="S146" s="60">
        <f ca="1">AVERAGE(OFFSET($R$3,0,0,'Données projet'!$E$9+1,1))-AVERAGE(OFFSET($H$3,0,0,'Données projet'!$E$9+1,1))</f>
        <v>428.8489304403459</v>
      </c>
      <c r="T146" s="60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1.8089849618263545E-13</v>
      </c>
      <c r="AK146" s="14">
        <f t="shared" si="143"/>
        <v>2.536422473342444E-12</v>
      </c>
      <c r="AL146" s="22">
        <f t="shared" si="112"/>
        <v>4.7326673552561798E-12</v>
      </c>
      <c r="AM146" s="60">
        <f t="shared" si="113"/>
        <v>293.33333333333803</v>
      </c>
      <c r="AN146" s="60">
        <f ca="1">AVERAGE(OFFSET($AM$3,0,0,'Données projet'!$E$10+1,1))-AVERAGE(OFFSET($H$3,0,0,'Données projet'!$E$10+1,1))</f>
        <v>299.28262372717484</v>
      </c>
      <c r="AO146" s="60">
        <f t="shared" si="144"/>
        <v>294.28794439094889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projet'!$B$11,Paramètres!$A$1:$I$89,3,0)*VLOOKUP('Données projet'!$B$11,Paramètres!$A$1:$I$89,5,0)</f>
        <v>1.6671037883497774E-13</v>
      </c>
      <c r="BF146" s="14">
        <f t="shared" si="145"/>
        <v>2.3598166018346595E-12</v>
      </c>
      <c r="BG146" s="22">
        <f t="shared" si="115"/>
        <v>4.400367824666284E-12</v>
      </c>
      <c r="BH146" s="60">
        <f t="shared" si="116"/>
        <v>293.33333333333769</v>
      </c>
      <c r="BI146" s="60">
        <f ca="1">AVERAGE(OFFSET($BH$3,0,0,'Données projet'!$E$11+1,1))-AVERAGE(OFFSET($H$3,0,0,'Données projet'!$E$11+1,1))</f>
        <v>278.61904724595763</v>
      </c>
      <c r="BJ146" s="60">
        <f t="shared" si="146"/>
        <v>274.55710362891892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0">
        <f t="shared" si="119"/>
        <v>293.33333333333582</v>
      </c>
      <c r="CD146" s="60">
        <f ca="1">AVERAGE(OFFSET($CC$3,0,0,'Données projet'!$E$12+1,1))-AVERAGE(OFFSET($H$3,0,0,'Données projet'!$E$12+1,1))</f>
        <v>292.57482726862594</v>
      </c>
      <c r="CE146" s="60">
        <f t="shared" si="148"/>
        <v>283.48738729114024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-6.2527760746888816E-13</v>
      </c>
      <c r="CU146" s="18">
        <f>CT146*VLOOKUP('Données projet'!$B$13,Paramètres!$A$1:$I$89,3,0)*VLOOKUP('Données projet'!$B$13,Paramètres!$A$1:$I$89,5,0)</f>
        <v>-2.9262992029543964E-13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246.64907095367749</v>
      </c>
      <c r="CZ146" s="60">
        <f t="shared" si="150"/>
        <v>145.34368562171613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-9.2222762759774927E-14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256.19915261735281</v>
      </c>
      <c r="DU146" s="60">
        <f t="shared" si="152"/>
        <v>297.47246687305056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838.66279460250166</v>
      </c>
      <c r="S147" s="60">
        <f ca="1">AVERAGE(OFFSET($R$3,0,0,'Données projet'!$E$9+1,1))-AVERAGE(OFFSET($H$3,0,0,'Données projet'!$E$9+1,1))</f>
        <v>428.8489304403459</v>
      </c>
      <c r="T147" s="60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1.8089849618263545E-13</v>
      </c>
      <c r="AK147" s="14">
        <f t="shared" si="143"/>
        <v>2.536422473342444E-12</v>
      </c>
      <c r="AL147" s="22">
        <f t="shared" si="112"/>
        <v>4.7326673552561798E-12</v>
      </c>
      <c r="AM147" s="60">
        <f t="shared" si="113"/>
        <v>293.33333333333803</v>
      </c>
      <c r="AN147" s="60">
        <f ca="1">AVERAGE(OFFSET($AM$3,0,0,'Données projet'!$E$10+1,1))-AVERAGE(OFFSET($H$3,0,0,'Données projet'!$E$10+1,1))</f>
        <v>299.28262372717484</v>
      </c>
      <c r="AO147" s="60">
        <f t="shared" si="144"/>
        <v>294.28794439094889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projet'!$B$11,Paramètres!$A$1:$I$89,3,0)*VLOOKUP('Données projet'!$B$11,Paramètres!$A$1:$I$89,5,0)</f>
        <v>1.6671037883497774E-13</v>
      </c>
      <c r="BF147" s="14">
        <f t="shared" si="145"/>
        <v>2.3598166018346595E-12</v>
      </c>
      <c r="BG147" s="22">
        <f t="shared" si="115"/>
        <v>4.400367824666284E-12</v>
      </c>
      <c r="BH147" s="60">
        <f t="shared" si="116"/>
        <v>293.33333333333769</v>
      </c>
      <c r="BI147" s="60">
        <f ca="1">AVERAGE(OFFSET($BH$3,0,0,'Données projet'!$E$11+1,1))-AVERAGE(OFFSET($H$3,0,0,'Données projet'!$E$11+1,1))</f>
        <v>278.61904724595763</v>
      </c>
      <c r="BJ147" s="60">
        <f t="shared" si="146"/>
        <v>274.55710362891892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0">
        <f t="shared" si="119"/>
        <v>293.33333333333582</v>
      </c>
      <c r="CD147" s="60">
        <f ca="1">AVERAGE(OFFSET($CC$3,0,0,'Données projet'!$E$12+1,1))-AVERAGE(OFFSET($H$3,0,0,'Données projet'!$E$12+1,1))</f>
        <v>292.57482726862594</v>
      </c>
      <c r="CE147" s="60">
        <f t="shared" si="148"/>
        <v>283.48738729114024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-6.2527760746888816E-13</v>
      </c>
      <c r="CU147" s="18">
        <f>CT147*VLOOKUP('Données projet'!$B$13,Paramètres!$A$1:$I$89,3,0)*VLOOKUP('Données projet'!$B$13,Paramètres!$A$1:$I$89,5,0)</f>
        <v>-2.9262992029543964E-13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246.64907095367749</v>
      </c>
      <c r="CZ147" s="60">
        <f t="shared" si="150"/>
        <v>145.34368562171613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-9.2222762759774927E-14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256.19915261735281</v>
      </c>
      <c r="DU147" s="60">
        <f t="shared" si="152"/>
        <v>297.47246687305056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843.25354664883753</v>
      </c>
      <c r="S148" s="60">
        <f ca="1">AVERAGE(OFFSET($R$3,0,0,'Données projet'!$E$9+1,1))-AVERAGE(OFFSET($H$3,0,0,'Données projet'!$E$9+1,1))</f>
        <v>428.8489304403459</v>
      </c>
      <c r="T148" s="60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1.8089849618263545E-13</v>
      </c>
      <c r="AK148" s="14">
        <f t="shared" si="143"/>
        <v>2.536422473342444E-12</v>
      </c>
      <c r="AL148" s="22">
        <f t="shared" si="112"/>
        <v>4.7326673552561798E-12</v>
      </c>
      <c r="AM148" s="60">
        <f t="shared" si="113"/>
        <v>293.33333333333803</v>
      </c>
      <c r="AN148" s="60">
        <f ca="1">AVERAGE(OFFSET($AM$3,0,0,'Données projet'!$E$10+1,1))-AVERAGE(OFFSET($H$3,0,0,'Données projet'!$E$10+1,1))</f>
        <v>299.28262372717484</v>
      </c>
      <c r="AO148" s="60">
        <f t="shared" si="144"/>
        <v>294.28794439094889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projet'!$B$11,Paramètres!$A$1:$I$89,3,0)*VLOOKUP('Données projet'!$B$11,Paramètres!$A$1:$I$89,5,0)</f>
        <v>1.6671037883497774E-13</v>
      </c>
      <c r="BF148" s="14">
        <f t="shared" si="145"/>
        <v>2.3598166018346595E-12</v>
      </c>
      <c r="BG148" s="22">
        <f t="shared" si="115"/>
        <v>4.400367824666284E-12</v>
      </c>
      <c r="BH148" s="60">
        <f t="shared" si="116"/>
        <v>293.33333333333769</v>
      </c>
      <c r="BI148" s="60">
        <f ca="1">AVERAGE(OFFSET($BH$3,0,0,'Données projet'!$E$11+1,1))-AVERAGE(OFFSET($H$3,0,0,'Données projet'!$E$11+1,1))</f>
        <v>278.61904724595763</v>
      </c>
      <c r="BJ148" s="60">
        <f t="shared" si="146"/>
        <v>274.55710362891892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0">
        <f t="shared" si="119"/>
        <v>293.33333333333582</v>
      </c>
      <c r="CD148" s="60">
        <f ca="1">AVERAGE(OFFSET($CC$3,0,0,'Données projet'!$E$12+1,1))-AVERAGE(OFFSET($H$3,0,0,'Données projet'!$E$12+1,1))</f>
        <v>292.57482726862594</v>
      </c>
      <c r="CE148" s="60">
        <f t="shared" si="148"/>
        <v>283.48738729114024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-6.2527760746888816E-13</v>
      </c>
      <c r="CU148" s="18">
        <f>CT148*VLOOKUP('Données projet'!$B$13,Paramètres!$A$1:$I$89,3,0)*VLOOKUP('Données projet'!$B$13,Paramètres!$A$1:$I$89,5,0)</f>
        <v>-2.9262992029543964E-13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246.64907095367749</v>
      </c>
      <c r="CZ148" s="60">
        <f t="shared" si="150"/>
        <v>145.34368562171613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-9.2222762759774927E-14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256.19915261735281</v>
      </c>
      <c r="DU148" s="60">
        <f t="shared" si="152"/>
        <v>297.47246687305056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847.84349511604432</v>
      </c>
      <c r="S149" s="60">
        <f ca="1">AVERAGE(OFFSET($R$3,0,0,'Données projet'!$E$9+1,1))-AVERAGE(OFFSET($H$3,0,0,'Données projet'!$E$9+1,1))</f>
        <v>428.8489304403459</v>
      </c>
      <c r="T149" s="60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1.8089849618263545E-13</v>
      </c>
      <c r="AK149" s="14">
        <f t="shared" si="143"/>
        <v>2.536422473342444E-12</v>
      </c>
      <c r="AL149" s="22">
        <f t="shared" si="112"/>
        <v>4.7326673552561798E-12</v>
      </c>
      <c r="AM149" s="60">
        <f t="shared" si="113"/>
        <v>293.33333333333803</v>
      </c>
      <c r="AN149" s="60">
        <f ca="1">AVERAGE(OFFSET($AM$3,0,0,'Données projet'!$E$10+1,1))-AVERAGE(OFFSET($H$3,0,0,'Données projet'!$E$10+1,1))</f>
        <v>299.28262372717484</v>
      </c>
      <c r="AO149" s="60">
        <f t="shared" si="144"/>
        <v>294.28794439094889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projet'!$B$11,Paramètres!$A$1:$I$89,3,0)*VLOOKUP('Données projet'!$B$11,Paramètres!$A$1:$I$89,5,0)</f>
        <v>1.6671037883497774E-13</v>
      </c>
      <c r="BF149" s="14">
        <f t="shared" si="145"/>
        <v>2.3598166018346595E-12</v>
      </c>
      <c r="BG149" s="22">
        <f t="shared" si="115"/>
        <v>4.400367824666284E-12</v>
      </c>
      <c r="BH149" s="60">
        <f t="shared" si="116"/>
        <v>293.33333333333769</v>
      </c>
      <c r="BI149" s="60">
        <f ca="1">AVERAGE(OFFSET($BH$3,0,0,'Données projet'!$E$11+1,1))-AVERAGE(OFFSET($H$3,0,0,'Données projet'!$E$11+1,1))</f>
        <v>278.61904724595763</v>
      </c>
      <c r="BJ149" s="60">
        <f t="shared" si="146"/>
        <v>274.55710362891892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0">
        <f t="shared" si="119"/>
        <v>293.33333333333582</v>
      </c>
      <c r="CD149" s="60">
        <f ca="1">AVERAGE(OFFSET($CC$3,0,0,'Données projet'!$E$12+1,1))-AVERAGE(OFFSET($H$3,0,0,'Données projet'!$E$12+1,1))</f>
        <v>292.57482726862594</v>
      </c>
      <c r="CE149" s="60">
        <f t="shared" si="148"/>
        <v>283.48738729114024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-6.2527760746888816E-13</v>
      </c>
      <c r="CU149" s="18">
        <f>CT149*VLOOKUP('Données projet'!$B$13,Paramètres!$A$1:$I$89,3,0)*VLOOKUP('Données projet'!$B$13,Paramètres!$A$1:$I$89,5,0)</f>
        <v>-2.9262992029543964E-13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246.64907095367749</v>
      </c>
      <c r="CZ149" s="60">
        <f t="shared" si="150"/>
        <v>145.34368562171613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-9.2222762759774927E-14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256.19915261735281</v>
      </c>
      <c r="DU149" s="60">
        <f t="shared" si="152"/>
        <v>297.47246687305056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852.43264759787166</v>
      </c>
      <c r="S150" s="60">
        <f ca="1">AVERAGE(OFFSET($R$3,0,0,'Données projet'!$E$9+1,1))-AVERAGE(OFFSET($H$3,0,0,'Données projet'!$E$9+1,1))</f>
        <v>428.8489304403459</v>
      </c>
      <c r="T150" s="60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1.8089849618263545E-13</v>
      </c>
      <c r="AK150" s="14">
        <f t="shared" si="143"/>
        <v>2.536422473342444E-12</v>
      </c>
      <c r="AL150" s="22">
        <f t="shared" si="112"/>
        <v>4.7326673552561798E-12</v>
      </c>
      <c r="AM150" s="60">
        <f t="shared" si="113"/>
        <v>293.33333333333803</v>
      </c>
      <c r="AN150" s="60">
        <f ca="1">AVERAGE(OFFSET($AM$3,0,0,'Données projet'!$E$10+1,1))-AVERAGE(OFFSET($H$3,0,0,'Données projet'!$E$10+1,1))</f>
        <v>299.28262372717484</v>
      </c>
      <c r="AO150" s="60">
        <f t="shared" si="144"/>
        <v>294.28794439094889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projet'!$B$11,Paramètres!$A$1:$I$89,3,0)*VLOOKUP('Données projet'!$B$11,Paramètres!$A$1:$I$89,5,0)</f>
        <v>1.6671037883497774E-13</v>
      </c>
      <c r="BF150" s="14">
        <f t="shared" si="145"/>
        <v>2.3598166018346595E-12</v>
      </c>
      <c r="BG150" s="22">
        <f t="shared" si="115"/>
        <v>4.400367824666284E-12</v>
      </c>
      <c r="BH150" s="60">
        <f t="shared" si="116"/>
        <v>293.33333333333769</v>
      </c>
      <c r="BI150" s="60">
        <f ca="1">AVERAGE(OFFSET($BH$3,0,0,'Données projet'!$E$11+1,1))-AVERAGE(OFFSET($H$3,0,0,'Données projet'!$E$11+1,1))</f>
        <v>278.61904724595763</v>
      </c>
      <c r="BJ150" s="60">
        <f t="shared" si="146"/>
        <v>274.55710362891892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0">
        <f t="shared" si="119"/>
        <v>293.33333333333582</v>
      </c>
      <c r="CD150" s="60">
        <f ca="1">AVERAGE(OFFSET($CC$3,0,0,'Données projet'!$E$12+1,1))-AVERAGE(OFFSET($H$3,0,0,'Données projet'!$E$12+1,1))</f>
        <v>292.57482726862594</v>
      </c>
      <c r="CE150" s="60">
        <f t="shared" si="148"/>
        <v>283.48738729114024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-6.2527760746888816E-13</v>
      </c>
      <c r="CU150" s="18">
        <f>CT150*VLOOKUP('Données projet'!$B$13,Paramètres!$A$1:$I$89,3,0)*VLOOKUP('Données projet'!$B$13,Paramètres!$A$1:$I$89,5,0)</f>
        <v>-2.9262992029543964E-13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246.64907095367749</v>
      </c>
      <c r="CZ150" s="60">
        <f t="shared" si="150"/>
        <v>145.34368562171613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-9.2222762759774927E-14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256.19915261735281</v>
      </c>
      <c r="DU150" s="60">
        <f t="shared" si="152"/>
        <v>297.47246687305056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857.02101155317064</v>
      </c>
      <c r="S151" s="60">
        <f ca="1">AVERAGE(OFFSET($R$3,0,0,'Données projet'!$E$9+1,1))-AVERAGE(OFFSET($H$3,0,0,'Données projet'!$E$9+1,1))</f>
        <v>428.8489304403459</v>
      </c>
      <c r="T151" s="60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1.8089849618263545E-13</v>
      </c>
      <c r="AK151" s="14">
        <f t="shared" si="143"/>
        <v>2.536422473342444E-12</v>
      </c>
      <c r="AL151" s="22">
        <f t="shared" si="112"/>
        <v>4.7326673552561798E-12</v>
      </c>
      <c r="AM151" s="60">
        <f t="shared" si="113"/>
        <v>293.33333333333803</v>
      </c>
      <c r="AN151" s="60">
        <f ca="1">AVERAGE(OFFSET($AM$3,0,0,'Données projet'!$E$10+1,1))-AVERAGE(OFFSET($H$3,0,0,'Données projet'!$E$10+1,1))</f>
        <v>299.28262372717484</v>
      </c>
      <c r="AO151" s="60">
        <f t="shared" si="144"/>
        <v>294.28794439094889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projet'!$B$11,Paramètres!$A$1:$I$89,3,0)*VLOOKUP('Données projet'!$B$11,Paramètres!$A$1:$I$89,5,0)</f>
        <v>1.6671037883497774E-13</v>
      </c>
      <c r="BF151" s="14">
        <f t="shared" si="145"/>
        <v>2.3598166018346595E-12</v>
      </c>
      <c r="BG151" s="22">
        <f t="shared" si="115"/>
        <v>4.400367824666284E-12</v>
      </c>
      <c r="BH151" s="60">
        <f t="shared" si="116"/>
        <v>293.33333333333769</v>
      </c>
      <c r="BI151" s="60">
        <f ca="1">AVERAGE(OFFSET($BH$3,0,0,'Données projet'!$E$11+1,1))-AVERAGE(OFFSET($H$3,0,0,'Données projet'!$E$11+1,1))</f>
        <v>278.61904724595763</v>
      </c>
      <c r="BJ151" s="60">
        <f t="shared" si="146"/>
        <v>274.55710362891892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0">
        <f t="shared" si="119"/>
        <v>293.33333333333582</v>
      </c>
      <c r="CD151" s="60">
        <f ca="1">AVERAGE(OFFSET($CC$3,0,0,'Données projet'!$E$12+1,1))-AVERAGE(OFFSET($H$3,0,0,'Données projet'!$E$12+1,1))</f>
        <v>292.57482726862594</v>
      </c>
      <c r="CE151" s="60">
        <f t="shared" si="148"/>
        <v>283.48738729114024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-6.2527760746888816E-13</v>
      </c>
      <c r="CU151" s="18">
        <f>CT151*VLOOKUP('Données projet'!$B$13,Paramètres!$A$1:$I$89,3,0)*VLOOKUP('Données projet'!$B$13,Paramètres!$A$1:$I$89,5,0)</f>
        <v>-2.9262992029543964E-13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246.64907095367749</v>
      </c>
      <c r="CZ151" s="60">
        <f t="shared" si="150"/>
        <v>145.34368562171613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-9.2222762759774927E-14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256.19915261735281</v>
      </c>
      <c r="DU151" s="60">
        <f t="shared" si="152"/>
        <v>297.47246687305056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861.60859430939354</v>
      </c>
      <c r="S152" s="60">
        <f ca="1">AVERAGE(OFFSET($R$3,0,0,'Données projet'!$E$9+1,1))-AVERAGE(OFFSET($H$3,0,0,'Données projet'!$E$9+1,1))</f>
        <v>428.8489304403459</v>
      </c>
      <c r="T152" s="60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1.8089849618263545E-13</v>
      </c>
      <c r="AK152" s="14">
        <f t="shared" si="143"/>
        <v>2.536422473342444E-12</v>
      </c>
      <c r="AL152" s="22">
        <f t="shared" si="112"/>
        <v>4.7326673552561798E-12</v>
      </c>
      <c r="AM152" s="60">
        <f t="shared" si="113"/>
        <v>293.33333333333803</v>
      </c>
      <c r="AN152" s="60">
        <f ca="1">AVERAGE(OFFSET($AM$3,0,0,'Données projet'!$E$10+1,1))-AVERAGE(OFFSET($H$3,0,0,'Données projet'!$E$10+1,1))</f>
        <v>299.28262372717484</v>
      </c>
      <c r="AO152" s="60">
        <f t="shared" si="144"/>
        <v>294.28794439094889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projet'!$B$11,Paramètres!$A$1:$I$89,3,0)*VLOOKUP('Données projet'!$B$11,Paramètres!$A$1:$I$89,5,0)</f>
        <v>1.6671037883497774E-13</v>
      </c>
      <c r="BF152" s="14">
        <f t="shared" si="145"/>
        <v>2.3598166018346595E-12</v>
      </c>
      <c r="BG152" s="22">
        <f t="shared" si="115"/>
        <v>4.400367824666284E-12</v>
      </c>
      <c r="BH152" s="60">
        <f t="shared" si="116"/>
        <v>293.33333333333769</v>
      </c>
      <c r="BI152" s="60">
        <f ca="1">AVERAGE(OFFSET($BH$3,0,0,'Données projet'!$E$11+1,1))-AVERAGE(OFFSET($H$3,0,0,'Données projet'!$E$11+1,1))</f>
        <v>278.61904724595763</v>
      </c>
      <c r="BJ152" s="60">
        <f t="shared" si="146"/>
        <v>274.55710362891892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0">
        <f t="shared" si="119"/>
        <v>293.33333333333582</v>
      </c>
      <c r="CD152" s="60">
        <f ca="1">AVERAGE(OFFSET($CC$3,0,0,'Données projet'!$E$12+1,1))-AVERAGE(OFFSET($H$3,0,0,'Données projet'!$E$12+1,1))</f>
        <v>292.57482726862594</v>
      </c>
      <c r="CE152" s="60">
        <f t="shared" si="148"/>
        <v>283.48738729114024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-6.2527760746888816E-13</v>
      </c>
      <c r="CU152" s="18">
        <f>CT152*VLOOKUP('Données projet'!$B$13,Paramètres!$A$1:$I$89,3,0)*VLOOKUP('Données projet'!$B$13,Paramètres!$A$1:$I$89,5,0)</f>
        <v>-2.9262992029543964E-13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246.64907095367749</v>
      </c>
      <c r="CZ152" s="60">
        <f t="shared" si="150"/>
        <v>145.34368562171613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-9.2222762759774927E-14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256.19915261735281</v>
      </c>
      <c r="DU152" s="60">
        <f t="shared" si="152"/>
        <v>297.47246687305056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866.19540306597469</v>
      </c>
      <c r="S153" s="60">
        <f ca="1">AVERAGE(OFFSET($R$3,0,0,'Données projet'!$E$9+1,1))-AVERAGE(OFFSET($H$3,0,0,'Données projet'!$E$9+1,1))</f>
        <v>428.8489304403459</v>
      </c>
      <c r="T153" s="60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1.8089849618263545E-13</v>
      </c>
      <c r="AK153" s="14">
        <f t="shared" si="143"/>
        <v>2.536422473342444E-12</v>
      </c>
      <c r="AL153" s="22">
        <f t="shared" si="112"/>
        <v>4.7326673552561798E-12</v>
      </c>
      <c r="AM153" s="60">
        <f t="shared" si="113"/>
        <v>293.33333333333803</v>
      </c>
      <c r="AN153" s="60">
        <f ca="1">AVERAGE(OFFSET($AM$3,0,0,'Données projet'!$E$10+1,1))-AVERAGE(OFFSET($H$3,0,0,'Données projet'!$E$10+1,1))</f>
        <v>299.28262372717484</v>
      </c>
      <c r="AO153" s="60">
        <f t="shared" si="144"/>
        <v>294.28794439094889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projet'!$B$11,Paramètres!$A$1:$I$89,3,0)*VLOOKUP('Données projet'!$B$11,Paramètres!$A$1:$I$89,5,0)</f>
        <v>1.6671037883497774E-13</v>
      </c>
      <c r="BF153" s="14">
        <f t="shared" si="145"/>
        <v>2.3598166018346595E-12</v>
      </c>
      <c r="BG153" s="22">
        <f t="shared" si="115"/>
        <v>4.400367824666284E-12</v>
      </c>
      <c r="BH153" s="60">
        <f t="shared" si="116"/>
        <v>293.33333333333769</v>
      </c>
      <c r="BI153" s="60">
        <f ca="1">AVERAGE(OFFSET($BH$3,0,0,'Données projet'!$E$11+1,1))-AVERAGE(OFFSET($H$3,0,0,'Données projet'!$E$11+1,1))</f>
        <v>278.61904724595763</v>
      </c>
      <c r="BJ153" s="60">
        <f t="shared" si="146"/>
        <v>274.55710362891892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0">
        <f t="shared" si="119"/>
        <v>293.33333333333582</v>
      </c>
      <c r="CD153" s="60">
        <f ca="1">AVERAGE(OFFSET($CC$3,0,0,'Données projet'!$E$12+1,1))-AVERAGE(OFFSET($H$3,0,0,'Données projet'!$E$12+1,1))</f>
        <v>292.57482726862594</v>
      </c>
      <c r="CE153" s="60">
        <f t="shared" si="148"/>
        <v>283.48738729114024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-6.2527760746888816E-13</v>
      </c>
      <c r="CU153" s="18">
        <f>CT153*VLOOKUP('Données projet'!$B$13,Paramètres!$A$1:$I$89,3,0)*VLOOKUP('Données projet'!$B$13,Paramètres!$A$1:$I$89,5,0)</f>
        <v>-2.9262992029543964E-13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246.64907095367749</v>
      </c>
      <c r="CZ153" s="60">
        <f t="shared" si="150"/>
        <v>145.34368562171613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-9.2222762759774927E-14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256.19915261735281</v>
      </c>
      <c r="DU153" s="60">
        <f t="shared" si="152"/>
        <v>297.47246687305056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428.8489304403459</v>
      </c>
      <c r="T154" s="60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1.8089849618263545E-13</v>
      </c>
      <c r="AK154" s="14">
        <f t="shared" ref="AK154:AK203" si="164">EXP(-1.0587+0.8836*LN(AJ154)+0.284)</f>
        <v>2.536422473342444E-12</v>
      </c>
      <c r="AL154" s="22">
        <f t="shared" ref="AL154:AL203" si="165">(AJ154+AK154)*0.475*44/12</f>
        <v>4.7326673552561798E-12</v>
      </c>
      <c r="AM154" s="60">
        <f t="shared" si="113"/>
        <v>293.33333333333803</v>
      </c>
      <c r="AN154" s="60">
        <f ca="1">AVERAGE(OFFSET($AM$3,0,0,'Données projet'!$E$10+1,1))-AVERAGE(OFFSET($H$3,0,0,'Données projet'!$E$10+1,1))</f>
        <v>299.28262372717484</v>
      </c>
      <c r="AO154" s="60">
        <f t="shared" si="144"/>
        <v>294.28794439094889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projet'!$B$11,Paramètres!$A$1:$I$89,3,0)*VLOOKUP('Données projet'!$B$11,Paramètres!$A$1:$I$89,5,0)</f>
        <v>1.6671037883497774E-13</v>
      </c>
      <c r="BF154" s="14">
        <f t="shared" ref="BF154:BF203" si="167">EXP(-1.0587+0.8836*LN(BE154)+0.284)</f>
        <v>2.3598166018346595E-12</v>
      </c>
      <c r="BG154" s="22">
        <f t="shared" ref="BG154:BG203" si="168">(BE154+BF154)*0.475*44/12</f>
        <v>4.400367824666284E-12</v>
      </c>
      <c r="BH154" s="60">
        <f t="shared" si="116"/>
        <v>293.33333333333769</v>
      </c>
      <c r="BI154" s="60">
        <f ca="1">AVERAGE(OFFSET($BH$3,0,0,'Données projet'!$E$11+1,1))-AVERAGE(OFFSET($H$3,0,0,'Données projet'!$E$11+1,1))</f>
        <v>278.61904724595763</v>
      </c>
      <c r="BJ154" s="60">
        <f t="shared" si="146"/>
        <v>274.55710362891892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0">
        <f t="shared" si="119"/>
        <v>293.33333333333582</v>
      </c>
      <c r="CD154" s="60">
        <f ca="1">AVERAGE(OFFSET($CC$3,0,0,'Données projet'!$E$12+1,1))-AVERAGE(OFFSET($H$3,0,0,'Données projet'!$E$12+1,1))</f>
        <v>292.57482726862594</v>
      </c>
      <c r="CE154" s="60">
        <f t="shared" si="148"/>
        <v>283.48738729114024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-6.2527760746888816E-13</v>
      </c>
      <c r="CU154" s="18">
        <f>CT154*VLOOKUP('Données projet'!$B$13,Paramètres!$A$1:$I$89,3,0)*VLOOKUP('Données projet'!$B$13,Paramètres!$A$1:$I$89,5,0)</f>
        <v>-2.9262992029543964E-13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246.64907095367749</v>
      </c>
      <c r="CZ154" s="60">
        <f t="shared" si="150"/>
        <v>145.34368562171613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-9.2222762759774927E-14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256.19915261735281</v>
      </c>
      <c r="DU154" s="60">
        <f t="shared" si="152"/>
        <v>297.47246687305056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428.8489304403459</v>
      </c>
      <c r="T155" s="60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1.8089849618263545E-13</v>
      </c>
      <c r="AK155" s="14">
        <f t="shared" si="164"/>
        <v>2.536422473342444E-12</v>
      </c>
      <c r="AL155" s="22">
        <f t="shared" si="165"/>
        <v>4.7326673552561798E-12</v>
      </c>
      <c r="AM155" s="60">
        <f t="shared" si="113"/>
        <v>293.33333333333803</v>
      </c>
      <c r="AN155" s="60">
        <f ca="1">AVERAGE(OFFSET($AM$3,0,0,'Données projet'!$E$10+1,1))-AVERAGE(OFFSET($H$3,0,0,'Données projet'!$E$10+1,1))</f>
        <v>299.28262372717484</v>
      </c>
      <c r="AO155" s="60">
        <f t="shared" si="144"/>
        <v>294.28794439094889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projet'!$B$11,Paramètres!$A$1:$I$89,3,0)*VLOOKUP('Données projet'!$B$11,Paramètres!$A$1:$I$89,5,0)</f>
        <v>1.6671037883497774E-13</v>
      </c>
      <c r="BF155" s="14">
        <f t="shared" si="167"/>
        <v>2.3598166018346595E-12</v>
      </c>
      <c r="BG155" s="22">
        <f t="shared" si="168"/>
        <v>4.400367824666284E-12</v>
      </c>
      <c r="BH155" s="60">
        <f t="shared" si="116"/>
        <v>293.33333333333769</v>
      </c>
      <c r="BI155" s="60">
        <f ca="1">AVERAGE(OFFSET($BH$3,0,0,'Données projet'!$E$11+1,1))-AVERAGE(OFFSET($H$3,0,0,'Données projet'!$E$11+1,1))</f>
        <v>278.61904724595763</v>
      </c>
      <c r="BJ155" s="60">
        <f t="shared" si="146"/>
        <v>274.55710362891892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0">
        <f t="shared" si="119"/>
        <v>293.33333333333582</v>
      </c>
      <c r="CD155" s="60">
        <f ca="1">AVERAGE(OFFSET($CC$3,0,0,'Données projet'!$E$12+1,1))-AVERAGE(OFFSET($H$3,0,0,'Données projet'!$E$12+1,1))</f>
        <v>292.57482726862594</v>
      </c>
      <c r="CE155" s="60">
        <f t="shared" si="148"/>
        <v>283.48738729114024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-6.2527760746888816E-13</v>
      </c>
      <c r="CU155" s="18">
        <f>CT155*VLOOKUP('Données projet'!$B$13,Paramètres!$A$1:$I$89,3,0)*VLOOKUP('Données projet'!$B$13,Paramètres!$A$1:$I$89,5,0)</f>
        <v>-2.9262992029543964E-13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246.64907095367749</v>
      </c>
      <c r="CZ155" s="60">
        <f t="shared" si="150"/>
        <v>145.34368562171613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-9.2222762759774927E-14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256.19915261735281</v>
      </c>
      <c r="DU155" s="60">
        <f t="shared" si="152"/>
        <v>297.47246687305056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428.8489304403459</v>
      </c>
      <c r="T156" s="60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1.8089849618263545E-13</v>
      </c>
      <c r="AK156" s="14">
        <f t="shared" si="164"/>
        <v>2.536422473342444E-12</v>
      </c>
      <c r="AL156" s="22">
        <f t="shared" si="165"/>
        <v>4.7326673552561798E-12</v>
      </c>
      <c r="AM156" s="60">
        <f t="shared" si="113"/>
        <v>293.33333333333803</v>
      </c>
      <c r="AN156" s="60">
        <f ca="1">AVERAGE(OFFSET($AM$3,0,0,'Données projet'!$E$10+1,1))-AVERAGE(OFFSET($H$3,0,0,'Données projet'!$E$10+1,1))</f>
        <v>299.28262372717484</v>
      </c>
      <c r="AO156" s="60">
        <f t="shared" si="144"/>
        <v>294.28794439094889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projet'!$B$11,Paramètres!$A$1:$I$89,3,0)*VLOOKUP('Données projet'!$B$11,Paramètres!$A$1:$I$89,5,0)</f>
        <v>1.6671037883497774E-13</v>
      </c>
      <c r="BF156" s="14">
        <f t="shared" si="167"/>
        <v>2.3598166018346595E-12</v>
      </c>
      <c r="BG156" s="22">
        <f t="shared" si="168"/>
        <v>4.400367824666284E-12</v>
      </c>
      <c r="BH156" s="60">
        <f t="shared" si="116"/>
        <v>293.33333333333769</v>
      </c>
      <c r="BI156" s="60">
        <f ca="1">AVERAGE(OFFSET($BH$3,0,0,'Données projet'!$E$11+1,1))-AVERAGE(OFFSET($H$3,0,0,'Données projet'!$E$11+1,1))</f>
        <v>278.61904724595763</v>
      </c>
      <c r="BJ156" s="60">
        <f t="shared" si="146"/>
        <v>274.55710362891892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0">
        <f t="shared" si="119"/>
        <v>293.33333333333582</v>
      </c>
      <c r="CD156" s="60">
        <f ca="1">AVERAGE(OFFSET($CC$3,0,0,'Données projet'!$E$12+1,1))-AVERAGE(OFFSET($H$3,0,0,'Données projet'!$E$12+1,1))</f>
        <v>292.57482726862594</v>
      </c>
      <c r="CE156" s="60">
        <f t="shared" si="148"/>
        <v>283.48738729114024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-6.2527760746888816E-13</v>
      </c>
      <c r="CU156" s="18">
        <f>CT156*VLOOKUP('Données projet'!$B$13,Paramètres!$A$1:$I$89,3,0)*VLOOKUP('Données projet'!$B$13,Paramètres!$A$1:$I$89,5,0)</f>
        <v>-2.9262992029543964E-13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246.64907095367749</v>
      </c>
      <c r="CZ156" s="60">
        <f t="shared" si="150"/>
        <v>145.34368562171613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-9.2222762759774927E-14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256.19915261735281</v>
      </c>
      <c r="DU156" s="60">
        <f t="shared" si="152"/>
        <v>297.47246687305056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428.8489304403459</v>
      </c>
      <c r="T157" s="60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1.8089849618263545E-13</v>
      </c>
      <c r="AK157" s="14">
        <f t="shared" si="164"/>
        <v>2.536422473342444E-12</v>
      </c>
      <c r="AL157" s="22">
        <f t="shared" si="165"/>
        <v>4.7326673552561798E-12</v>
      </c>
      <c r="AM157" s="60">
        <f t="shared" si="113"/>
        <v>293.33333333333803</v>
      </c>
      <c r="AN157" s="60">
        <f ca="1">AVERAGE(OFFSET($AM$3,0,0,'Données projet'!$E$10+1,1))-AVERAGE(OFFSET($H$3,0,0,'Données projet'!$E$10+1,1))</f>
        <v>299.28262372717484</v>
      </c>
      <c r="AO157" s="60">
        <f t="shared" si="144"/>
        <v>294.28794439094889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projet'!$B$11,Paramètres!$A$1:$I$89,3,0)*VLOOKUP('Données projet'!$B$11,Paramètres!$A$1:$I$89,5,0)</f>
        <v>1.6671037883497774E-13</v>
      </c>
      <c r="BF157" s="14">
        <f t="shared" si="167"/>
        <v>2.3598166018346595E-12</v>
      </c>
      <c r="BG157" s="22">
        <f t="shared" si="168"/>
        <v>4.400367824666284E-12</v>
      </c>
      <c r="BH157" s="60">
        <f t="shared" si="116"/>
        <v>293.33333333333769</v>
      </c>
      <c r="BI157" s="60">
        <f ca="1">AVERAGE(OFFSET($BH$3,0,0,'Données projet'!$E$11+1,1))-AVERAGE(OFFSET($H$3,0,0,'Données projet'!$E$11+1,1))</f>
        <v>278.61904724595763</v>
      </c>
      <c r="BJ157" s="60">
        <f t="shared" si="146"/>
        <v>274.55710362891892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0">
        <f t="shared" si="119"/>
        <v>293.33333333333582</v>
      </c>
      <c r="CD157" s="60">
        <f ca="1">AVERAGE(OFFSET($CC$3,0,0,'Données projet'!$E$12+1,1))-AVERAGE(OFFSET($H$3,0,0,'Données projet'!$E$12+1,1))</f>
        <v>292.57482726862594</v>
      </c>
      <c r="CE157" s="60">
        <f t="shared" si="148"/>
        <v>283.48738729114024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-6.2527760746888816E-13</v>
      </c>
      <c r="CU157" s="18">
        <f>CT157*VLOOKUP('Données projet'!$B$13,Paramètres!$A$1:$I$89,3,0)*VLOOKUP('Données projet'!$B$13,Paramètres!$A$1:$I$89,5,0)</f>
        <v>-2.9262992029543964E-13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246.64907095367749</v>
      </c>
      <c r="CZ157" s="60">
        <f t="shared" si="150"/>
        <v>145.34368562171613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-9.2222762759774927E-14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256.19915261735281</v>
      </c>
      <c r="DU157" s="60">
        <f t="shared" si="152"/>
        <v>297.47246687305056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428.8489304403459</v>
      </c>
      <c r="T158" s="60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1.8089849618263545E-13</v>
      </c>
      <c r="AK158" s="14">
        <f t="shared" si="164"/>
        <v>2.536422473342444E-12</v>
      </c>
      <c r="AL158" s="22">
        <f t="shared" si="165"/>
        <v>4.7326673552561798E-12</v>
      </c>
      <c r="AM158" s="60">
        <f t="shared" si="113"/>
        <v>293.33333333333803</v>
      </c>
      <c r="AN158" s="60">
        <f ca="1">AVERAGE(OFFSET($AM$3,0,0,'Données projet'!$E$10+1,1))-AVERAGE(OFFSET($H$3,0,0,'Données projet'!$E$10+1,1))</f>
        <v>299.28262372717484</v>
      </c>
      <c r="AO158" s="60">
        <f t="shared" si="144"/>
        <v>294.28794439094889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projet'!$B$11,Paramètres!$A$1:$I$89,3,0)*VLOOKUP('Données projet'!$B$11,Paramètres!$A$1:$I$89,5,0)</f>
        <v>1.6671037883497774E-13</v>
      </c>
      <c r="BF158" s="14">
        <f t="shared" si="167"/>
        <v>2.3598166018346595E-12</v>
      </c>
      <c r="BG158" s="22">
        <f t="shared" si="168"/>
        <v>4.400367824666284E-12</v>
      </c>
      <c r="BH158" s="60">
        <f t="shared" si="116"/>
        <v>293.33333333333769</v>
      </c>
      <c r="BI158" s="60">
        <f ca="1">AVERAGE(OFFSET($BH$3,0,0,'Données projet'!$E$11+1,1))-AVERAGE(OFFSET($H$3,0,0,'Données projet'!$E$11+1,1))</f>
        <v>278.61904724595763</v>
      </c>
      <c r="BJ158" s="60">
        <f t="shared" si="146"/>
        <v>274.55710362891892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0">
        <f t="shared" si="119"/>
        <v>293.33333333333582</v>
      </c>
      <c r="CD158" s="60">
        <f ca="1">AVERAGE(OFFSET($CC$3,0,0,'Données projet'!$E$12+1,1))-AVERAGE(OFFSET($H$3,0,0,'Données projet'!$E$12+1,1))</f>
        <v>292.57482726862594</v>
      </c>
      <c r="CE158" s="60">
        <f t="shared" si="148"/>
        <v>283.48738729114024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-6.2527760746888816E-13</v>
      </c>
      <c r="CU158" s="18">
        <f>CT158*VLOOKUP('Données projet'!$B$13,Paramètres!$A$1:$I$89,3,0)*VLOOKUP('Données projet'!$B$13,Paramètres!$A$1:$I$89,5,0)</f>
        <v>-2.9262992029543964E-13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246.64907095367749</v>
      </c>
      <c r="CZ158" s="60">
        <f t="shared" si="150"/>
        <v>145.34368562171613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-9.2222762759774927E-14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256.19915261735281</v>
      </c>
      <c r="DU158" s="60">
        <f t="shared" si="152"/>
        <v>297.47246687305056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428.8489304403459</v>
      </c>
      <c r="T159" s="60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1.8089849618263545E-13</v>
      </c>
      <c r="AK159" s="14">
        <f t="shared" si="164"/>
        <v>2.536422473342444E-12</v>
      </c>
      <c r="AL159" s="22">
        <f t="shared" si="165"/>
        <v>4.7326673552561798E-12</v>
      </c>
      <c r="AM159" s="60">
        <f t="shared" si="113"/>
        <v>293.33333333333803</v>
      </c>
      <c r="AN159" s="60">
        <f ca="1">AVERAGE(OFFSET($AM$3,0,0,'Données projet'!$E$10+1,1))-AVERAGE(OFFSET($H$3,0,0,'Données projet'!$E$10+1,1))</f>
        <v>299.28262372717484</v>
      </c>
      <c r="AO159" s="60">
        <f t="shared" si="144"/>
        <v>294.28794439094889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projet'!$B$11,Paramètres!$A$1:$I$89,3,0)*VLOOKUP('Données projet'!$B$11,Paramètres!$A$1:$I$89,5,0)</f>
        <v>1.6671037883497774E-13</v>
      </c>
      <c r="BF159" s="14">
        <f t="shared" si="167"/>
        <v>2.3598166018346595E-12</v>
      </c>
      <c r="BG159" s="22">
        <f t="shared" si="168"/>
        <v>4.400367824666284E-12</v>
      </c>
      <c r="BH159" s="60">
        <f t="shared" si="116"/>
        <v>293.33333333333769</v>
      </c>
      <c r="BI159" s="60">
        <f ca="1">AVERAGE(OFFSET($BH$3,0,0,'Données projet'!$E$11+1,1))-AVERAGE(OFFSET($H$3,0,0,'Données projet'!$E$11+1,1))</f>
        <v>278.61904724595763</v>
      </c>
      <c r="BJ159" s="60">
        <f t="shared" si="146"/>
        <v>274.55710362891892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0">
        <f t="shared" si="119"/>
        <v>293.33333333333582</v>
      </c>
      <c r="CD159" s="60">
        <f ca="1">AVERAGE(OFFSET($CC$3,0,0,'Données projet'!$E$12+1,1))-AVERAGE(OFFSET($H$3,0,0,'Données projet'!$E$12+1,1))</f>
        <v>292.57482726862594</v>
      </c>
      <c r="CE159" s="60">
        <f t="shared" si="148"/>
        <v>283.48738729114024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-6.2527760746888816E-13</v>
      </c>
      <c r="CU159" s="18">
        <f>CT159*VLOOKUP('Données projet'!$B$13,Paramètres!$A$1:$I$89,3,0)*VLOOKUP('Données projet'!$B$13,Paramètres!$A$1:$I$89,5,0)</f>
        <v>-2.9262992029543964E-13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246.64907095367749</v>
      </c>
      <c r="CZ159" s="60">
        <f t="shared" si="150"/>
        <v>145.34368562171613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-9.2222762759774927E-14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256.19915261735281</v>
      </c>
      <c r="DU159" s="60">
        <f t="shared" si="152"/>
        <v>297.47246687305056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428.8489304403459</v>
      </c>
      <c r="T160" s="60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1.8089849618263545E-13</v>
      </c>
      <c r="AK160" s="14">
        <f t="shared" si="164"/>
        <v>2.536422473342444E-12</v>
      </c>
      <c r="AL160" s="22">
        <f t="shared" si="165"/>
        <v>4.7326673552561798E-12</v>
      </c>
      <c r="AM160" s="60">
        <f t="shared" si="113"/>
        <v>293.33333333333803</v>
      </c>
      <c r="AN160" s="60">
        <f ca="1">AVERAGE(OFFSET($AM$3,0,0,'Données projet'!$E$10+1,1))-AVERAGE(OFFSET($H$3,0,0,'Données projet'!$E$10+1,1))</f>
        <v>299.28262372717484</v>
      </c>
      <c r="AO160" s="60">
        <f t="shared" si="144"/>
        <v>294.28794439094889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projet'!$B$11,Paramètres!$A$1:$I$89,3,0)*VLOOKUP('Données projet'!$B$11,Paramètres!$A$1:$I$89,5,0)</f>
        <v>1.6671037883497774E-13</v>
      </c>
      <c r="BF160" s="14">
        <f t="shared" si="167"/>
        <v>2.3598166018346595E-12</v>
      </c>
      <c r="BG160" s="22">
        <f t="shared" si="168"/>
        <v>4.400367824666284E-12</v>
      </c>
      <c r="BH160" s="60">
        <f t="shared" si="116"/>
        <v>293.33333333333769</v>
      </c>
      <c r="BI160" s="60">
        <f ca="1">AVERAGE(OFFSET($BH$3,0,0,'Données projet'!$E$11+1,1))-AVERAGE(OFFSET($H$3,0,0,'Données projet'!$E$11+1,1))</f>
        <v>278.61904724595763</v>
      </c>
      <c r="BJ160" s="60">
        <f t="shared" si="146"/>
        <v>274.55710362891892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0">
        <f t="shared" si="119"/>
        <v>293.33333333333582</v>
      </c>
      <c r="CD160" s="60">
        <f ca="1">AVERAGE(OFFSET($CC$3,0,0,'Données projet'!$E$12+1,1))-AVERAGE(OFFSET($H$3,0,0,'Données projet'!$E$12+1,1))</f>
        <v>292.57482726862594</v>
      </c>
      <c r="CE160" s="60">
        <f t="shared" si="148"/>
        <v>283.48738729114024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-6.2527760746888816E-13</v>
      </c>
      <c r="CU160" s="18">
        <f>CT160*VLOOKUP('Données projet'!$B$13,Paramètres!$A$1:$I$89,3,0)*VLOOKUP('Données projet'!$B$13,Paramètres!$A$1:$I$89,5,0)</f>
        <v>-2.9262992029543964E-13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246.64907095367749</v>
      </c>
      <c r="CZ160" s="60">
        <f t="shared" si="150"/>
        <v>145.34368562171613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-9.2222762759774927E-14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256.19915261735281</v>
      </c>
      <c r="DU160" s="60">
        <f t="shared" si="152"/>
        <v>297.47246687305056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428.8489304403459</v>
      </c>
      <c r="T161" s="60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1.8089849618263545E-13</v>
      </c>
      <c r="AK161" s="14">
        <f t="shared" si="164"/>
        <v>2.536422473342444E-12</v>
      </c>
      <c r="AL161" s="22">
        <f t="shared" si="165"/>
        <v>4.7326673552561798E-12</v>
      </c>
      <c r="AM161" s="60">
        <f t="shared" si="113"/>
        <v>293.33333333333803</v>
      </c>
      <c r="AN161" s="60">
        <f ca="1">AVERAGE(OFFSET($AM$3,0,0,'Données projet'!$E$10+1,1))-AVERAGE(OFFSET($H$3,0,0,'Données projet'!$E$10+1,1))</f>
        <v>299.28262372717484</v>
      </c>
      <c r="AO161" s="60">
        <f t="shared" si="144"/>
        <v>294.28794439094889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projet'!$B$11,Paramètres!$A$1:$I$89,3,0)*VLOOKUP('Données projet'!$B$11,Paramètres!$A$1:$I$89,5,0)</f>
        <v>1.6671037883497774E-13</v>
      </c>
      <c r="BF161" s="14">
        <f t="shared" si="167"/>
        <v>2.3598166018346595E-12</v>
      </c>
      <c r="BG161" s="22">
        <f t="shared" si="168"/>
        <v>4.400367824666284E-12</v>
      </c>
      <c r="BH161" s="60">
        <f t="shared" si="116"/>
        <v>293.33333333333769</v>
      </c>
      <c r="BI161" s="60">
        <f ca="1">AVERAGE(OFFSET($BH$3,0,0,'Données projet'!$E$11+1,1))-AVERAGE(OFFSET($H$3,0,0,'Données projet'!$E$11+1,1))</f>
        <v>278.61904724595763</v>
      </c>
      <c r="BJ161" s="60">
        <f t="shared" si="146"/>
        <v>274.55710362891892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0">
        <f t="shared" si="119"/>
        <v>293.33333333333582</v>
      </c>
      <c r="CD161" s="60">
        <f ca="1">AVERAGE(OFFSET($CC$3,0,0,'Données projet'!$E$12+1,1))-AVERAGE(OFFSET($H$3,0,0,'Données projet'!$E$12+1,1))</f>
        <v>292.57482726862594</v>
      </c>
      <c r="CE161" s="60">
        <f t="shared" si="148"/>
        <v>283.48738729114024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-6.2527760746888816E-13</v>
      </c>
      <c r="CU161" s="18">
        <f>CT161*VLOOKUP('Données projet'!$B$13,Paramètres!$A$1:$I$89,3,0)*VLOOKUP('Données projet'!$B$13,Paramètres!$A$1:$I$89,5,0)</f>
        <v>-2.9262992029543964E-13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246.64907095367749</v>
      </c>
      <c r="CZ161" s="60">
        <f t="shared" si="150"/>
        <v>145.34368562171613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-9.2222762759774927E-14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256.19915261735281</v>
      </c>
      <c r="DU161" s="60">
        <f t="shared" si="152"/>
        <v>297.47246687305056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428.8489304403459</v>
      </c>
      <c r="T162" s="60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1.8089849618263545E-13</v>
      </c>
      <c r="AK162" s="14">
        <f t="shared" si="164"/>
        <v>2.536422473342444E-12</v>
      </c>
      <c r="AL162" s="22">
        <f t="shared" si="165"/>
        <v>4.7326673552561798E-12</v>
      </c>
      <c r="AM162" s="60">
        <f t="shared" si="113"/>
        <v>293.33333333333803</v>
      </c>
      <c r="AN162" s="60">
        <f ca="1">AVERAGE(OFFSET($AM$3,0,0,'Données projet'!$E$10+1,1))-AVERAGE(OFFSET($H$3,0,0,'Données projet'!$E$10+1,1))</f>
        <v>299.28262372717484</v>
      </c>
      <c r="AO162" s="60">
        <f t="shared" si="144"/>
        <v>294.28794439094889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projet'!$B$11,Paramètres!$A$1:$I$89,3,0)*VLOOKUP('Données projet'!$B$11,Paramètres!$A$1:$I$89,5,0)</f>
        <v>1.6671037883497774E-13</v>
      </c>
      <c r="BF162" s="14">
        <f t="shared" si="167"/>
        <v>2.3598166018346595E-12</v>
      </c>
      <c r="BG162" s="22">
        <f t="shared" si="168"/>
        <v>4.400367824666284E-12</v>
      </c>
      <c r="BH162" s="60">
        <f t="shared" si="116"/>
        <v>293.33333333333769</v>
      </c>
      <c r="BI162" s="60">
        <f ca="1">AVERAGE(OFFSET($BH$3,0,0,'Données projet'!$E$11+1,1))-AVERAGE(OFFSET($H$3,0,0,'Données projet'!$E$11+1,1))</f>
        <v>278.61904724595763</v>
      </c>
      <c r="BJ162" s="60">
        <f t="shared" si="146"/>
        <v>274.55710362891892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0">
        <f t="shared" si="119"/>
        <v>293.33333333333582</v>
      </c>
      <c r="CD162" s="60">
        <f ca="1">AVERAGE(OFFSET($CC$3,0,0,'Données projet'!$E$12+1,1))-AVERAGE(OFFSET($H$3,0,0,'Données projet'!$E$12+1,1))</f>
        <v>292.57482726862594</v>
      </c>
      <c r="CE162" s="60">
        <f t="shared" si="148"/>
        <v>283.48738729114024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-6.2527760746888816E-13</v>
      </c>
      <c r="CU162" s="18">
        <f>CT162*VLOOKUP('Données projet'!$B$13,Paramètres!$A$1:$I$89,3,0)*VLOOKUP('Données projet'!$B$13,Paramètres!$A$1:$I$89,5,0)</f>
        <v>-2.9262992029543964E-13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246.64907095367749</v>
      </c>
      <c r="CZ162" s="60">
        <f t="shared" si="150"/>
        <v>145.34368562171613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-9.2222762759774927E-14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256.19915261735281</v>
      </c>
      <c r="DU162" s="60">
        <f t="shared" si="152"/>
        <v>297.47246687305056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428.8489304403459</v>
      </c>
      <c r="T163" s="60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1.8089849618263545E-13</v>
      </c>
      <c r="AK163" s="14">
        <f t="shared" si="164"/>
        <v>2.536422473342444E-12</v>
      </c>
      <c r="AL163" s="22">
        <f t="shared" si="165"/>
        <v>4.7326673552561798E-12</v>
      </c>
      <c r="AM163" s="60">
        <f t="shared" si="113"/>
        <v>293.33333333333803</v>
      </c>
      <c r="AN163" s="60">
        <f ca="1">AVERAGE(OFFSET($AM$3,0,0,'Données projet'!$E$10+1,1))-AVERAGE(OFFSET($H$3,0,0,'Données projet'!$E$10+1,1))</f>
        <v>299.28262372717484</v>
      </c>
      <c r="AO163" s="60">
        <f t="shared" si="144"/>
        <v>294.28794439094889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projet'!$B$11,Paramètres!$A$1:$I$89,3,0)*VLOOKUP('Données projet'!$B$11,Paramètres!$A$1:$I$89,5,0)</f>
        <v>1.6671037883497774E-13</v>
      </c>
      <c r="BF163" s="14">
        <f t="shared" si="167"/>
        <v>2.3598166018346595E-12</v>
      </c>
      <c r="BG163" s="22">
        <f t="shared" si="168"/>
        <v>4.400367824666284E-12</v>
      </c>
      <c r="BH163" s="60">
        <f t="shared" si="116"/>
        <v>293.33333333333769</v>
      </c>
      <c r="BI163" s="60">
        <f ca="1">AVERAGE(OFFSET($BH$3,0,0,'Données projet'!$E$11+1,1))-AVERAGE(OFFSET($H$3,0,0,'Données projet'!$E$11+1,1))</f>
        <v>278.61904724595763</v>
      </c>
      <c r="BJ163" s="60">
        <f t="shared" si="146"/>
        <v>274.55710362891892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0">
        <f t="shared" si="119"/>
        <v>293.33333333333582</v>
      </c>
      <c r="CD163" s="60">
        <f ca="1">AVERAGE(OFFSET($CC$3,0,0,'Données projet'!$E$12+1,1))-AVERAGE(OFFSET($H$3,0,0,'Données projet'!$E$12+1,1))</f>
        <v>292.57482726862594</v>
      </c>
      <c r="CE163" s="60">
        <f t="shared" si="148"/>
        <v>283.48738729114024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-6.2527760746888816E-13</v>
      </c>
      <c r="CU163" s="18">
        <f>CT163*VLOOKUP('Données projet'!$B$13,Paramètres!$A$1:$I$89,3,0)*VLOOKUP('Données projet'!$B$13,Paramètres!$A$1:$I$89,5,0)</f>
        <v>-2.9262992029543964E-13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246.64907095367749</v>
      </c>
      <c r="CZ163" s="60">
        <f t="shared" si="150"/>
        <v>145.34368562171613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-9.2222762759774927E-14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256.19915261735281</v>
      </c>
      <c r="DU163" s="60">
        <f t="shared" si="152"/>
        <v>297.47246687305056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428.8489304403459</v>
      </c>
      <c r="T164" s="60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1.8089849618263545E-13</v>
      </c>
      <c r="AK164" s="14">
        <f t="shared" si="164"/>
        <v>2.536422473342444E-12</v>
      </c>
      <c r="AL164" s="22">
        <f t="shared" si="165"/>
        <v>4.7326673552561798E-12</v>
      </c>
      <c r="AM164" s="60">
        <f t="shared" si="113"/>
        <v>293.33333333333803</v>
      </c>
      <c r="AN164" s="60">
        <f ca="1">AVERAGE(OFFSET($AM$3,0,0,'Données projet'!$E$10+1,1))-AVERAGE(OFFSET($H$3,0,0,'Données projet'!$E$10+1,1))</f>
        <v>299.28262372717484</v>
      </c>
      <c r="AO164" s="60">
        <f t="shared" si="144"/>
        <v>294.28794439094889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projet'!$B$11,Paramètres!$A$1:$I$89,3,0)*VLOOKUP('Données projet'!$B$11,Paramètres!$A$1:$I$89,5,0)</f>
        <v>1.6671037883497774E-13</v>
      </c>
      <c r="BF164" s="14">
        <f t="shared" si="167"/>
        <v>2.3598166018346595E-12</v>
      </c>
      <c r="BG164" s="22">
        <f t="shared" si="168"/>
        <v>4.400367824666284E-12</v>
      </c>
      <c r="BH164" s="60">
        <f t="shared" si="116"/>
        <v>293.33333333333769</v>
      </c>
      <c r="BI164" s="60">
        <f ca="1">AVERAGE(OFFSET($BH$3,0,0,'Données projet'!$E$11+1,1))-AVERAGE(OFFSET($H$3,0,0,'Données projet'!$E$11+1,1))</f>
        <v>278.61904724595763</v>
      </c>
      <c r="BJ164" s="60">
        <f t="shared" si="146"/>
        <v>274.55710362891892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0">
        <f t="shared" si="119"/>
        <v>293.33333333333582</v>
      </c>
      <c r="CD164" s="60">
        <f ca="1">AVERAGE(OFFSET($CC$3,0,0,'Données projet'!$E$12+1,1))-AVERAGE(OFFSET($H$3,0,0,'Données projet'!$E$12+1,1))</f>
        <v>292.57482726862594</v>
      </c>
      <c r="CE164" s="60">
        <f t="shared" si="148"/>
        <v>283.48738729114024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-6.2527760746888816E-13</v>
      </c>
      <c r="CU164" s="18">
        <f>CT164*VLOOKUP('Données projet'!$B$13,Paramètres!$A$1:$I$89,3,0)*VLOOKUP('Données projet'!$B$13,Paramètres!$A$1:$I$89,5,0)</f>
        <v>-2.9262992029543964E-13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246.64907095367749</v>
      </c>
      <c r="CZ164" s="60">
        <f t="shared" si="150"/>
        <v>145.34368562171613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-9.2222762759774927E-14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256.19915261735281</v>
      </c>
      <c r="DU164" s="60">
        <f t="shared" si="152"/>
        <v>297.47246687305056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428.8489304403459</v>
      </c>
      <c r="T165" s="60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1.8089849618263545E-13</v>
      </c>
      <c r="AK165" s="14">
        <f t="shared" si="164"/>
        <v>2.536422473342444E-12</v>
      </c>
      <c r="AL165" s="22">
        <f t="shared" si="165"/>
        <v>4.7326673552561798E-12</v>
      </c>
      <c r="AM165" s="60">
        <f t="shared" si="113"/>
        <v>293.33333333333803</v>
      </c>
      <c r="AN165" s="60">
        <f ca="1">AVERAGE(OFFSET($AM$3,0,0,'Données projet'!$E$10+1,1))-AVERAGE(OFFSET($H$3,0,0,'Données projet'!$E$10+1,1))</f>
        <v>299.28262372717484</v>
      </c>
      <c r="AO165" s="60">
        <f t="shared" si="144"/>
        <v>294.28794439094889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projet'!$B$11,Paramètres!$A$1:$I$89,3,0)*VLOOKUP('Données projet'!$B$11,Paramètres!$A$1:$I$89,5,0)</f>
        <v>1.6671037883497774E-13</v>
      </c>
      <c r="BF165" s="14">
        <f t="shared" si="167"/>
        <v>2.3598166018346595E-12</v>
      </c>
      <c r="BG165" s="22">
        <f t="shared" si="168"/>
        <v>4.400367824666284E-12</v>
      </c>
      <c r="BH165" s="60">
        <f t="shared" si="116"/>
        <v>293.33333333333769</v>
      </c>
      <c r="BI165" s="60">
        <f ca="1">AVERAGE(OFFSET($BH$3,0,0,'Données projet'!$E$11+1,1))-AVERAGE(OFFSET($H$3,0,0,'Données projet'!$E$11+1,1))</f>
        <v>278.61904724595763</v>
      </c>
      <c r="BJ165" s="60">
        <f t="shared" si="146"/>
        <v>274.55710362891892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0">
        <f t="shared" si="119"/>
        <v>293.33333333333582</v>
      </c>
      <c r="CD165" s="60">
        <f ca="1">AVERAGE(OFFSET($CC$3,0,0,'Données projet'!$E$12+1,1))-AVERAGE(OFFSET($H$3,0,0,'Données projet'!$E$12+1,1))</f>
        <v>292.57482726862594</v>
      </c>
      <c r="CE165" s="60">
        <f t="shared" si="148"/>
        <v>283.48738729114024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-6.2527760746888816E-13</v>
      </c>
      <c r="CU165" s="18">
        <f>CT165*VLOOKUP('Données projet'!$B$13,Paramètres!$A$1:$I$89,3,0)*VLOOKUP('Données projet'!$B$13,Paramètres!$A$1:$I$89,5,0)</f>
        <v>-2.9262992029543964E-13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246.64907095367749</v>
      </c>
      <c r="CZ165" s="60">
        <f t="shared" si="150"/>
        <v>145.34368562171613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-9.2222762759774927E-14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256.19915261735281</v>
      </c>
      <c r="DU165" s="60">
        <f t="shared" si="152"/>
        <v>297.47246687305056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428.8489304403459</v>
      </c>
      <c r="T166" s="60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1.8089849618263545E-13</v>
      </c>
      <c r="AK166" s="14">
        <f t="shared" si="164"/>
        <v>2.536422473342444E-12</v>
      </c>
      <c r="AL166" s="22">
        <f t="shared" si="165"/>
        <v>4.7326673552561798E-12</v>
      </c>
      <c r="AM166" s="60">
        <f t="shared" si="113"/>
        <v>293.33333333333803</v>
      </c>
      <c r="AN166" s="60">
        <f ca="1">AVERAGE(OFFSET($AM$3,0,0,'Données projet'!$E$10+1,1))-AVERAGE(OFFSET($H$3,0,0,'Données projet'!$E$10+1,1))</f>
        <v>299.28262372717484</v>
      </c>
      <c r="AO166" s="60">
        <f t="shared" si="144"/>
        <v>294.28794439094889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projet'!$B$11,Paramètres!$A$1:$I$89,3,0)*VLOOKUP('Données projet'!$B$11,Paramètres!$A$1:$I$89,5,0)</f>
        <v>1.6671037883497774E-13</v>
      </c>
      <c r="BF166" s="14">
        <f t="shared" si="167"/>
        <v>2.3598166018346595E-12</v>
      </c>
      <c r="BG166" s="22">
        <f t="shared" si="168"/>
        <v>4.400367824666284E-12</v>
      </c>
      <c r="BH166" s="60">
        <f t="shared" si="116"/>
        <v>293.33333333333769</v>
      </c>
      <c r="BI166" s="60">
        <f ca="1">AVERAGE(OFFSET($BH$3,0,0,'Données projet'!$E$11+1,1))-AVERAGE(OFFSET($H$3,0,0,'Données projet'!$E$11+1,1))</f>
        <v>278.61904724595763</v>
      </c>
      <c r="BJ166" s="60">
        <f t="shared" si="146"/>
        <v>274.55710362891892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0">
        <f t="shared" si="119"/>
        <v>293.33333333333582</v>
      </c>
      <c r="CD166" s="60">
        <f ca="1">AVERAGE(OFFSET($CC$3,0,0,'Données projet'!$E$12+1,1))-AVERAGE(OFFSET($H$3,0,0,'Données projet'!$E$12+1,1))</f>
        <v>292.57482726862594</v>
      </c>
      <c r="CE166" s="60">
        <f t="shared" si="148"/>
        <v>283.48738729114024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-6.2527760746888816E-13</v>
      </c>
      <c r="CU166" s="18">
        <f>CT166*VLOOKUP('Données projet'!$B$13,Paramètres!$A$1:$I$89,3,0)*VLOOKUP('Données projet'!$B$13,Paramètres!$A$1:$I$89,5,0)</f>
        <v>-2.9262992029543964E-13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246.64907095367749</v>
      </c>
      <c r="CZ166" s="60">
        <f t="shared" si="150"/>
        <v>145.34368562171613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-9.2222762759774927E-14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256.19915261735281</v>
      </c>
      <c r="DU166" s="60">
        <f t="shared" si="152"/>
        <v>297.47246687305056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428.8489304403459</v>
      </c>
      <c r="T167" s="60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1.8089849618263545E-13</v>
      </c>
      <c r="AK167" s="14">
        <f t="shared" si="164"/>
        <v>2.536422473342444E-12</v>
      </c>
      <c r="AL167" s="22">
        <f t="shared" si="165"/>
        <v>4.7326673552561798E-12</v>
      </c>
      <c r="AM167" s="60">
        <f t="shared" si="113"/>
        <v>293.33333333333803</v>
      </c>
      <c r="AN167" s="60">
        <f ca="1">AVERAGE(OFFSET($AM$3,0,0,'Données projet'!$E$10+1,1))-AVERAGE(OFFSET($H$3,0,0,'Données projet'!$E$10+1,1))</f>
        <v>299.28262372717484</v>
      </c>
      <c r="AO167" s="60">
        <f t="shared" si="144"/>
        <v>294.28794439094889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projet'!$B$11,Paramètres!$A$1:$I$89,3,0)*VLOOKUP('Données projet'!$B$11,Paramètres!$A$1:$I$89,5,0)</f>
        <v>1.6671037883497774E-13</v>
      </c>
      <c r="BF167" s="14">
        <f t="shared" si="167"/>
        <v>2.3598166018346595E-12</v>
      </c>
      <c r="BG167" s="22">
        <f t="shared" si="168"/>
        <v>4.400367824666284E-12</v>
      </c>
      <c r="BH167" s="60">
        <f t="shared" si="116"/>
        <v>293.33333333333769</v>
      </c>
      <c r="BI167" s="60">
        <f ca="1">AVERAGE(OFFSET($BH$3,0,0,'Données projet'!$E$11+1,1))-AVERAGE(OFFSET($H$3,0,0,'Données projet'!$E$11+1,1))</f>
        <v>278.61904724595763</v>
      </c>
      <c r="BJ167" s="60">
        <f t="shared" si="146"/>
        <v>274.55710362891892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0">
        <f t="shared" si="119"/>
        <v>293.33333333333582</v>
      </c>
      <c r="CD167" s="60">
        <f ca="1">AVERAGE(OFFSET($CC$3,0,0,'Données projet'!$E$12+1,1))-AVERAGE(OFFSET($H$3,0,0,'Données projet'!$E$12+1,1))</f>
        <v>292.57482726862594</v>
      </c>
      <c r="CE167" s="60">
        <f t="shared" si="148"/>
        <v>283.48738729114024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-6.2527760746888816E-13</v>
      </c>
      <c r="CU167" s="18">
        <f>CT167*VLOOKUP('Données projet'!$B$13,Paramètres!$A$1:$I$89,3,0)*VLOOKUP('Données projet'!$B$13,Paramètres!$A$1:$I$89,5,0)</f>
        <v>-2.9262992029543964E-13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246.64907095367749</v>
      </c>
      <c r="CZ167" s="60">
        <f t="shared" si="150"/>
        <v>145.34368562171613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-9.2222762759774927E-14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256.19915261735281</v>
      </c>
      <c r="DU167" s="60">
        <f t="shared" si="152"/>
        <v>297.47246687305056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428.8489304403459</v>
      </c>
      <c r="T168" s="60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1.8089849618263545E-13</v>
      </c>
      <c r="AK168" s="14">
        <f t="shared" si="164"/>
        <v>2.536422473342444E-12</v>
      </c>
      <c r="AL168" s="22">
        <f t="shared" si="165"/>
        <v>4.7326673552561798E-12</v>
      </c>
      <c r="AM168" s="60">
        <f t="shared" si="113"/>
        <v>293.33333333333803</v>
      </c>
      <c r="AN168" s="60">
        <f ca="1">AVERAGE(OFFSET($AM$3,0,0,'Données projet'!$E$10+1,1))-AVERAGE(OFFSET($H$3,0,0,'Données projet'!$E$10+1,1))</f>
        <v>299.28262372717484</v>
      </c>
      <c r="AO168" s="60">
        <f t="shared" si="144"/>
        <v>294.28794439094889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projet'!$B$11,Paramètres!$A$1:$I$89,3,0)*VLOOKUP('Données projet'!$B$11,Paramètres!$A$1:$I$89,5,0)</f>
        <v>1.6671037883497774E-13</v>
      </c>
      <c r="BF168" s="14">
        <f t="shared" si="167"/>
        <v>2.3598166018346595E-12</v>
      </c>
      <c r="BG168" s="22">
        <f t="shared" si="168"/>
        <v>4.400367824666284E-12</v>
      </c>
      <c r="BH168" s="60">
        <f t="shared" si="116"/>
        <v>293.33333333333769</v>
      </c>
      <c r="BI168" s="60">
        <f ca="1">AVERAGE(OFFSET($BH$3,0,0,'Données projet'!$E$11+1,1))-AVERAGE(OFFSET($H$3,0,0,'Données projet'!$E$11+1,1))</f>
        <v>278.61904724595763</v>
      </c>
      <c r="BJ168" s="60">
        <f t="shared" si="146"/>
        <v>274.55710362891892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0">
        <f t="shared" si="119"/>
        <v>293.33333333333582</v>
      </c>
      <c r="CD168" s="60">
        <f ca="1">AVERAGE(OFFSET($CC$3,0,0,'Données projet'!$E$12+1,1))-AVERAGE(OFFSET($H$3,0,0,'Données projet'!$E$12+1,1))</f>
        <v>292.57482726862594</v>
      </c>
      <c r="CE168" s="60">
        <f t="shared" si="148"/>
        <v>283.48738729114024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-6.2527760746888816E-13</v>
      </c>
      <c r="CU168" s="18">
        <f>CT168*VLOOKUP('Données projet'!$B$13,Paramètres!$A$1:$I$89,3,0)*VLOOKUP('Données projet'!$B$13,Paramètres!$A$1:$I$89,5,0)</f>
        <v>-2.9262992029543964E-13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246.64907095367749</v>
      </c>
      <c r="CZ168" s="60">
        <f t="shared" si="150"/>
        <v>145.34368562171613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-9.2222762759774927E-14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256.19915261735281</v>
      </c>
      <c r="DU168" s="60">
        <f t="shared" si="152"/>
        <v>297.47246687305056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428.8489304403459</v>
      </c>
      <c r="T169" s="60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1.8089849618263545E-13</v>
      </c>
      <c r="AK169" s="14">
        <f t="shared" si="164"/>
        <v>2.536422473342444E-12</v>
      </c>
      <c r="AL169" s="22">
        <f t="shared" si="165"/>
        <v>4.7326673552561798E-12</v>
      </c>
      <c r="AM169" s="60">
        <f t="shared" si="113"/>
        <v>293.33333333333803</v>
      </c>
      <c r="AN169" s="60">
        <f ca="1">AVERAGE(OFFSET($AM$3,0,0,'Données projet'!$E$10+1,1))-AVERAGE(OFFSET($H$3,0,0,'Données projet'!$E$10+1,1))</f>
        <v>299.28262372717484</v>
      </c>
      <c r="AO169" s="60">
        <f t="shared" si="144"/>
        <v>294.28794439094889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projet'!$B$11,Paramètres!$A$1:$I$89,3,0)*VLOOKUP('Données projet'!$B$11,Paramètres!$A$1:$I$89,5,0)</f>
        <v>1.6671037883497774E-13</v>
      </c>
      <c r="BF169" s="14">
        <f t="shared" si="167"/>
        <v>2.3598166018346595E-12</v>
      </c>
      <c r="BG169" s="22">
        <f t="shared" si="168"/>
        <v>4.400367824666284E-12</v>
      </c>
      <c r="BH169" s="60">
        <f t="shared" si="116"/>
        <v>293.33333333333769</v>
      </c>
      <c r="BI169" s="60">
        <f ca="1">AVERAGE(OFFSET($BH$3,0,0,'Données projet'!$E$11+1,1))-AVERAGE(OFFSET($H$3,0,0,'Données projet'!$E$11+1,1))</f>
        <v>278.61904724595763</v>
      </c>
      <c r="BJ169" s="60">
        <f t="shared" si="146"/>
        <v>274.55710362891892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0">
        <f t="shared" si="119"/>
        <v>293.33333333333582</v>
      </c>
      <c r="CD169" s="60">
        <f ca="1">AVERAGE(OFFSET($CC$3,0,0,'Données projet'!$E$12+1,1))-AVERAGE(OFFSET($H$3,0,0,'Données projet'!$E$12+1,1))</f>
        <v>292.57482726862594</v>
      </c>
      <c r="CE169" s="60">
        <f t="shared" si="148"/>
        <v>283.48738729114024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-6.2527760746888816E-13</v>
      </c>
      <c r="CU169" s="18">
        <f>CT169*VLOOKUP('Données projet'!$B$13,Paramètres!$A$1:$I$89,3,0)*VLOOKUP('Données projet'!$B$13,Paramètres!$A$1:$I$89,5,0)</f>
        <v>-2.9262992029543964E-13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246.64907095367749</v>
      </c>
      <c r="CZ169" s="60">
        <f t="shared" si="150"/>
        <v>145.34368562171613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-9.2222762759774927E-14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256.19915261735281</v>
      </c>
      <c r="DU169" s="60">
        <f t="shared" si="152"/>
        <v>297.47246687305056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428.8489304403459</v>
      </c>
      <c r="T170" s="60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1.8089849618263545E-13</v>
      </c>
      <c r="AK170" s="14">
        <f t="shared" si="164"/>
        <v>2.536422473342444E-12</v>
      </c>
      <c r="AL170" s="22">
        <f t="shared" si="165"/>
        <v>4.7326673552561798E-12</v>
      </c>
      <c r="AM170" s="60">
        <f t="shared" si="113"/>
        <v>293.33333333333803</v>
      </c>
      <c r="AN170" s="60">
        <f ca="1">AVERAGE(OFFSET($AM$3,0,0,'Données projet'!$E$10+1,1))-AVERAGE(OFFSET($H$3,0,0,'Données projet'!$E$10+1,1))</f>
        <v>299.28262372717484</v>
      </c>
      <c r="AO170" s="60">
        <f t="shared" si="144"/>
        <v>294.28794439094889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projet'!$B$11,Paramètres!$A$1:$I$89,3,0)*VLOOKUP('Données projet'!$B$11,Paramètres!$A$1:$I$89,5,0)</f>
        <v>1.6671037883497774E-13</v>
      </c>
      <c r="BF170" s="14">
        <f t="shared" si="167"/>
        <v>2.3598166018346595E-12</v>
      </c>
      <c r="BG170" s="22">
        <f t="shared" si="168"/>
        <v>4.400367824666284E-12</v>
      </c>
      <c r="BH170" s="60">
        <f t="shared" si="116"/>
        <v>293.33333333333769</v>
      </c>
      <c r="BI170" s="60">
        <f ca="1">AVERAGE(OFFSET($BH$3,0,0,'Données projet'!$E$11+1,1))-AVERAGE(OFFSET($H$3,0,0,'Données projet'!$E$11+1,1))</f>
        <v>278.61904724595763</v>
      </c>
      <c r="BJ170" s="60">
        <f t="shared" si="146"/>
        <v>274.55710362891892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0">
        <f t="shared" si="119"/>
        <v>293.33333333333582</v>
      </c>
      <c r="CD170" s="60">
        <f ca="1">AVERAGE(OFFSET($CC$3,0,0,'Données projet'!$E$12+1,1))-AVERAGE(OFFSET($H$3,0,0,'Données projet'!$E$12+1,1))</f>
        <v>292.57482726862594</v>
      </c>
      <c r="CE170" s="60">
        <f t="shared" si="148"/>
        <v>283.48738729114024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-6.2527760746888816E-13</v>
      </c>
      <c r="CU170" s="18">
        <f>CT170*VLOOKUP('Données projet'!$B$13,Paramètres!$A$1:$I$89,3,0)*VLOOKUP('Données projet'!$B$13,Paramètres!$A$1:$I$89,5,0)</f>
        <v>-2.9262992029543964E-13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246.64907095367749</v>
      </c>
      <c r="CZ170" s="60">
        <f t="shared" si="150"/>
        <v>145.34368562171613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-9.2222762759774927E-14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256.19915261735281</v>
      </c>
      <c r="DU170" s="60">
        <f t="shared" si="152"/>
        <v>297.47246687305056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428.8489304403459</v>
      </c>
      <c r="T171" s="60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1.8089849618263545E-13</v>
      </c>
      <c r="AK171" s="14">
        <f t="shared" si="164"/>
        <v>2.536422473342444E-12</v>
      </c>
      <c r="AL171" s="22">
        <f t="shared" si="165"/>
        <v>4.7326673552561798E-12</v>
      </c>
      <c r="AM171" s="60">
        <f t="shared" si="113"/>
        <v>293.33333333333803</v>
      </c>
      <c r="AN171" s="60">
        <f ca="1">AVERAGE(OFFSET($AM$3,0,0,'Données projet'!$E$10+1,1))-AVERAGE(OFFSET($H$3,0,0,'Données projet'!$E$10+1,1))</f>
        <v>299.28262372717484</v>
      </c>
      <c r="AO171" s="60">
        <f t="shared" si="144"/>
        <v>294.28794439094889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projet'!$B$11,Paramètres!$A$1:$I$89,3,0)*VLOOKUP('Données projet'!$B$11,Paramètres!$A$1:$I$89,5,0)</f>
        <v>1.6671037883497774E-13</v>
      </c>
      <c r="BF171" s="14">
        <f t="shared" si="167"/>
        <v>2.3598166018346595E-12</v>
      </c>
      <c r="BG171" s="22">
        <f t="shared" si="168"/>
        <v>4.400367824666284E-12</v>
      </c>
      <c r="BH171" s="60">
        <f t="shared" si="116"/>
        <v>293.33333333333769</v>
      </c>
      <c r="BI171" s="60">
        <f ca="1">AVERAGE(OFFSET($BH$3,0,0,'Données projet'!$E$11+1,1))-AVERAGE(OFFSET($H$3,0,0,'Données projet'!$E$11+1,1))</f>
        <v>278.61904724595763</v>
      </c>
      <c r="BJ171" s="60">
        <f t="shared" si="146"/>
        <v>274.55710362891892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0">
        <f t="shared" si="119"/>
        <v>293.33333333333582</v>
      </c>
      <c r="CD171" s="60">
        <f ca="1">AVERAGE(OFFSET($CC$3,0,0,'Données projet'!$E$12+1,1))-AVERAGE(OFFSET($H$3,0,0,'Données projet'!$E$12+1,1))</f>
        <v>292.57482726862594</v>
      </c>
      <c r="CE171" s="60">
        <f t="shared" si="148"/>
        <v>283.48738729114024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-6.2527760746888816E-13</v>
      </c>
      <c r="CU171" s="18">
        <f>CT171*VLOOKUP('Données projet'!$B$13,Paramètres!$A$1:$I$89,3,0)*VLOOKUP('Données projet'!$B$13,Paramètres!$A$1:$I$89,5,0)</f>
        <v>-2.9262992029543964E-13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246.64907095367749</v>
      </c>
      <c r="CZ171" s="60">
        <f t="shared" si="150"/>
        <v>145.34368562171613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-9.2222762759774927E-14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256.19915261735281</v>
      </c>
      <c r="DU171" s="60">
        <f t="shared" si="152"/>
        <v>297.47246687305056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428.8489304403459</v>
      </c>
      <c r="T172" s="60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1.8089849618263545E-13</v>
      </c>
      <c r="AK172" s="14">
        <f t="shared" si="164"/>
        <v>2.536422473342444E-12</v>
      </c>
      <c r="AL172" s="22">
        <f t="shared" si="165"/>
        <v>4.7326673552561798E-12</v>
      </c>
      <c r="AM172" s="60">
        <f t="shared" si="113"/>
        <v>293.33333333333803</v>
      </c>
      <c r="AN172" s="60">
        <f ca="1">AVERAGE(OFFSET($AM$3,0,0,'Données projet'!$E$10+1,1))-AVERAGE(OFFSET($H$3,0,0,'Données projet'!$E$10+1,1))</f>
        <v>299.28262372717484</v>
      </c>
      <c r="AO172" s="60">
        <f t="shared" si="144"/>
        <v>294.28794439094889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projet'!$B$11,Paramètres!$A$1:$I$89,3,0)*VLOOKUP('Données projet'!$B$11,Paramètres!$A$1:$I$89,5,0)</f>
        <v>1.6671037883497774E-13</v>
      </c>
      <c r="BF172" s="14">
        <f t="shared" si="167"/>
        <v>2.3598166018346595E-12</v>
      </c>
      <c r="BG172" s="22">
        <f t="shared" si="168"/>
        <v>4.400367824666284E-12</v>
      </c>
      <c r="BH172" s="60">
        <f t="shared" si="116"/>
        <v>293.33333333333769</v>
      </c>
      <c r="BI172" s="60">
        <f ca="1">AVERAGE(OFFSET($BH$3,0,0,'Données projet'!$E$11+1,1))-AVERAGE(OFFSET($H$3,0,0,'Données projet'!$E$11+1,1))</f>
        <v>278.61904724595763</v>
      </c>
      <c r="BJ172" s="60">
        <f t="shared" si="146"/>
        <v>274.55710362891892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0">
        <f t="shared" si="119"/>
        <v>293.33333333333582</v>
      </c>
      <c r="CD172" s="60">
        <f ca="1">AVERAGE(OFFSET($CC$3,0,0,'Données projet'!$E$12+1,1))-AVERAGE(OFFSET($H$3,0,0,'Données projet'!$E$12+1,1))</f>
        <v>292.57482726862594</v>
      </c>
      <c r="CE172" s="60">
        <f t="shared" si="148"/>
        <v>283.48738729114024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-6.2527760746888816E-13</v>
      </c>
      <c r="CU172" s="18">
        <f>CT172*VLOOKUP('Données projet'!$B$13,Paramètres!$A$1:$I$89,3,0)*VLOOKUP('Données projet'!$B$13,Paramètres!$A$1:$I$89,5,0)</f>
        <v>-2.9262992029543964E-13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246.64907095367749</v>
      </c>
      <c r="CZ172" s="60">
        <f t="shared" si="150"/>
        <v>145.34368562171613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-9.2222762759774927E-14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256.19915261735281</v>
      </c>
      <c r="DU172" s="60">
        <f t="shared" si="152"/>
        <v>297.47246687305056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428.8489304403459</v>
      </c>
      <c r="T173" s="60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1.8089849618263545E-13</v>
      </c>
      <c r="AK173" s="14">
        <f t="shared" si="164"/>
        <v>2.536422473342444E-12</v>
      </c>
      <c r="AL173" s="22">
        <f t="shared" si="165"/>
        <v>4.7326673552561798E-12</v>
      </c>
      <c r="AM173" s="60">
        <f t="shared" si="113"/>
        <v>293.33333333333803</v>
      </c>
      <c r="AN173" s="60">
        <f ca="1">AVERAGE(OFFSET($AM$3,0,0,'Données projet'!$E$10+1,1))-AVERAGE(OFFSET($H$3,0,0,'Données projet'!$E$10+1,1))</f>
        <v>299.28262372717484</v>
      </c>
      <c r="AO173" s="60">
        <f t="shared" si="144"/>
        <v>294.28794439094889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projet'!$B$11,Paramètres!$A$1:$I$89,3,0)*VLOOKUP('Données projet'!$B$11,Paramètres!$A$1:$I$89,5,0)</f>
        <v>1.6671037883497774E-13</v>
      </c>
      <c r="BF173" s="14">
        <f t="shared" si="167"/>
        <v>2.3598166018346595E-12</v>
      </c>
      <c r="BG173" s="22">
        <f t="shared" si="168"/>
        <v>4.400367824666284E-12</v>
      </c>
      <c r="BH173" s="60">
        <f t="shared" si="116"/>
        <v>293.33333333333769</v>
      </c>
      <c r="BI173" s="60">
        <f ca="1">AVERAGE(OFFSET($BH$3,0,0,'Données projet'!$E$11+1,1))-AVERAGE(OFFSET($H$3,0,0,'Données projet'!$E$11+1,1))</f>
        <v>278.61904724595763</v>
      </c>
      <c r="BJ173" s="60">
        <f t="shared" si="146"/>
        <v>274.55710362891892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0">
        <f t="shared" si="119"/>
        <v>293.33333333333582</v>
      </c>
      <c r="CD173" s="60">
        <f ca="1">AVERAGE(OFFSET($CC$3,0,0,'Données projet'!$E$12+1,1))-AVERAGE(OFFSET($H$3,0,0,'Données projet'!$E$12+1,1))</f>
        <v>292.57482726862594</v>
      </c>
      <c r="CE173" s="60">
        <f t="shared" si="148"/>
        <v>283.48738729114024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-6.2527760746888816E-13</v>
      </c>
      <c r="CU173" s="18">
        <f>CT173*VLOOKUP('Données projet'!$B$13,Paramètres!$A$1:$I$89,3,0)*VLOOKUP('Données projet'!$B$13,Paramètres!$A$1:$I$89,5,0)</f>
        <v>-2.9262992029543964E-13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246.64907095367749</v>
      </c>
      <c r="CZ173" s="60">
        <f t="shared" si="150"/>
        <v>145.34368562171613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-9.2222762759774927E-14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256.19915261735281</v>
      </c>
      <c r="DU173" s="60">
        <f t="shared" si="152"/>
        <v>297.47246687305056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428.8489304403459</v>
      </c>
      <c r="T174" s="60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1.8089849618263545E-13</v>
      </c>
      <c r="AK174" s="14">
        <f t="shared" si="164"/>
        <v>2.536422473342444E-12</v>
      </c>
      <c r="AL174" s="22">
        <f t="shared" si="165"/>
        <v>4.7326673552561798E-12</v>
      </c>
      <c r="AM174" s="60">
        <f t="shared" si="113"/>
        <v>293.33333333333803</v>
      </c>
      <c r="AN174" s="60">
        <f ca="1">AVERAGE(OFFSET($AM$3,0,0,'Données projet'!$E$10+1,1))-AVERAGE(OFFSET($H$3,0,0,'Données projet'!$E$10+1,1))</f>
        <v>299.28262372717484</v>
      </c>
      <c r="AO174" s="60">
        <f t="shared" si="144"/>
        <v>294.28794439094889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projet'!$B$11,Paramètres!$A$1:$I$89,3,0)*VLOOKUP('Données projet'!$B$11,Paramètres!$A$1:$I$89,5,0)</f>
        <v>1.6671037883497774E-13</v>
      </c>
      <c r="BF174" s="14">
        <f t="shared" si="167"/>
        <v>2.3598166018346595E-12</v>
      </c>
      <c r="BG174" s="22">
        <f t="shared" si="168"/>
        <v>4.400367824666284E-12</v>
      </c>
      <c r="BH174" s="60">
        <f t="shared" si="116"/>
        <v>293.33333333333769</v>
      </c>
      <c r="BI174" s="60">
        <f ca="1">AVERAGE(OFFSET($BH$3,0,0,'Données projet'!$E$11+1,1))-AVERAGE(OFFSET($H$3,0,0,'Données projet'!$E$11+1,1))</f>
        <v>278.61904724595763</v>
      </c>
      <c r="BJ174" s="60">
        <f t="shared" si="146"/>
        <v>274.55710362891892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0">
        <f t="shared" si="119"/>
        <v>293.33333333333582</v>
      </c>
      <c r="CD174" s="60">
        <f ca="1">AVERAGE(OFFSET($CC$3,0,0,'Données projet'!$E$12+1,1))-AVERAGE(OFFSET($H$3,0,0,'Données projet'!$E$12+1,1))</f>
        <v>292.57482726862594</v>
      </c>
      <c r="CE174" s="60">
        <f t="shared" si="148"/>
        <v>283.48738729114024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-6.2527760746888816E-13</v>
      </c>
      <c r="CU174" s="18">
        <f>CT174*VLOOKUP('Données projet'!$B$13,Paramètres!$A$1:$I$89,3,0)*VLOOKUP('Données projet'!$B$13,Paramètres!$A$1:$I$89,5,0)</f>
        <v>-2.9262992029543964E-13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246.64907095367749</v>
      </c>
      <c r="CZ174" s="60">
        <f t="shared" si="150"/>
        <v>145.34368562171613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-9.2222762759774927E-14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256.19915261735281</v>
      </c>
      <c r="DU174" s="60">
        <f t="shared" si="152"/>
        <v>297.47246687305056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428.8489304403459</v>
      </c>
      <c r="T175" s="60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1.8089849618263545E-13</v>
      </c>
      <c r="AK175" s="14">
        <f t="shared" si="164"/>
        <v>2.536422473342444E-12</v>
      </c>
      <c r="AL175" s="22">
        <f t="shared" si="165"/>
        <v>4.7326673552561798E-12</v>
      </c>
      <c r="AM175" s="60">
        <f t="shared" si="113"/>
        <v>293.33333333333803</v>
      </c>
      <c r="AN175" s="60">
        <f ca="1">AVERAGE(OFFSET($AM$3,0,0,'Données projet'!$E$10+1,1))-AVERAGE(OFFSET($H$3,0,0,'Données projet'!$E$10+1,1))</f>
        <v>299.28262372717484</v>
      </c>
      <c r="AO175" s="60">
        <f t="shared" si="144"/>
        <v>294.28794439094889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projet'!$B$11,Paramètres!$A$1:$I$89,3,0)*VLOOKUP('Données projet'!$B$11,Paramètres!$A$1:$I$89,5,0)</f>
        <v>1.6671037883497774E-13</v>
      </c>
      <c r="BF175" s="14">
        <f t="shared" si="167"/>
        <v>2.3598166018346595E-12</v>
      </c>
      <c r="BG175" s="22">
        <f t="shared" si="168"/>
        <v>4.400367824666284E-12</v>
      </c>
      <c r="BH175" s="60">
        <f t="shared" si="116"/>
        <v>293.33333333333769</v>
      </c>
      <c r="BI175" s="60">
        <f ca="1">AVERAGE(OFFSET($BH$3,0,0,'Données projet'!$E$11+1,1))-AVERAGE(OFFSET($H$3,0,0,'Données projet'!$E$11+1,1))</f>
        <v>278.61904724595763</v>
      </c>
      <c r="BJ175" s="60">
        <f t="shared" si="146"/>
        <v>274.55710362891892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0">
        <f t="shared" si="119"/>
        <v>293.33333333333582</v>
      </c>
      <c r="CD175" s="60">
        <f ca="1">AVERAGE(OFFSET($CC$3,0,0,'Données projet'!$E$12+1,1))-AVERAGE(OFFSET($H$3,0,0,'Données projet'!$E$12+1,1))</f>
        <v>292.57482726862594</v>
      </c>
      <c r="CE175" s="60">
        <f t="shared" si="148"/>
        <v>283.48738729114024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-6.2527760746888816E-13</v>
      </c>
      <c r="CU175" s="18">
        <f>CT175*VLOOKUP('Données projet'!$B$13,Paramètres!$A$1:$I$89,3,0)*VLOOKUP('Données projet'!$B$13,Paramètres!$A$1:$I$89,5,0)</f>
        <v>-2.9262992029543964E-13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246.64907095367749</v>
      </c>
      <c r="CZ175" s="60">
        <f t="shared" si="150"/>
        <v>145.34368562171613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-9.2222762759774927E-14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256.19915261735281</v>
      </c>
      <c r="DU175" s="60">
        <f t="shared" si="152"/>
        <v>297.47246687305056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428.8489304403459</v>
      </c>
      <c r="T176" s="60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1.8089849618263545E-13</v>
      </c>
      <c r="AK176" s="14">
        <f t="shared" si="164"/>
        <v>2.536422473342444E-12</v>
      </c>
      <c r="AL176" s="22">
        <f t="shared" si="165"/>
        <v>4.7326673552561798E-12</v>
      </c>
      <c r="AM176" s="60">
        <f t="shared" si="113"/>
        <v>293.33333333333803</v>
      </c>
      <c r="AN176" s="60">
        <f ca="1">AVERAGE(OFFSET($AM$3,0,0,'Données projet'!$E$10+1,1))-AVERAGE(OFFSET($H$3,0,0,'Données projet'!$E$10+1,1))</f>
        <v>299.28262372717484</v>
      </c>
      <c r="AO176" s="60">
        <f t="shared" si="144"/>
        <v>294.28794439094889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projet'!$B$11,Paramètres!$A$1:$I$89,3,0)*VLOOKUP('Données projet'!$B$11,Paramètres!$A$1:$I$89,5,0)</f>
        <v>1.6671037883497774E-13</v>
      </c>
      <c r="BF176" s="14">
        <f t="shared" si="167"/>
        <v>2.3598166018346595E-12</v>
      </c>
      <c r="BG176" s="22">
        <f t="shared" si="168"/>
        <v>4.400367824666284E-12</v>
      </c>
      <c r="BH176" s="60">
        <f t="shared" si="116"/>
        <v>293.33333333333769</v>
      </c>
      <c r="BI176" s="60">
        <f ca="1">AVERAGE(OFFSET($BH$3,0,0,'Données projet'!$E$11+1,1))-AVERAGE(OFFSET($H$3,0,0,'Données projet'!$E$11+1,1))</f>
        <v>278.61904724595763</v>
      </c>
      <c r="BJ176" s="60">
        <f t="shared" si="146"/>
        <v>274.55710362891892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0">
        <f t="shared" si="119"/>
        <v>293.33333333333582</v>
      </c>
      <c r="CD176" s="60">
        <f ca="1">AVERAGE(OFFSET($CC$3,0,0,'Données projet'!$E$12+1,1))-AVERAGE(OFFSET($H$3,0,0,'Données projet'!$E$12+1,1))</f>
        <v>292.57482726862594</v>
      </c>
      <c r="CE176" s="60">
        <f t="shared" si="148"/>
        <v>283.48738729114024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-6.2527760746888816E-13</v>
      </c>
      <c r="CU176" s="18">
        <f>CT176*VLOOKUP('Données projet'!$B$13,Paramètres!$A$1:$I$89,3,0)*VLOOKUP('Données projet'!$B$13,Paramètres!$A$1:$I$89,5,0)</f>
        <v>-2.9262992029543964E-13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246.64907095367749</v>
      </c>
      <c r="CZ176" s="60">
        <f t="shared" si="150"/>
        <v>145.34368562171613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-9.2222762759774927E-14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256.19915261735281</v>
      </c>
      <c r="DU176" s="60">
        <f t="shared" si="152"/>
        <v>297.47246687305056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428.8489304403459</v>
      </c>
      <c r="T177" s="60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1.8089849618263545E-13</v>
      </c>
      <c r="AK177" s="14">
        <f t="shared" si="164"/>
        <v>2.536422473342444E-12</v>
      </c>
      <c r="AL177" s="22">
        <f t="shared" si="165"/>
        <v>4.7326673552561798E-12</v>
      </c>
      <c r="AM177" s="60">
        <f t="shared" si="113"/>
        <v>293.33333333333803</v>
      </c>
      <c r="AN177" s="60">
        <f ca="1">AVERAGE(OFFSET($AM$3,0,0,'Données projet'!$E$10+1,1))-AVERAGE(OFFSET($H$3,0,0,'Données projet'!$E$10+1,1))</f>
        <v>299.28262372717484</v>
      </c>
      <c r="AO177" s="60">
        <f t="shared" si="144"/>
        <v>294.28794439094889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projet'!$B$11,Paramètres!$A$1:$I$89,3,0)*VLOOKUP('Données projet'!$B$11,Paramètres!$A$1:$I$89,5,0)</f>
        <v>1.6671037883497774E-13</v>
      </c>
      <c r="BF177" s="14">
        <f t="shared" si="167"/>
        <v>2.3598166018346595E-12</v>
      </c>
      <c r="BG177" s="22">
        <f t="shared" si="168"/>
        <v>4.400367824666284E-12</v>
      </c>
      <c r="BH177" s="60">
        <f t="shared" si="116"/>
        <v>293.33333333333769</v>
      </c>
      <c r="BI177" s="60">
        <f ca="1">AVERAGE(OFFSET($BH$3,0,0,'Données projet'!$E$11+1,1))-AVERAGE(OFFSET($H$3,0,0,'Données projet'!$E$11+1,1))</f>
        <v>278.61904724595763</v>
      </c>
      <c r="BJ177" s="60">
        <f t="shared" si="146"/>
        <v>274.55710362891892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0">
        <f t="shared" si="119"/>
        <v>293.33333333333582</v>
      </c>
      <c r="CD177" s="60">
        <f ca="1">AVERAGE(OFFSET($CC$3,0,0,'Données projet'!$E$12+1,1))-AVERAGE(OFFSET($H$3,0,0,'Données projet'!$E$12+1,1))</f>
        <v>292.57482726862594</v>
      </c>
      <c r="CE177" s="60">
        <f t="shared" si="148"/>
        <v>283.48738729114024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-6.2527760746888816E-13</v>
      </c>
      <c r="CU177" s="18">
        <f>CT177*VLOOKUP('Données projet'!$B$13,Paramètres!$A$1:$I$89,3,0)*VLOOKUP('Données projet'!$B$13,Paramètres!$A$1:$I$89,5,0)</f>
        <v>-2.9262992029543964E-13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246.64907095367749</v>
      </c>
      <c r="CZ177" s="60">
        <f t="shared" si="150"/>
        <v>145.34368562171613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-9.2222762759774927E-14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256.19915261735281</v>
      </c>
      <c r="DU177" s="60">
        <f t="shared" si="152"/>
        <v>297.47246687305056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428.8489304403459</v>
      </c>
      <c r="T178" s="60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1.8089849618263545E-13</v>
      </c>
      <c r="AK178" s="14">
        <f t="shared" si="164"/>
        <v>2.536422473342444E-12</v>
      </c>
      <c r="AL178" s="22">
        <f t="shared" si="165"/>
        <v>4.7326673552561798E-12</v>
      </c>
      <c r="AM178" s="60">
        <f t="shared" si="113"/>
        <v>293.33333333333803</v>
      </c>
      <c r="AN178" s="60">
        <f ca="1">AVERAGE(OFFSET($AM$3,0,0,'Données projet'!$E$10+1,1))-AVERAGE(OFFSET($H$3,0,0,'Données projet'!$E$10+1,1))</f>
        <v>299.28262372717484</v>
      </c>
      <c r="AO178" s="60">
        <f t="shared" si="144"/>
        <v>294.28794439094889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projet'!$B$11,Paramètres!$A$1:$I$89,3,0)*VLOOKUP('Données projet'!$B$11,Paramètres!$A$1:$I$89,5,0)</f>
        <v>1.6671037883497774E-13</v>
      </c>
      <c r="BF178" s="14">
        <f t="shared" si="167"/>
        <v>2.3598166018346595E-12</v>
      </c>
      <c r="BG178" s="22">
        <f t="shared" si="168"/>
        <v>4.400367824666284E-12</v>
      </c>
      <c r="BH178" s="60">
        <f t="shared" si="116"/>
        <v>293.33333333333769</v>
      </c>
      <c r="BI178" s="60">
        <f ca="1">AVERAGE(OFFSET($BH$3,0,0,'Données projet'!$E$11+1,1))-AVERAGE(OFFSET($H$3,0,0,'Données projet'!$E$11+1,1))</f>
        <v>278.61904724595763</v>
      </c>
      <c r="BJ178" s="60">
        <f t="shared" si="146"/>
        <v>274.55710362891892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0">
        <f t="shared" si="119"/>
        <v>293.33333333333582</v>
      </c>
      <c r="CD178" s="60">
        <f ca="1">AVERAGE(OFFSET($CC$3,0,0,'Données projet'!$E$12+1,1))-AVERAGE(OFFSET($H$3,0,0,'Données projet'!$E$12+1,1))</f>
        <v>292.57482726862594</v>
      </c>
      <c r="CE178" s="60">
        <f t="shared" si="148"/>
        <v>283.48738729114024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-6.2527760746888816E-13</v>
      </c>
      <c r="CU178" s="18">
        <f>CT178*VLOOKUP('Données projet'!$B$13,Paramètres!$A$1:$I$89,3,0)*VLOOKUP('Données projet'!$B$13,Paramètres!$A$1:$I$89,5,0)</f>
        <v>-2.9262992029543964E-13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246.64907095367749</v>
      </c>
      <c r="CZ178" s="60">
        <f t="shared" si="150"/>
        <v>145.34368562171613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-9.2222762759774927E-14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256.19915261735281</v>
      </c>
      <c r="DU178" s="60">
        <f t="shared" si="152"/>
        <v>297.47246687305056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428.8489304403459</v>
      </c>
      <c r="T179" s="60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1.8089849618263545E-13</v>
      </c>
      <c r="AK179" s="14">
        <f t="shared" si="164"/>
        <v>2.536422473342444E-12</v>
      </c>
      <c r="AL179" s="22">
        <f t="shared" si="165"/>
        <v>4.7326673552561798E-12</v>
      </c>
      <c r="AM179" s="60">
        <f t="shared" si="113"/>
        <v>293.33333333333803</v>
      </c>
      <c r="AN179" s="60">
        <f ca="1">AVERAGE(OFFSET($AM$3,0,0,'Données projet'!$E$10+1,1))-AVERAGE(OFFSET($H$3,0,0,'Données projet'!$E$10+1,1))</f>
        <v>299.28262372717484</v>
      </c>
      <c r="AO179" s="60">
        <f t="shared" si="144"/>
        <v>294.28794439094889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projet'!$B$11,Paramètres!$A$1:$I$89,3,0)*VLOOKUP('Données projet'!$B$11,Paramètres!$A$1:$I$89,5,0)</f>
        <v>1.6671037883497774E-13</v>
      </c>
      <c r="BF179" s="14">
        <f t="shared" si="167"/>
        <v>2.3598166018346595E-12</v>
      </c>
      <c r="BG179" s="22">
        <f t="shared" si="168"/>
        <v>4.400367824666284E-12</v>
      </c>
      <c r="BH179" s="60">
        <f t="shared" si="116"/>
        <v>293.33333333333769</v>
      </c>
      <c r="BI179" s="60">
        <f ca="1">AVERAGE(OFFSET($BH$3,0,0,'Données projet'!$E$11+1,1))-AVERAGE(OFFSET($H$3,0,0,'Données projet'!$E$11+1,1))</f>
        <v>278.61904724595763</v>
      </c>
      <c r="BJ179" s="60">
        <f t="shared" si="146"/>
        <v>274.55710362891892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0">
        <f t="shared" si="119"/>
        <v>293.33333333333582</v>
      </c>
      <c r="CD179" s="60">
        <f ca="1">AVERAGE(OFFSET($CC$3,0,0,'Données projet'!$E$12+1,1))-AVERAGE(OFFSET($H$3,0,0,'Données projet'!$E$12+1,1))</f>
        <v>292.57482726862594</v>
      </c>
      <c r="CE179" s="60">
        <f t="shared" si="148"/>
        <v>283.48738729114024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-6.2527760746888816E-13</v>
      </c>
      <c r="CU179" s="18">
        <f>CT179*VLOOKUP('Données projet'!$B$13,Paramètres!$A$1:$I$89,3,0)*VLOOKUP('Données projet'!$B$13,Paramètres!$A$1:$I$89,5,0)</f>
        <v>-2.9262992029543964E-13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246.64907095367749</v>
      </c>
      <c r="CZ179" s="60">
        <f t="shared" si="150"/>
        <v>145.34368562171613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-9.2222762759774927E-14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256.19915261735281</v>
      </c>
      <c r="DU179" s="60">
        <f t="shared" si="152"/>
        <v>297.47246687305056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428.8489304403459</v>
      </c>
      <c r="T180" s="60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1.8089849618263545E-13</v>
      </c>
      <c r="AK180" s="14">
        <f t="shared" si="164"/>
        <v>2.536422473342444E-12</v>
      </c>
      <c r="AL180" s="22">
        <f t="shared" si="165"/>
        <v>4.7326673552561798E-12</v>
      </c>
      <c r="AM180" s="60">
        <f t="shared" si="113"/>
        <v>293.33333333333803</v>
      </c>
      <c r="AN180" s="60">
        <f ca="1">AVERAGE(OFFSET($AM$3,0,0,'Données projet'!$E$10+1,1))-AVERAGE(OFFSET($H$3,0,0,'Données projet'!$E$10+1,1))</f>
        <v>299.28262372717484</v>
      </c>
      <c r="AO180" s="60">
        <f t="shared" si="144"/>
        <v>294.28794439094889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projet'!$B$11,Paramètres!$A$1:$I$89,3,0)*VLOOKUP('Données projet'!$B$11,Paramètres!$A$1:$I$89,5,0)</f>
        <v>1.6671037883497774E-13</v>
      </c>
      <c r="BF180" s="14">
        <f t="shared" si="167"/>
        <v>2.3598166018346595E-12</v>
      </c>
      <c r="BG180" s="22">
        <f t="shared" si="168"/>
        <v>4.400367824666284E-12</v>
      </c>
      <c r="BH180" s="60">
        <f t="shared" si="116"/>
        <v>293.33333333333769</v>
      </c>
      <c r="BI180" s="60">
        <f ca="1">AVERAGE(OFFSET($BH$3,0,0,'Données projet'!$E$11+1,1))-AVERAGE(OFFSET($H$3,0,0,'Données projet'!$E$11+1,1))</f>
        <v>278.61904724595763</v>
      </c>
      <c r="BJ180" s="60">
        <f t="shared" si="146"/>
        <v>274.55710362891892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0">
        <f t="shared" si="119"/>
        <v>293.33333333333582</v>
      </c>
      <c r="CD180" s="60">
        <f ca="1">AVERAGE(OFFSET($CC$3,0,0,'Données projet'!$E$12+1,1))-AVERAGE(OFFSET($H$3,0,0,'Données projet'!$E$12+1,1))</f>
        <v>292.57482726862594</v>
      </c>
      <c r="CE180" s="60">
        <f t="shared" si="148"/>
        <v>283.48738729114024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-6.2527760746888816E-13</v>
      </c>
      <c r="CU180" s="18">
        <f>CT180*VLOOKUP('Données projet'!$B$13,Paramètres!$A$1:$I$89,3,0)*VLOOKUP('Données projet'!$B$13,Paramètres!$A$1:$I$89,5,0)</f>
        <v>-2.9262992029543964E-13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246.64907095367749</v>
      </c>
      <c r="CZ180" s="60">
        <f t="shared" si="150"/>
        <v>145.34368562171613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-9.2222762759774927E-14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256.19915261735281</v>
      </c>
      <c r="DU180" s="60">
        <f t="shared" si="152"/>
        <v>297.47246687305056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428.8489304403459</v>
      </c>
      <c r="T181" s="60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1.8089849618263545E-13</v>
      </c>
      <c r="AK181" s="14">
        <f t="shared" si="164"/>
        <v>2.536422473342444E-12</v>
      </c>
      <c r="AL181" s="22">
        <f t="shared" si="165"/>
        <v>4.7326673552561798E-12</v>
      </c>
      <c r="AM181" s="60">
        <f t="shared" si="113"/>
        <v>293.33333333333803</v>
      </c>
      <c r="AN181" s="60">
        <f ca="1">AVERAGE(OFFSET($AM$3,0,0,'Données projet'!$E$10+1,1))-AVERAGE(OFFSET($H$3,0,0,'Données projet'!$E$10+1,1))</f>
        <v>299.28262372717484</v>
      </c>
      <c r="AO181" s="60">
        <f t="shared" si="144"/>
        <v>294.28794439094889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projet'!$B$11,Paramètres!$A$1:$I$89,3,0)*VLOOKUP('Données projet'!$B$11,Paramètres!$A$1:$I$89,5,0)</f>
        <v>1.6671037883497774E-13</v>
      </c>
      <c r="BF181" s="14">
        <f t="shared" si="167"/>
        <v>2.3598166018346595E-12</v>
      </c>
      <c r="BG181" s="22">
        <f t="shared" si="168"/>
        <v>4.400367824666284E-12</v>
      </c>
      <c r="BH181" s="60">
        <f t="shared" si="116"/>
        <v>293.33333333333769</v>
      </c>
      <c r="BI181" s="60">
        <f ca="1">AVERAGE(OFFSET($BH$3,0,0,'Données projet'!$E$11+1,1))-AVERAGE(OFFSET($H$3,0,0,'Données projet'!$E$11+1,1))</f>
        <v>278.61904724595763</v>
      </c>
      <c r="BJ181" s="60">
        <f t="shared" si="146"/>
        <v>274.55710362891892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0">
        <f t="shared" si="119"/>
        <v>293.33333333333582</v>
      </c>
      <c r="CD181" s="60">
        <f ca="1">AVERAGE(OFFSET($CC$3,0,0,'Données projet'!$E$12+1,1))-AVERAGE(OFFSET($H$3,0,0,'Données projet'!$E$12+1,1))</f>
        <v>292.57482726862594</v>
      </c>
      <c r="CE181" s="60">
        <f t="shared" si="148"/>
        <v>283.48738729114024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-6.2527760746888816E-13</v>
      </c>
      <c r="CU181" s="18">
        <f>CT181*VLOOKUP('Données projet'!$B$13,Paramètres!$A$1:$I$89,3,0)*VLOOKUP('Données projet'!$B$13,Paramètres!$A$1:$I$89,5,0)</f>
        <v>-2.9262992029543964E-13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246.64907095367749</v>
      </c>
      <c r="CZ181" s="60">
        <f t="shared" si="150"/>
        <v>145.34368562171613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-9.2222762759774927E-14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256.19915261735281</v>
      </c>
      <c r="DU181" s="60">
        <f t="shared" si="152"/>
        <v>297.47246687305056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428.8489304403459</v>
      </c>
      <c r="T182" s="60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1.8089849618263545E-13</v>
      </c>
      <c r="AK182" s="14">
        <f t="shared" si="164"/>
        <v>2.536422473342444E-12</v>
      </c>
      <c r="AL182" s="22">
        <f t="shared" si="165"/>
        <v>4.7326673552561798E-12</v>
      </c>
      <c r="AM182" s="60">
        <f t="shared" si="113"/>
        <v>293.33333333333803</v>
      </c>
      <c r="AN182" s="60">
        <f ca="1">AVERAGE(OFFSET($AM$3,0,0,'Données projet'!$E$10+1,1))-AVERAGE(OFFSET($H$3,0,0,'Données projet'!$E$10+1,1))</f>
        <v>299.28262372717484</v>
      </c>
      <c r="AO182" s="60">
        <f t="shared" si="144"/>
        <v>294.28794439094889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projet'!$B$11,Paramètres!$A$1:$I$89,3,0)*VLOOKUP('Données projet'!$B$11,Paramètres!$A$1:$I$89,5,0)</f>
        <v>1.6671037883497774E-13</v>
      </c>
      <c r="BF182" s="14">
        <f t="shared" si="167"/>
        <v>2.3598166018346595E-12</v>
      </c>
      <c r="BG182" s="22">
        <f t="shared" si="168"/>
        <v>4.400367824666284E-12</v>
      </c>
      <c r="BH182" s="60">
        <f t="shared" si="116"/>
        <v>293.33333333333769</v>
      </c>
      <c r="BI182" s="60">
        <f ca="1">AVERAGE(OFFSET($BH$3,0,0,'Données projet'!$E$11+1,1))-AVERAGE(OFFSET($H$3,0,0,'Données projet'!$E$11+1,1))</f>
        <v>278.61904724595763</v>
      </c>
      <c r="BJ182" s="60">
        <f t="shared" si="146"/>
        <v>274.55710362891892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0">
        <f t="shared" si="119"/>
        <v>293.33333333333582</v>
      </c>
      <c r="CD182" s="60">
        <f ca="1">AVERAGE(OFFSET($CC$3,0,0,'Données projet'!$E$12+1,1))-AVERAGE(OFFSET($H$3,0,0,'Données projet'!$E$12+1,1))</f>
        <v>292.57482726862594</v>
      </c>
      <c r="CE182" s="60">
        <f t="shared" si="148"/>
        <v>283.48738729114024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-6.2527760746888816E-13</v>
      </c>
      <c r="CU182" s="18">
        <f>CT182*VLOOKUP('Données projet'!$B$13,Paramètres!$A$1:$I$89,3,0)*VLOOKUP('Données projet'!$B$13,Paramètres!$A$1:$I$89,5,0)</f>
        <v>-2.9262992029543964E-13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246.64907095367749</v>
      </c>
      <c r="CZ182" s="60">
        <f t="shared" si="150"/>
        <v>145.34368562171613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-9.2222762759774927E-14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256.19915261735281</v>
      </c>
      <c r="DU182" s="60">
        <f t="shared" si="152"/>
        <v>297.47246687305056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428.8489304403459</v>
      </c>
      <c r="T183" s="60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1.8089849618263545E-13</v>
      </c>
      <c r="AK183" s="14">
        <f t="shared" si="164"/>
        <v>2.536422473342444E-12</v>
      </c>
      <c r="AL183" s="22">
        <f t="shared" si="165"/>
        <v>4.7326673552561798E-12</v>
      </c>
      <c r="AM183" s="60">
        <f t="shared" si="113"/>
        <v>293.33333333333803</v>
      </c>
      <c r="AN183" s="60">
        <f ca="1">AVERAGE(OFFSET($AM$3,0,0,'Données projet'!$E$10+1,1))-AVERAGE(OFFSET($H$3,0,0,'Données projet'!$E$10+1,1))</f>
        <v>299.28262372717484</v>
      </c>
      <c r="AO183" s="60">
        <f t="shared" si="144"/>
        <v>294.28794439094889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projet'!$B$11,Paramètres!$A$1:$I$89,3,0)*VLOOKUP('Données projet'!$B$11,Paramètres!$A$1:$I$89,5,0)</f>
        <v>1.6671037883497774E-13</v>
      </c>
      <c r="BF183" s="14">
        <f t="shared" si="167"/>
        <v>2.3598166018346595E-12</v>
      </c>
      <c r="BG183" s="22">
        <f t="shared" si="168"/>
        <v>4.400367824666284E-12</v>
      </c>
      <c r="BH183" s="60">
        <f t="shared" si="116"/>
        <v>293.33333333333769</v>
      </c>
      <c r="BI183" s="60">
        <f ca="1">AVERAGE(OFFSET($BH$3,0,0,'Données projet'!$E$11+1,1))-AVERAGE(OFFSET($H$3,0,0,'Données projet'!$E$11+1,1))</f>
        <v>278.61904724595763</v>
      </c>
      <c r="BJ183" s="60">
        <f t="shared" si="146"/>
        <v>274.55710362891892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0">
        <f t="shared" si="119"/>
        <v>293.33333333333582</v>
      </c>
      <c r="CD183" s="60">
        <f ca="1">AVERAGE(OFFSET($CC$3,0,0,'Données projet'!$E$12+1,1))-AVERAGE(OFFSET($H$3,0,0,'Données projet'!$E$12+1,1))</f>
        <v>292.57482726862594</v>
      </c>
      <c r="CE183" s="60">
        <f t="shared" si="148"/>
        <v>283.48738729114024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-6.2527760746888816E-13</v>
      </c>
      <c r="CU183" s="18">
        <f>CT183*VLOOKUP('Données projet'!$B$13,Paramètres!$A$1:$I$89,3,0)*VLOOKUP('Données projet'!$B$13,Paramètres!$A$1:$I$89,5,0)</f>
        <v>-2.9262992029543964E-13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246.64907095367749</v>
      </c>
      <c r="CZ183" s="60">
        <f t="shared" si="150"/>
        <v>145.34368562171613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-9.2222762759774927E-14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256.19915261735281</v>
      </c>
      <c r="DU183" s="60">
        <f t="shared" si="152"/>
        <v>297.47246687305056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428.8489304403459</v>
      </c>
      <c r="T184" s="60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1.8089849618263545E-13</v>
      </c>
      <c r="AK184" s="14">
        <f t="shared" si="164"/>
        <v>2.536422473342444E-12</v>
      </c>
      <c r="AL184" s="22">
        <f t="shared" si="165"/>
        <v>4.7326673552561798E-12</v>
      </c>
      <c r="AM184" s="60">
        <f t="shared" si="113"/>
        <v>293.33333333333803</v>
      </c>
      <c r="AN184" s="60">
        <f ca="1">AVERAGE(OFFSET($AM$3,0,0,'Données projet'!$E$10+1,1))-AVERAGE(OFFSET($H$3,0,0,'Données projet'!$E$10+1,1))</f>
        <v>299.28262372717484</v>
      </c>
      <c r="AO184" s="60">
        <f t="shared" si="144"/>
        <v>294.28794439094889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projet'!$B$11,Paramètres!$A$1:$I$89,3,0)*VLOOKUP('Données projet'!$B$11,Paramètres!$A$1:$I$89,5,0)</f>
        <v>1.6671037883497774E-13</v>
      </c>
      <c r="BF184" s="14">
        <f t="shared" si="167"/>
        <v>2.3598166018346595E-12</v>
      </c>
      <c r="BG184" s="22">
        <f t="shared" si="168"/>
        <v>4.400367824666284E-12</v>
      </c>
      <c r="BH184" s="60">
        <f t="shared" si="116"/>
        <v>293.33333333333769</v>
      </c>
      <c r="BI184" s="60">
        <f ca="1">AVERAGE(OFFSET($BH$3,0,0,'Données projet'!$E$11+1,1))-AVERAGE(OFFSET($H$3,0,0,'Données projet'!$E$11+1,1))</f>
        <v>278.61904724595763</v>
      </c>
      <c r="BJ184" s="60">
        <f t="shared" si="146"/>
        <v>274.55710362891892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0">
        <f t="shared" si="119"/>
        <v>293.33333333333582</v>
      </c>
      <c r="CD184" s="60">
        <f ca="1">AVERAGE(OFFSET($CC$3,0,0,'Données projet'!$E$12+1,1))-AVERAGE(OFFSET($H$3,0,0,'Données projet'!$E$12+1,1))</f>
        <v>292.57482726862594</v>
      </c>
      <c r="CE184" s="60">
        <f t="shared" si="148"/>
        <v>283.48738729114024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-6.2527760746888816E-13</v>
      </c>
      <c r="CU184" s="18">
        <f>CT184*VLOOKUP('Données projet'!$B$13,Paramètres!$A$1:$I$89,3,0)*VLOOKUP('Données projet'!$B$13,Paramètres!$A$1:$I$89,5,0)</f>
        <v>-2.9262992029543964E-13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246.64907095367749</v>
      </c>
      <c r="CZ184" s="60">
        <f t="shared" si="150"/>
        <v>145.34368562171613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-9.2222762759774927E-14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256.19915261735281</v>
      </c>
      <c r="DU184" s="60">
        <f t="shared" si="152"/>
        <v>297.47246687305056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428.8489304403459</v>
      </c>
      <c r="T185" s="60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1.8089849618263545E-13</v>
      </c>
      <c r="AK185" s="14">
        <f t="shared" si="164"/>
        <v>2.536422473342444E-12</v>
      </c>
      <c r="AL185" s="22">
        <f t="shared" si="165"/>
        <v>4.7326673552561798E-12</v>
      </c>
      <c r="AM185" s="60">
        <f t="shared" si="113"/>
        <v>293.33333333333803</v>
      </c>
      <c r="AN185" s="60">
        <f ca="1">AVERAGE(OFFSET($AM$3,0,0,'Données projet'!$E$10+1,1))-AVERAGE(OFFSET($H$3,0,0,'Données projet'!$E$10+1,1))</f>
        <v>299.28262372717484</v>
      </c>
      <c r="AO185" s="60">
        <f t="shared" si="144"/>
        <v>294.28794439094889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projet'!$B$11,Paramètres!$A$1:$I$89,3,0)*VLOOKUP('Données projet'!$B$11,Paramètres!$A$1:$I$89,5,0)</f>
        <v>1.6671037883497774E-13</v>
      </c>
      <c r="BF185" s="14">
        <f t="shared" si="167"/>
        <v>2.3598166018346595E-12</v>
      </c>
      <c r="BG185" s="22">
        <f t="shared" si="168"/>
        <v>4.400367824666284E-12</v>
      </c>
      <c r="BH185" s="60">
        <f t="shared" si="116"/>
        <v>293.33333333333769</v>
      </c>
      <c r="BI185" s="60">
        <f ca="1">AVERAGE(OFFSET($BH$3,0,0,'Données projet'!$E$11+1,1))-AVERAGE(OFFSET($H$3,0,0,'Données projet'!$E$11+1,1))</f>
        <v>278.61904724595763</v>
      </c>
      <c r="BJ185" s="60">
        <f t="shared" si="146"/>
        <v>274.55710362891892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0">
        <f t="shared" si="119"/>
        <v>293.33333333333582</v>
      </c>
      <c r="CD185" s="60">
        <f ca="1">AVERAGE(OFFSET($CC$3,0,0,'Données projet'!$E$12+1,1))-AVERAGE(OFFSET($H$3,0,0,'Données projet'!$E$12+1,1))</f>
        <v>292.57482726862594</v>
      </c>
      <c r="CE185" s="60">
        <f t="shared" si="148"/>
        <v>283.48738729114024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-6.2527760746888816E-13</v>
      </c>
      <c r="CU185" s="18">
        <f>CT185*VLOOKUP('Données projet'!$B$13,Paramètres!$A$1:$I$89,3,0)*VLOOKUP('Données projet'!$B$13,Paramètres!$A$1:$I$89,5,0)</f>
        <v>-2.9262992029543964E-13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246.64907095367749</v>
      </c>
      <c r="CZ185" s="60">
        <f t="shared" si="150"/>
        <v>145.34368562171613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-9.2222762759774927E-14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256.19915261735281</v>
      </c>
      <c r="DU185" s="60">
        <f t="shared" si="152"/>
        <v>297.47246687305056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428.8489304403459</v>
      </c>
      <c r="T186" s="60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1.8089849618263545E-13</v>
      </c>
      <c r="AK186" s="14">
        <f t="shared" si="164"/>
        <v>2.536422473342444E-12</v>
      </c>
      <c r="AL186" s="22">
        <f t="shared" si="165"/>
        <v>4.7326673552561798E-12</v>
      </c>
      <c r="AM186" s="60">
        <f t="shared" si="113"/>
        <v>293.33333333333803</v>
      </c>
      <c r="AN186" s="60">
        <f ca="1">AVERAGE(OFFSET($AM$3,0,0,'Données projet'!$E$10+1,1))-AVERAGE(OFFSET($H$3,0,0,'Données projet'!$E$10+1,1))</f>
        <v>299.28262372717484</v>
      </c>
      <c r="AO186" s="60">
        <f t="shared" si="144"/>
        <v>294.28794439094889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projet'!$B$11,Paramètres!$A$1:$I$89,3,0)*VLOOKUP('Données projet'!$B$11,Paramètres!$A$1:$I$89,5,0)</f>
        <v>1.6671037883497774E-13</v>
      </c>
      <c r="BF186" s="14">
        <f t="shared" si="167"/>
        <v>2.3598166018346595E-12</v>
      </c>
      <c r="BG186" s="22">
        <f t="shared" si="168"/>
        <v>4.400367824666284E-12</v>
      </c>
      <c r="BH186" s="60">
        <f t="shared" si="116"/>
        <v>293.33333333333769</v>
      </c>
      <c r="BI186" s="60">
        <f ca="1">AVERAGE(OFFSET($BH$3,0,0,'Données projet'!$E$11+1,1))-AVERAGE(OFFSET($H$3,0,0,'Données projet'!$E$11+1,1))</f>
        <v>278.61904724595763</v>
      </c>
      <c r="BJ186" s="60">
        <f t="shared" si="146"/>
        <v>274.55710362891892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0">
        <f t="shared" si="119"/>
        <v>293.33333333333582</v>
      </c>
      <c r="CD186" s="60">
        <f ca="1">AVERAGE(OFFSET($CC$3,0,0,'Données projet'!$E$12+1,1))-AVERAGE(OFFSET($H$3,0,0,'Données projet'!$E$12+1,1))</f>
        <v>292.57482726862594</v>
      </c>
      <c r="CE186" s="60">
        <f t="shared" si="148"/>
        <v>283.48738729114024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-6.2527760746888816E-13</v>
      </c>
      <c r="CU186" s="18">
        <f>CT186*VLOOKUP('Données projet'!$B$13,Paramètres!$A$1:$I$89,3,0)*VLOOKUP('Données projet'!$B$13,Paramètres!$A$1:$I$89,5,0)</f>
        <v>-2.9262992029543964E-13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246.64907095367749</v>
      </c>
      <c r="CZ186" s="60">
        <f t="shared" si="150"/>
        <v>145.34368562171613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-9.2222762759774927E-14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256.19915261735281</v>
      </c>
      <c r="DU186" s="60">
        <f t="shared" si="152"/>
        <v>297.47246687305056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428.8489304403459</v>
      </c>
      <c r="T187" s="60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1.8089849618263545E-13</v>
      </c>
      <c r="AK187" s="14">
        <f t="shared" si="164"/>
        <v>2.536422473342444E-12</v>
      </c>
      <c r="AL187" s="22">
        <f t="shared" si="165"/>
        <v>4.7326673552561798E-12</v>
      </c>
      <c r="AM187" s="60">
        <f t="shared" si="113"/>
        <v>293.33333333333803</v>
      </c>
      <c r="AN187" s="60">
        <f ca="1">AVERAGE(OFFSET($AM$3,0,0,'Données projet'!$E$10+1,1))-AVERAGE(OFFSET($H$3,0,0,'Données projet'!$E$10+1,1))</f>
        <v>299.28262372717484</v>
      </c>
      <c r="AO187" s="60">
        <f t="shared" si="144"/>
        <v>294.28794439094889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projet'!$B$11,Paramètres!$A$1:$I$89,3,0)*VLOOKUP('Données projet'!$B$11,Paramètres!$A$1:$I$89,5,0)</f>
        <v>1.6671037883497774E-13</v>
      </c>
      <c r="BF187" s="14">
        <f t="shared" si="167"/>
        <v>2.3598166018346595E-12</v>
      </c>
      <c r="BG187" s="22">
        <f t="shared" si="168"/>
        <v>4.400367824666284E-12</v>
      </c>
      <c r="BH187" s="60">
        <f t="shared" si="116"/>
        <v>293.33333333333769</v>
      </c>
      <c r="BI187" s="60">
        <f ca="1">AVERAGE(OFFSET($BH$3,0,0,'Données projet'!$E$11+1,1))-AVERAGE(OFFSET($H$3,0,0,'Données projet'!$E$11+1,1))</f>
        <v>278.61904724595763</v>
      </c>
      <c r="BJ187" s="60">
        <f t="shared" si="146"/>
        <v>274.55710362891892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0">
        <f t="shared" si="119"/>
        <v>293.33333333333582</v>
      </c>
      <c r="CD187" s="60">
        <f ca="1">AVERAGE(OFFSET($CC$3,0,0,'Données projet'!$E$12+1,1))-AVERAGE(OFFSET($H$3,0,0,'Données projet'!$E$12+1,1))</f>
        <v>292.57482726862594</v>
      </c>
      <c r="CE187" s="60">
        <f t="shared" si="148"/>
        <v>283.48738729114024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-6.2527760746888816E-13</v>
      </c>
      <c r="CU187" s="18">
        <f>CT187*VLOOKUP('Données projet'!$B$13,Paramètres!$A$1:$I$89,3,0)*VLOOKUP('Données projet'!$B$13,Paramètres!$A$1:$I$89,5,0)</f>
        <v>-2.9262992029543964E-13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246.64907095367749</v>
      </c>
      <c r="CZ187" s="60">
        <f t="shared" si="150"/>
        <v>145.34368562171613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-9.2222762759774927E-14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256.19915261735281</v>
      </c>
      <c r="DU187" s="60">
        <f t="shared" si="152"/>
        <v>297.47246687305056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428.8489304403459</v>
      </c>
      <c r="T188" s="60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1.8089849618263545E-13</v>
      </c>
      <c r="AK188" s="14">
        <f t="shared" si="164"/>
        <v>2.536422473342444E-12</v>
      </c>
      <c r="AL188" s="22">
        <f t="shared" si="165"/>
        <v>4.7326673552561798E-12</v>
      </c>
      <c r="AM188" s="60">
        <f t="shared" si="113"/>
        <v>293.33333333333803</v>
      </c>
      <c r="AN188" s="60">
        <f ca="1">AVERAGE(OFFSET($AM$3,0,0,'Données projet'!$E$10+1,1))-AVERAGE(OFFSET($H$3,0,0,'Données projet'!$E$10+1,1))</f>
        <v>299.28262372717484</v>
      </c>
      <c r="AO188" s="60">
        <f t="shared" si="144"/>
        <v>294.28794439094889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projet'!$B$11,Paramètres!$A$1:$I$89,3,0)*VLOOKUP('Données projet'!$B$11,Paramètres!$A$1:$I$89,5,0)</f>
        <v>1.6671037883497774E-13</v>
      </c>
      <c r="BF188" s="14">
        <f t="shared" si="167"/>
        <v>2.3598166018346595E-12</v>
      </c>
      <c r="BG188" s="22">
        <f t="shared" si="168"/>
        <v>4.400367824666284E-12</v>
      </c>
      <c r="BH188" s="60">
        <f t="shared" si="116"/>
        <v>293.33333333333769</v>
      </c>
      <c r="BI188" s="60">
        <f ca="1">AVERAGE(OFFSET($BH$3,0,0,'Données projet'!$E$11+1,1))-AVERAGE(OFFSET($H$3,0,0,'Données projet'!$E$11+1,1))</f>
        <v>278.61904724595763</v>
      </c>
      <c r="BJ188" s="60">
        <f t="shared" si="146"/>
        <v>274.55710362891892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0">
        <f t="shared" si="119"/>
        <v>293.33333333333582</v>
      </c>
      <c r="CD188" s="60">
        <f ca="1">AVERAGE(OFFSET($CC$3,0,0,'Données projet'!$E$12+1,1))-AVERAGE(OFFSET($H$3,0,0,'Données projet'!$E$12+1,1))</f>
        <v>292.57482726862594</v>
      </c>
      <c r="CE188" s="60">
        <f t="shared" si="148"/>
        <v>283.48738729114024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-6.2527760746888816E-13</v>
      </c>
      <c r="CU188" s="18">
        <f>CT188*VLOOKUP('Données projet'!$B$13,Paramètres!$A$1:$I$89,3,0)*VLOOKUP('Données projet'!$B$13,Paramètres!$A$1:$I$89,5,0)</f>
        <v>-2.9262992029543964E-13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246.64907095367749</v>
      </c>
      <c r="CZ188" s="60">
        <f t="shared" si="150"/>
        <v>145.34368562171613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-9.2222762759774927E-14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256.19915261735281</v>
      </c>
      <c r="DU188" s="60">
        <f t="shared" si="152"/>
        <v>297.47246687305056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428.8489304403459</v>
      </c>
      <c r="T189" s="60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1.8089849618263545E-13</v>
      </c>
      <c r="AK189" s="14">
        <f t="shared" si="164"/>
        <v>2.536422473342444E-12</v>
      </c>
      <c r="AL189" s="22">
        <f t="shared" si="165"/>
        <v>4.7326673552561798E-12</v>
      </c>
      <c r="AM189" s="60">
        <f t="shared" si="113"/>
        <v>293.33333333333803</v>
      </c>
      <c r="AN189" s="60">
        <f ca="1">AVERAGE(OFFSET($AM$3,0,0,'Données projet'!$E$10+1,1))-AVERAGE(OFFSET($H$3,0,0,'Données projet'!$E$10+1,1))</f>
        <v>299.28262372717484</v>
      </c>
      <c r="AO189" s="60">
        <f t="shared" si="144"/>
        <v>294.28794439094889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projet'!$B$11,Paramètres!$A$1:$I$89,3,0)*VLOOKUP('Données projet'!$B$11,Paramètres!$A$1:$I$89,5,0)</f>
        <v>1.6671037883497774E-13</v>
      </c>
      <c r="BF189" s="14">
        <f t="shared" si="167"/>
        <v>2.3598166018346595E-12</v>
      </c>
      <c r="BG189" s="22">
        <f t="shared" si="168"/>
        <v>4.400367824666284E-12</v>
      </c>
      <c r="BH189" s="60">
        <f t="shared" si="116"/>
        <v>293.33333333333769</v>
      </c>
      <c r="BI189" s="60">
        <f ca="1">AVERAGE(OFFSET($BH$3,0,0,'Données projet'!$E$11+1,1))-AVERAGE(OFFSET($H$3,0,0,'Données projet'!$E$11+1,1))</f>
        <v>278.61904724595763</v>
      </c>
      <c r="BJ189" s="60">
        <f t="shared" si="146"/>
        <v>274.55710362891892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0">
        <f t="shared" si="119"/>
        <v>293.33333333333582</v>
      </c>
      <c r="CD189" s="60">
        <f ca="1">AVERAGE(OFFSET($CC$3,0,0,'Données projet'!$E$12+1,1))-AVERAGE(OFFSET($H$3,0,0,'Données projet'!$E$12+1,1))</f>
        <v>292.57482726862594</v>
      </c>
      <c r="CE189" s="60">
        <f t="shared" si="148"/>
        <v>283.48738729114024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-6.2527760746888816E-13</v>
      </c>
      <c r="CU189" s="18">
        <f>CT189*VLOOKUP('Données projet'!$B$13,Paramètres!$A$1:$I$89,3,0)*VLOOKUP('Données projet'!$B$13,Paramètres!$A$1:$I$89,5,0)</f>
        <v>-2.9262992029543964E-13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246.64907095367749</v>
      </c>
      <c r="CZ189" s="60">
        <f t="shared" si="150"/>
        <v>145.34368562171613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-9.2222762759774927E-14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256.19915261735281</v>
      </c>
      <c r="DU189" s="60">
        <f t="shared" si="152"/>
        <v>297.47246687305056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428.8489304403459</v>
      </c>
      <c r="T190" s="60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1.8089849618263545E-13</v>
      </c>
      <c r="AK190" s="14">
        <f t="shared" si="164"/>
        <v>2.536422473342444E-12</v>
      </c>
      <c r="AL190" s="22">
        <f t="shared" si="165"/>
        <v>4.7326673552561798E-12</v>
      </c>
      <c r="AM190" s="60">
        <f t="shared" si="113"/>
        <v>293.33333333333803</v>
      </c>
      <c r="AN190" s="60">
        <f ca="1">AVERAGE(OFFSET($AM$3,0,0,'Données projet'!$E$10+1,1))-AVERAGE(OFFSET($H$3,0,0,'Données projet'!$E$10+1,1))</f>
        <v>299.28262372717484</v>
      </c>
      <c r="AO190" s="60">
        <f t="shared" si="144"/>
        <v>294.28794439094889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projet'!$B$11,Paramètres!$A$1:$I$89,3,0)*VLOOKUP('Données projet'!$B$11,Paramètres!$A$1:$I$89,5,0)</f>
        <v>1.6671037883497774E-13</v>
      </c>
      <c r="BF190" s="14">
        <f t="shared" si="167"/>
        <v>2.3598166018346595E-12</v>
      </c>
      <c r="BG190" s="22">
        <f t="shared" si="168"/>
        <v>4.400367824666284E-12</v>
      </c>
      <c r="BH190" s="60">
        <f t="shared" si="116"/>
        <v>293.33333333333769</v>
      </c>
      <c r="BI190" s="60">
        <f ca="1">AVERAGE(OFFSET($BH$3,0,0,'Données projet'!$E$11+1,1))-AVERAGE(OFFSET($H$3,0,0,'Données projet'!$E$11+1,1))</f>
        <v>278.61904724595763</v>
      </c>
      <c r="BJ190" s="60">
        <f t="shared" si="146"/>
        <v>274.55710362891892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0">
        <f t="shared" si="119"/>
        <v>293.33333333333582</v>
      </c>
      <c r="CD190" s="60">
        <f ca="1">AVERAGE(OFFSET($CC$3,0,0,'Données projet'!$E$12+1,1))-AVERAGE(OFFSET($H$3,0,0,'Données projet'!$E$12+1,1))</f>
        <v>292.57482726862594</v>
      </c>
      <c r="CE190" s="60">
        <f t="shared" si="148"/>
        <v>283.48738729114024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-6.2527760746888816E-13</v>
      </c>
      <c r="CU190" s="18">
        <f>CT190*VLOOKUP('Données projet'!$B$13,Paramètres!$A$1:$I$89,3,0)*VLOOKUP('Données projet'!$B$13,Paramètres!$A$1:$I$89,5,0)</f>
        <v>-2.9262992029543964E-13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246.64907095367749</v>
      </c>
      <c r="CZ190" s="60">
        <f t="shared" si="150"/>
        <v>145.34368562171613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-9.2222762759774927E-14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256.19915261735281</v>
      </c>
      <c r="DU190" s="60">
        <f t="shared" si="152"/>
        <v>297.47246687305056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428.8489304403459</v>
      </c>
      <c r="T191" s="60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1.8089849618263545E-13</v>
      </c>
      <c r="AK191" s="14">
        <f t="shared" si="164"/>
        <v>2.536422473342444E-12</v>
      </c>
      <c r="AL191" s="22">
        <f t="shared" si="165"/>
        <v>4.7326673552561798E-12</v>
      </c>
      <c r="AM191" s="60">
        <f t="shared" si="113"/>
        <v>293.33333333333803</v>
      </c>
      <c r="AN191" s="60">
        <f ca="1">AVERAGE(OFFSET($AM$3,0,0,'Données projet'!$E$10+1,1))-AVERAGE(OFFSET($H$3,0,0,'Données projet'!$E$10+1,1))</f>
        <v>299.28262372717484</v>
      </c>
      <c r="AO191" s="60">
        <f t="shared" si="144"/>
        <v>294.28794439094889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projet'!$B$11,Paramètres!$A$1:$I$89,3,0)*VLOOKUP('Données projet'!$B$11,Paramètres!$A$1:$I$89,5,0)</f>
        <v>1.6671037883497774E-13</v>
      </c>
      <c r="BF191" s="14">
        <f t="shared" si="167"/>
        <v>2.3598166018346595E-12</v>
      </c>
      <c r="BG191" s="22">
        <f t="shared" si="168"/>
        <v>4.400367824666284E-12</v>
      </c>
      <c r="BH191" s="60">
        <f t="shared" si="116"/>
        <v>293.33333333333769</v>
      </c>
      <c r="BI191" s="60">
        <f ca="1">AVERAGE(OFFSET($BH$3,0,0,'Données projet'!$E$11+1,1))-AVERAGE(OFFSET($H$3,0,0,'Données projet'!$E$11+1,1))</f>
        <v>278.61904724595763</v>
      </c>
      <c r="BJ191" s="60">
        <f t="shared" si="146"/>
        <v>274.55710362891892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0">
        <f t="shared" si="119"/>
        <v>293.33333333333582</v>
      </c>
      <c r="CD191" s="60">
        <f ca="1">AVERAGE(OFFSET($CC$3,0,0,'Données projet'!$E$12+1,1))-AVERAGE(OFFSET($H$3,0,0,'Données projet'!$E$12+1,1))</f>
        <v>292.57482726862594</v>
      </c>
      <c r="CE191" s="60">
        <f t="shared" si="148"/>
        <v>283.48738729114024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-6.2527760746888816E-13</v>
      </c>
      <c r="CU191" s="18">
        <f>CT191*VLOOKUP('Données projet'!$B$13,Paramètres!$A$1:$I$89,3,0)*VLOOKUP('Données projet'!$B$13,Paramètres!$A$1:$I$89,5,0)</f>
        <v>-2.9262992029543964E-13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246.64907095367749</v>
      </c>
      <c r="CZ191" s="60">
        <f t="shared" si="150"/>
        <v>145.34368562171613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-9.2222762759774927E-14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256.19915261735281</v>
      </c>
      <c r="DU191" s="60">
        <f t="shared" si="152"/>
        <v>297.47246687305056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428.8489304403459</v>
      </c>
      <c r="T192" s="60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1.8089849618263545E-13</v>
      </c>
      <c r="AK192" s="14">
        <f t="shared" si="164"/>
        <v>2.536422473342444E-12</v>
      </c>
      <c r="AL192" s="22">
        <f t="shared" si="165"/>
        <v>4.7326673552561798E-12</v>
      </c>
      <c r="AM192" s="60">
        <f t="shared" si="113"/>
        <v>293.33333333333803</v>
      </c>
      <c r="AN192" s="60">
        <f ca="1">AVERAGE(OFFSET($AM$3,0,0,'Données projet'!$E$10+1,1))-AVERAGE(OFFSET($H$3,0,0,'Données projet'!$E$10+1,1))</f>
        <v>299.28262372717484</v>
      </c>
      <c r="AO192" s="60">
        <f t="shared" si="144"/>
        <v>294.28794439094889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projet'!$B$11,Paramètres!$A$1:$I$89,3,0)*VLOOKUP('Données projet'!$B$11,Paramètres!$A$1:$I$89,5,0)</f>
        <v>1.6671037883497774E-13</v>
      </c>
      <c r="BF192" s="14">
        <f t="shared" si="167"/>
        <v>2.3598166018346595E-12</v>
      </c>
      <c r="BG192" s="22">
        <f t="shared" si="168"/>
        <v>4.400367824666284E-12</v>
      </c>
      <c r="BH192" s="60">
        <f t="shared" si="116"/>
        <v>293.33333333333769</v>
      </c>
      <c r="BI192" s="60">
        <f ca="1">AVERAGE(OFFSET($BH$3,0,0,'Données projet'!$E$11+1,1))-AVERAGE(OFFSET($H$3,0,0,'Données projet'!$E$11+1,1))</f>
        <v>278.61904724595763</v>
      </c>
      <c r="BJ192" s="60">
        <f t="shared" si="146"/>
        <v>274.55710362891892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0">
        <f t="shared" si="119"/>
        <v>293.33333333333582</v>
      </c>
      <c r="CD192" s="60">
        <f ca="1">AVERAGE(OFFSET($CC$3,0,0,'Données projet'!$E$12+1,1))-AVERAGE(OFFSET($H$3,0,0,'Données projet'!$E$12+1,1))</f>
        <v>292.57482726862594</v>
      </c>
      <c r="CE192" s="60">
        <f t="shared" si="148"/>
        <v>283.48738729114024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-6.2527760746888816E-13</v>
      </c>
      <c r="CU192" s="18">
        <f>CT192*VLOOKUP('Données projet'!$B$13,Paramètres!$A$1:$I$89,3,0)*VLOOKUP('Données projet'!$B$13,Paramètres!$A$1:$I$89,5,0)</f>
        <v>-2.9262992029543964E-13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246.64907095367749</v>
      </c>
      <c r="CZ192" s="60">
        <f t="shared" si="150"/>
        <v>145.34368562171613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-9.2222762759774927E-14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256.19915261735281</v>
      </c>
      <c r="DU192" s="60">
        <f t="shared" si="152"/>
        <v>297.47246687305056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428.8489304403459</v>
      </c>
      <c r="T193" s="60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1.8089849618263545E-13</v>
      </c>
      <c r="AK193" s="14">
        <f t="shared" si="164"/>
        <v>2.536422473342444E-12</v>
      </c>
      <c r="AL193" s="22">
        <f t="shared" si="165"/>
        <v>4.7326673552561798E-12</v>
      </c>
      <c r="AM193" s="60">
        <f t="shared" si="113"/>
        <v>293.33333333333803</v>
      </c>
      <c r="AN193" s="60">
        <f ca="1">AVERAGE(OFFSET($AM$3,0,0,'Données projet'!$E$10+1,1))-AVERAGE(OFFSET($H$3,0,0,'Données projet'!$E$10+1,1))</f>
        <v>299.28262372717484</v>
      </c>
      <c r="AO193" s="60">
        <f t="shared" si="144"/>
        <v>294.28794439094889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projet'!$B$11,Paramètres!$A$1:$I$89,3,0)*VLOOKUP('Données projet'!$B$11,Paramètres!$A$1:$I$89,5,0)</f>
        <v>1.6671037883497774E-13</v>
      </c>
      <c r="BF193" s="14">
        <f t="shared" si="167"/>
        <v>2.3598166018346595E-12</v>
      </c>
      <c r="BG193" s="22">
        <f t="shared" si="168"/>
        <v>4.400367824666284E-12</v>
      </c>
      <c r="BH193" s="60">
        <f t="shared" si="116"/>
        <v>293.33333333333769</v>
      </c>
      <c r="BI193" s="60">
        <f ca="1">AVERAGE(OFFSET($BH$3,0,0,'Données projet'!$E$11+1,1))-AVERAGE(OFFSET($H$3,0,0,'Données projet'!$E$11+1,1))</f>
        <v>278.61904724595763</v>
      </c>
      <c r="BJ193" s="60">
        <f t="shared" si="146"/>
        <v>274.55710362891892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0">
        <f t="shared" si="119"/>
        <v>293.33333333333582</v>
      </c>
      <c r="CD193" s="60">
        <f ca="1">AVERAGE(OFFSET($CC$3,0,0,'Données projet'!$E$12+1,1))-AVERAGE(OFFSET($H$3,0,0,'Données projet'!$E$12+1,1))</f>
        <v>292.57482726862594</v>
      </c>
      <c r="CE193" s="60">
        <f t="shared" si="148"/>
        <v>283.48738729114024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-6.2527760746888816E-13</v>
      </c>
      <c r="CU193" s="18">
        <f>CT193*VLOOKUP('Données projet'!$B$13,Paramètres!$A$1:$I$89,3,0)*VLOOKUP('Données projet'!$B$13,Paramètres!$A$1:$I$89,5,0)</f>
        <v>-2.9262992029543964E-13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246.64907095367749</v>
      </c>
      <c r="CZ193" s="60">
        <f t="shared" si="150"/>
        <v>145.34368562171613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-9.2222762759774927E-14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256.19915261735281</v>
      </c>
      <c r="DU193" s="60">
        <f t="shared" si="152"/>
        <v>297.47246687305056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428.8489304403459</v>
      </c>
      <c r="T194" s="60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1.8089849618263545E-13</v>
      </c>
      <c r="AK194" s="14">
        <f t="shared" si="164"/>
        <v>2.536422473342444E-12</v>
      </c>
      <c r="AL194" s="22">
        <f t="shared" si="165"/>
        <v>4.7326673552561798E-12</v>
      </c>
      <c r="AM194" s="60">
        <f t="shared" si="113"/>
        <v>293.33333333333803</v>
      </c>
      <c r="AN194" s="60">
        <f ca="1">AVERAGE(OFFSET($AM$3,0,0,'Données projet'!$E$10+1,1))-AVERAGE(OFFSET($H$3,0,0,'Données projet'!$E$10+1,1))</f>
        <v>299.28262372717484</v>
      </c>
      <c r="AO194" s="60">
        <f t="shared" si="144"/>
        <v>294.28794439094889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projet'!$B$11,Paramètres!$A$1:$I$89,3,0)*VLOOKUP('Données projet'!$B$11,Paramètres!$A$1:$I$89,5,0)</f>
        <v>1.6671037883497774E-13</v>
      </c>
      <c r="BF194" s="14">
        <f t="shared" si="167"/>
        <v>2.3598166018346595E-12</v>
      </c>
      <c r="BG194" s="22">
        <f t="shared" si="168"/>
        <v>4.400367824666284E-12</v>
      </c>
      <c r="BH194" s="60">
        <f t="shared" si="116"/>
        <v>293.33333333333769</v>
      </c>
      <c r="BI194" s="60">
        <f ca="1">AVERAGE(OFFSET($BH$3,0,0,'Données projet'!$E$11+1,1))-AVERAGE(OFFSET($H$3,0,0,'Données projet'!$E$11+1,1))</f>
        <v>278.61904724595763</v>
      </c>
      <c r="BJ194" s="60">
        <f t="shared" si="146"/>
        <v>274.55710362891892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0">
        <f t="shared" si="119"/>
        <v>293.33333333333582</v>
      </c>
      <c r="CD194" s="60">
        <f ca="1">AVERAGE(OFFSET($CC$3,0,0,'Données projet'!$E$12+1,1))-AVERAGE(OFFSET($H$3,0,0,'Données projet'!$E$12+1,1))</f>
        <v>292.57482726862594</v>
      </c>
      <c r="CE194" s="60">
        <f t="shared" si="148"/>
        <v>283.48738729114024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-6.2527760746888816E-13</v>
      </c>
      <c r="CU194" s="18">
        <f>CT194*VLOOKUP('Données projet'!$B$13,Paramètres!$A$1:$I$89,3,0)*VLOOKUP('Données projet'!$B$13,Paramètres!$A$1:$I$89,5,0)</f>
        <v>-2.9262992029543964E-13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246.64907095367749</v>
      </c>
      <c r="CZ194" s="60">
        <f t="shared" si="150"/>
        <v>145.34368562171613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-9.2222762759774927E-14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256.19915261735281</v>
      </c>
      <c r="DU194" s="60">
        <f t="shared" si="152"/>
        <v>297.47246687305056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428.8489304403459</v>
      </c>
      <c r="T195" s="60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1.8089849618263545E-13</v>
      </c>
      <c r="AK195" s="14">
        <f t="shared" si="164"/>
        <v>2.536422473342444E-12</v>
      </c>
      <c r="AL195" s="22">
        <f t="shared" si="165"/>
        <v>4.7326673552561798E-12</v>
      </c>
      <c r="AM195" s="60">
        <f t="shared" si="113"/>
        <v>293.33333333333803</v>
      </c>
      <c r="AN195" s="60">
        <f ca="1">AVERAGE(OFFSET($AM$3,0,0,'Données projet'!$E$10+1,1))-AVERAGE(OFFSET($H$3,0,0,'Données projet'!$E$10+1,1))</f>
        <v>299.28262372717484</v>
      </c>
      <c r="AO195" s="60">
        <f t="shared" si="144"/>
        <v>294.28794439094889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projet'!$B$11,Paramètres!$A$1:$I$89,3,0)*VLOOKUP('Données projet'!$B$11,Paramètres!$A$1:$I$89,5,0)</f>
        <v>1.6671037883497774E-13</v>
      </c>
      <c r="BF195" s="14">
        <f t="shared" si="167"/>
        <v>2.3598166018346595E-12</v>
      </c>
      <c r="BG195" s="22">
        <f t="shared" si="168"/>
        <v>4.400367824666284E-12</v>
      </c>
      <c r="BH195" s="60">
        <f t="shared" si="116"/>
        <v>293.33333333333769</v>
      </c>
      <c r="BI195" s="60">
        <f ca="1">AVERAGE(OFFSET($BH$3,0,0,'Données projet'!$E$11+1,1))-AVERAGE(OFFSET($H$3,0,0,'Données projet'!$E$11+1,1))</f>
        <v>278.61904724595763</v>
      </c>
      <c r="BJ195" s="60">
        <f t="shared" si="146"/>
        <v>274.55710362891892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0">
        <f t="shared" si="119"/>
        <v>293.33333333333582</v>
      </c>
      <c r="CD195" s="60">
        <f ca="1">AVERAGE(OFFSET($CC$3,0,0,'Données projet'!$E$12+1,1))-AVERAGE(OFFSET($H$3,0,0,'Données projet'!$E$12+1,1))</f>
        <v>292.57482726862594</v>
      </c>
      <c r="CE195" s="60">
        <f t="shared" si="148"/>
        <v>283.48738729114024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-6.2527760746888816E-13</v>
      </c>
      <c r="CU195" s="18">
        <f>CT195*VLOOKUP('Données projet'!$B$13,Paramètres!$A$1:$I$89,3,0)*VLOOKUP('Données projet'!$B$13,Paramètres!$A$1:$I$89,5,0)</f>
        <v>-2.9262992029543964E-13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246.64907095367749</v>
      </c>
      <c r="CZ195" s="60">
        <f t="shared" si="150"/>
        <v>145.34368562171613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-9.2222762759774927E-14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256.19915261735281</v>
      </c>
      <c r="DU195" s="60">
        <f t="shared" si="152"/>
        <v>297.47246687305056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428.8489304403459</v>
      </c>
      <c r="T196" s="60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1.8089849618263545E-13</v>
      </c>
      <c r="AK196" s="14">
        <f t="shared" si="164"/>
        <v>2.536422473342444E-12</v>
      </c>
      <c r="AL196" s="22">
        <f t="shared" si="165"/>
        <v>4.7326673552561798E-12</v>
      </c>
      <c r="AM196" s="60">
        <f t="shared" ref="AM196:AM203" si="193">AL196+(AD196+AE196)*44/12</f>
        <v>293.33333333333803</v>
      </c>
      <c r="AN196" s="60">
        <f ca="1">AVERAGE(OFFSET($AM$3,0,0,'Données projet'!$E$10+1,1))-AVERAGE(OFFSET($H$3,0,0,'Données projet'!$E$10+1,1))</f>
        <v>299.28262372717484</v>
      </c>
      <c r="AO196" s="60">
        <f t="shared" si="144"/>
        <v>294.28794439094889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projet'!$B$11,Paramètres!$A$1:$I$89,3,0)*VLOOKUP('Données projet'!$B$11,Paramètres!$A$1:$I$89,5,0)</f>
        <v>1.6671037883497774E-13</v>
      </c>
      <c r="BF196" s="14">
        <f t="shared" si="167"/>
        <v>2.3598166018346595E-12</v>
      </c>
      <c r="BG196" s="22">
        <f t="shared" si="168"/>
        <v>4.400367824666284E-12</v>
      </c>
      <c r="BH196" s="60">
        <f t="shared" ref="BH196:BH203" si="194">BG196+(AY196+AZ196)*44/12</f>
        <v>293.33333333333769</v>
      </c>
      <c r="BI196" s="60">
        <f ca="1">AVERAGE(OFFSET($BH$3,0,0,'Données projet'!$E$11+1,1))-AVERAGE(OFFSET($H$3,0,0,'Données projet'!$E$11+1,1))</f>
        <v>278.61904724595763</v>
      </c>
      <c r="BJ196" s="60">
        <f t="shared" si="146"/>
        <v>274.55710362891892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0">
        <f t="shared" ref="CC196:CC203" si="195">CB196+(BT196+BU196)*44/12</f>
        <v>293.33333333333582</v>
      </c>
      <c r="CD196" s="60">
        <f ca="1">AVERAGE(OFFSET($CC$3,0,0,'Données projet'!$E$12+1,1))-AVERAGE(OFFSET($H$3,0,0,'Données projet'!$E$12+1,1))</f>
        <v>292.57482726862594</v>
      </c>
      <c r="CE196" s="60">
        <f t="shared" si="148"/>
        <v>283.48738729114024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-6.2527760746888816E-13</v>
      </c>
      <c r="CU196" s="18">
        <f>CT196*VLOOKUP('Données projet'!$B$13,Paramètres!$A$1:$I$89,3,0)*VLOOKUP('Données projet'!$B$13,Paramètres!$A$1:$I$89,5,0)</f>
        <v>-2.9262992029543964E-13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246.64907095367749</v>
      </c>
      <c r="CZ196" s="60">
        <f t="shared" si="150"/>
        <v>145.34368562171613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-9.2222762759774927E-14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256.19915261735281</v>
      </c>
      <c r="DU196" s="60">
        <f t="shared" si="152"/>
        <v>297.47246687305056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428.8489304403459</v>
      </c>
      <c r="T197" s="60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1.8089849618263545E-13</v>
      </c>
      <c r="AK197" s="14">
        <f t="shared" si="164"/>
        <v>2.536422473342444E-12</v>
      </c>
      <c r="AL197" s="22">
        <f t="shared" si="165"/>
        <v>4.7326673552561798E-12</v>
      </c>
      <c r="AM197" s="60">
        <f t="shared" si="193"/>
        <v>293.33333333333803</v>
      </c>
      <c r="AN197" s="60">
        <f ca="1">AVERAGE(OFFSET($AM$3,0,0,'Données projet'!$E$10+1,1))-AVERAGE(OFFSET($H$3,0,0,'Données projet'!$E$10+1,1))</f>
        <v>299.28262372717484</v>
      </c>
      <c r="AO197" s="60">
        <f t="shared" ref="AO197:AO203" si="205">$AO$3</f>
        <v>294.28794439094889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projet'!$B$11,Paramètres!$A$1:$I$89,3,0)*VLOOKUP('Données projet'!$B$11,Paramètres!$A$1:$I$89,5,0)</f>
        <v>1.6671037883497774E-13</v>
      </c>
      <c r="BF197" s="14">
        <f t="shared" si="167"/>
        <v>2.3598166018346595E-12</v>
      </c>
      <c r="BG197" s="22">
        <f t="shared" si="168"/>
        <v>4.400367824666284E-12</v>
      </c>
      <c r="BH197" s="60">
        <f t="shared" si="194"/>
        <v>293.33333333333769</v>
      </c>
      <c r="BI197" s="60">
        <f ca="1">AVERAGE(OFFSET($BH$3,0,0,'Données projet'!$E$11+1,1))-AVERAGE(OFFSET($H$3,0,0,'Données projet'!$E$11+1,1))</f>
        <v>278.61904724595763</v>
      </c>
      <c r="BJ197" s="60">
        <f t="shared" ref="BJ197:BJ203" si="206">$BJ$3</f>
        <v>274.55710362891892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0">
        <f t="shared" si="195"/>
        <v>293.33333333333582</v>
      </c>
      <c r="CD197" s="60">
        <f ca="1">AVERAGE(OFFSET($CC$3,0,0,'Données projet'!$E$12+1,1))-AVERAGE(OFFSET($H$3,0,0,'Données projet'!$E$12+1,1))</f>
        <v>292.57482726862594</v>
      </c>
      <c r="CE197" s="60">
        <f t="shared" ref="CE197:CE203" si="207">$CE$3</f>
        <v>283.48738729114024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-6.2527760746888816E-13</v>
      </c>
      <c r="CU197" s="18">
        <f>CT197*VLOOKUP('Données projet'!$B$13,Paramètres!$A$1:$I$89,3,0)*VLOOKUP('Données projet'!$B$13,Paramètres!$A$1:$I$89,5,0)</f>
        <v>-2.9262992029543964E-13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246.64907095367749</v>
      </c>
      <c r="CZ197" s="60">
        <f t="shared" ref="CZ197:CZ203" si="208">$CZ$3</f>
        <v>145.34368562171613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-9.2222762759774927E-14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256.19915261735281</v>
      </c>
      <c r="DU197" s="60">
        <f t="shared" ref="DU197:DU203" si="209">$DU$3</f>
        <v>297.47246687305056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428.8489304403459</v>
      </c>
      <c r="T198" s="60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1.8089849618263545E-13</v>
      </c>
      <c r="AK198" s="14">
        <f t="shared" si="164"/>
        <v>2.536422473342444E-12</v>
      </c>
      <c r="AL198" s="22">
        <f t="shared" si="165"/>
        <v>4.7326673552561798E-12</v>
      </c>
      <c r="AM198" s="60">
        <f t="shared" si="193"/>
        <v>293.33333333333803</v>
      </c>
      <c r="AN198" s="60">
        <f ca="1">AVERAGE(OFFSET($AM$3,0,0,'Données projet'!$E$10+1,1))-AVERAGE(OFFSET($H$3,0,0,'Données projet'!$E$10+1,1))</f>
        <v>299.28262372717484</v>
      </c>
      <c r="AO198" s="60">
        <f t="shared" si="205"/>
        <v>294.28794439094889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projet'!$B$11,Paramètres!$A$1:$I$89,3,0)*VLOOKUP('Données projet'!$B$11,Paramètres!$A$1:$I$89,5,0)</f>
        <v>1.6671037883497774E-13</v>
      </c>
      <c r="BF198" s="14">
        <f t="shared" si="167"/>
        <v>2.3598166018346595E-12</v>
      </c>
      <c r="BG198" s="22">
        <f t="shared" si="168"/>
        <v>4.400367824666284E-12</v>
      </c>
      <c r="BH198" s="60">
        <f t="shared" si="194"/>
        <v>293.33333333333769</v>
      </c>
      <c r="BI198" s="60">
        <f ca="1">AVERAGE(OFFSET($BH$3,0,0,'Données projet'!$E$11+1,1))-AVERAGE(OFFSET($H$3,0,0,'Données projet'!$E$11+1,1))</f>
        <v>278.61904724595763</v>
      </c>
      <c r="BJ198" s="60">
        <f t="shared" si="206"/>
        <v>274.55710362891892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0">
        <f t="shared" si="195"/>
        <v>293.33333333333582</v>
      </c>
      <c r="CD198" s="60">
        <f ca="1">AVERAGE(OFFSET($CC$3,0,0,'Données projet'!$E$12+1,1))-AVERAGE(OFFSET($H$3,0,0,'Données projet'!$E$12+1,1))</f>
        <v>292.57482726862594</v>
      </c>
      <c r="CE198" s="60">
        <f t="shared" si="207"/>
        <v>283.48738729114024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-6.2527760746888816E-13</v>
      </c>
      <c r="CU198" s="18">
        <f>CT198*VLOOKUP('Données projet'!$B$13,Paramètres!$A$1:$I$89,3,0)*VLOOKUP('Données projet'!$B$13,Paramètres!$A$1:$I$89,5,0)</f>
        <v>-2.9262992029543964E-13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246.64907095367749</v>
      </c>
      <c r="CZ198" s="60">
        <f t="shared" si="208"/>
        <v>145.34368562171613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-9.2222762759774927E-14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256.19915261735281</v>
      </c>
      <c r="DU198" s="60">
        <f t="shared" si="209"/>
        <v>297.47246687305056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428.8489304403459</v>
      </c>
      <c r="T199" s="60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1.8089849618263545E-13</v>
      </c>
      <c r="AK199" s="14">
        <f t="shared" si="164"/>
        <v>2.536422473342444E-12</v>
      </c>
      <c r="AL199" s="22">
        <f t="shared" si="165"/>
        <v>4.7326673552561798E-12</v>
      </c>
      <c r="AM199" s="60">
        <f t="shared" si="193"/>
        <v>293.33333333333803</v>
      </c>
      <c r="AN199" s="60">
        <f ca="1">AVERAGE(OFFSET($AM$3,0,0,'Données projet'!$E$10+1,1))-AVERAGE(OFFSET($H$3,0,0,'Données projet'!$E$10+1,1))</f>
        <v>299.28262372717484</v>
      </c>
      <c r="AO199" s="60">
        <f t="shared" si="205"/>
        <v>294.28794439094889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projet'!$B$11,Paramètres!$A$1:$I$89,3,0)*VLOOKUP('Données projet'!$B$11,Paramètres!$A$1:$I$89,5,0)</f>
        <v>1.6671037883497774E-13</v>
      </c>
      <c r="BF199" s="14">
        <f t="shared" si="167"/>
        <v>2.3598166018346595E-12</v>
      </c>
      <c r="BG199" s="22">
        <f t="shared" si="168"/>
        <v>4.400367824666284E-12</v>
      </c>
      <c r="BH199" s="60">
        <f t="shared" si="194"/>
        <v>293.33333333333769</v>
      </c>
      <c r="BI199" s="60">
        <f ca="1">AVERAGE(OFFSET($BH$3,0,0,'Données projet'!$E$11+1,1))-AVERAGE(OFFSET($H$3,0,0,'Données projet'!$E$11+1,1))</f>
        <v>278.61904724595763</v>
      </c>
      <c r="BJ199" s="60">
        <f t="shared" si="206"/>
        <v>274.55710362891892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0">
        <f t="shared" si="195"/>
        <v>293.33333333333582</v>
      </c>
      <c r="CD199" s="60">
        <f ca="1">AVERAGE(OFFSET($CC$3,0,0,'Données projet'!$E$12+1,1))-AVERAGE(OFFSET($H$3,0,0,'Données projet'!$E$12+1,1))</f>
        <v>292.57482726862594</v>
      </c>
      <c r="CE199" s="60">
        <f t="shared" si="207"/>
        <v>283.48738729114024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-6.2527760746888816E-13</v>
      </c>
      <c r="CU199" s="18">
        <f>CT199*VLOOKUP('Données projet'!$B$13,Paramètres!$A$1:$I$89,3,0)*VLOOKUP('Données projet'!$B$13,Paramètres!$A$1:$I$89,5,0)</f>
        <v>-2.9262992029543964E-13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246.64907095367749</v>
      </c>
      <c r="CZ199" s="60">
        <f t="shared" si="208"/>
        <v>145.34368562171613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-9.2222762759774927E-14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256.19915261735281</v>
      </c>
      <c r="DU199" s="60">
        <f t="shared" si="209"/>
        <v>297.47246687305056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428.8489304403459</v>
      </c>
      <c r="T200" s="60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1.8089849618263545E-13</v>
      </c>
      <c r="AK200" s="14">
        <f t="shared" si="164"/>
        <v>2.536422473342444E-12</v>
      </c>
      <c r="AL200" s="22">
        <f t="shared" si="165"/>
        <v>4.7326673552561798E-12</v>
      </c>
      <c r="AM200" s="60">
        <f t="shared" si="193"/>
        <v>293.33333333333803</v>
      </c>
      <c r="AN200" s="60">
        <f ca="1">AVERAGE(OFFSET($AM$3,0,0,'Données projet'!$E$10+1,1))-AVERAGE(OFFSET($H$3,0,0,'Données projet'!$E$10+1,1))</f>
        <v>299.28262372717484</v>
      </c>
      <c r="AO200" s="60">
        <f t="shared" si="205"/>
        <v>294.28794439094889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projet'!$B$11,Paramètres!$A$1:$I$89,3,0)*VLOOKUP('Données projet'!$B$11,Paramètres!$A$1:$I$89,5,0)</f>
        <v>1.6671037883497774E-13</v>
      </c>
      <c r="BF200" s="14">
        <f t="shared" si="167"/>
        <v>2.3598166018346595E-12</v>
      </c>
      <c r="BG200" s="22">
        <f t="shared" si="168"/>
        <v>4.400367824666284E-12</v>
      </c>
      <c r="BH200" s="60">
        <f t="shared" si="194"/>
        <v>293.33333333333769</v>
      </c>
      <c r="BI200" s="60">
        <f ca="1">AVERAGE(OFFSET($BH$3,0,0,'Données projet'!$E$11+1,1))-AVERAGE(OFFSET($H$3,0,0,'Données projet'!$E$11+1,1))</f>
        <v>278.61904724595763</v>
      </c>
      <c r="BJ200" s="60">
        <f t="shared" si="206"/>
        <v>274.55710362891892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0">
        <f t="shared" si="195"/>
        <v>293.33333333333582</v>
      </c>
      <c r="CD200" s="60">
        <f ca="1">AVERAGE(OFFSET($CC$3,0,0,'Données projet'!$E$12+1,1))-AVERAGE(OFFSET($H$3,0,0,'Données projet'!$E$12+1,1))</f>
        <v>292.57482726862594</v>
      </c>
      <c r="CE200" s="60">
        <f t="shared" si="207"/>
        <v>283.48738729114024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-6.2527760746888816E-13</v>
      </c>
      <c r="CU200" s="18">
        <f>CT200*VLOOKUP('Données projet'!$B$13,Paramètres!$A$1:$I$89,3,0)*VLOOKUP('Données projet'!$B$13,Paramètres!$A$1:$I$89,5,0)</f>
        <v>-2.9262992029543964E-13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246.64907095367749</v>
      </c>
      <c r="CZ200" s="60">
        <f t="shared" si="208"/>
        <v>145.34368562171613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-9.2222762759774927E-14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256.19915261735281</v>
      </c>
      <c r="DU200" s="60">
        <f t="shared" si="209"/>
        <v>297.47246687305056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428.8489304403459</v>
      </c>
      <c r="T201" s="60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1.8089849618263545E-13</v>
      </c>
      <c r="AK201" s="14">
        <f t="shared" si="164"/>
        <v>2.536422473342444E-12</v>
      </c>
      <c r="AL201" s="22">
        <f t="shared" si="165"/>
        <v>4.7326673552561798E-12</v>
      </c>
      <c r="AM201" s="60">
        <f t="shared" si="193"/>
        <v>293.33333333333803</v>
      </c>
      <c r="AN201" s="60">
        <f ca="1">AVERAGE(OFFSET($AM$3,0,0,'Données projet'!$E$10+1,1))-AVERAGE(OFFSET($H$3,0,0,'Données projet'!$E$10+1,1))</f>
        <v>299.28262372717484</v>
      </c>
      <c r="AO201" s="60">
        <f t="shared" si="205"/>
        <v>294.28794439094889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projet'!$B$11,Paramètres!$A$1:$I$89,3,0)*VLOOKUP('Données projet'!$B$11,Paramètres!$A$1:$I$89,5,0)</f>
        <v>1.6671037883497774E-13</v>
      </c>
      <c r="BF201" s="14">
        <f t="shared" si="167"/>
        <v>2.3598166018346595E-12</v>
      </c>
      <c r="BG201" s="22">
        <f t="shared" si="168"/>
        <v>4.400367824666284E-12</v>
      </c>
      <c r="BH201" s="60">
        <f t="shared" si="194"/>
        <v>293.33333333333769</v>
      </c>
      <c r="BI201" s="60">
        <f ca="1">AVERAGE(OFFSET($BH$3,0,0,'Données projet'!$E$11+1,1))-AVERAGE(OFFSET($H$3,0,0,'Données projet'!$E$11+1,1))</f>
        <v>278.61904724595763</v>
      </c>
      <c r="BJ201" s="60">
        <f t="shared" si="206"/>
        <v>274.55710362891892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0">
        <f t="shared" si="195"/>
        <v>293.33333333333582</v>
      </c>
      <c r="CD201" s="60">
        <f ca="1">AVERAGE(OFFSET($CC$3,0,0,'Données projet'!$E$12+1,1))-AVERAGE(OFFSET($H$3,0,0,'Données projet'!$E$12+1,1))</f>
        <v>292.57482726862594</v>
      </c>
      <c r="CE201" s="60">
        <f t="shared" si="207"/>
        <v>283.48738729114024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-6.2527760746888816E-13</v>
      </c>
      <c r="CU201" s="18">
        <f>CT201*VLOOKUP('Données projet'!$B$13,Paramètres!$A$1:$I$89,3,0)*VLOOKUP('Données projet'!$B$13,Paramètres!$A$1:$I$89,5,0)</f>
        <v>-2.9262992029543964E-13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246.64907095367749</v>
      </c>
      <c r="CZ201" s="60">
        <f t="shared" si="208"/>
        <v>145.34368562171613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-9.2222762759774927E-14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256.19915261735281</v>
      </c>
      <c r="DU201" s="60">
        <f t="shared" si="209"/>
        <v>297.47246687305056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428.8489304403459</v>
      </c>
      <c r="T202" s="60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1.8089849618263545E-13</v>
      </c>
      <c r="AK202" s="14">
        <f t="shared" si="164"/>
        <v>2.536422473342444E-12</v>
      </c>
      <c r="AL202" s="22">
        <f t="shared" si="165"/>
        <v>4.7326673552561798E-12</v>
      </c>
      <c r="AM202" s="60">
        <f t="shared" si="193"/>
        <v>293.33333333333803</v>
      </c>
      <c r="AN202" s="60">
        <f ca="1">AVERAGE(OFFSET($AM$3,0,0,'Données projet'!$E$10+1,1))-AVERAGE(OFFSET($H$3,0,0,'Données projet'!$E$10+1,1))</f>
        <v>299.28262372717484</v>
      </c>
      <c r="AO202" s="60">
        <f t="shared" si="205"/>
        <v>294.28794439094889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projet'!$B$11,Paramètres!$A$1:$I$89,3,0)*VLOOKUP('Données projet'!$B$11,Paramètres!$A$1:$I$89,5,0)</f>
        <v>1.6671037883497774E-13</v>
      </c>
      <c r="BF202" s="14">
        <f t="shared" si="167"/>
        <v>2.3598166018346595E-12</v>
      </c>
      <c r="BG202" s="22">
        <f t="shared" si="168"/>
        <v>4.400367824666284E-12</v>
      </c>
      <c r="BH202" s="60">
        <f t="shared" si="194"/>
        <v>293.33333333333769</v>
      </c>
      <c r="BI202" s="60">
        <f ca="1">AVERAGE(OFFSET($BH$3,0,0,'Données projet'!$E$11+1,1))-AVERAGE(OFFSET($H$3,0,0,'Données projet'!$E$11+1,1))</f>
        <v>278.61904724595763</v>
      </c>
      <c r="BJ202" s="60">
        <f t="shared" si="206"/>
        <v>274.55710362891892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0">
        <f t="shared" si="195"/>
        <v>293.33333333333582</v>
      </c>
      <c r="CD202" s="60">
        <f ca="1">AVERAGE(OFFSET($CC$3,0,0,'Données projet'!$E$12+1,1))-AVERAGE(OFFSET($H$3,0,0,'Données projet'!$E$12+1,1))</f>
        <v>292.57482726862594</v>
      </c>
      <c r="CE202" s="60">
        <f t="shared" si="207"/>
        <v>283.48738729114024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-6.2527760746888816E-13</v>
      </c>
      <c r="CU202" s="18">
        <f>CT202*VLOOKUP('Données projet'!$B$13,Paramètres!$A$1:$I$89,3,0)*VLOOKUP('Données projet'!$B$13,Paramètres!$A$1:$I$89,5,0)</f>
        <v>-2.9262992029543964E-13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246.64907095367749</v>
      </c>
      <c r="CZ202" s="60">
        <f t="shared" si="208"/>
        <v>145.34368562171613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-9.2222762759774927E-14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256.19915261735281</v>
      </c>
      <c r="DU202" s="60">
        <f t="shared" si="209"/>
        <v>297.47246687305056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428.8489304403459</v>
      </c>
      <c r="T203" s="60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1.8089849618263545E-13</v>
      </c>
      <c r="AK203" s="14">
        <f t="shared" si="164"/>
        <v>2.536422473342444E-12</v>
      </c>
      <c r="AL203" s="22">
        <f t="shared" si="165"/>
        <v>4.7326673552561798E-12</v>
      </c>
      <c r="AM203" s="60">
        <f t="shared" si="193"/>
        <v>293.33333333333803</v>
      </c>
      <c r="AN203" s="60">
        <f ca="1">AVERAGE(OFFSET($AM$3,0,0,'Données projet'!$E$10+1,1))-AVERAGE(OFFSET($H$3,0,0,'Données projet'!$E$10+1,1))</f>
        <v>299.28262372717484</v>
      </c>
      <c r="AO203" s="60">
        <f t="shared" si="205"/>
        <v>294.28794439094889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projet'!$B$11,Paramètres!$A$1:$I$89,3,0)*VLOOKUP('Données projet'!$B$11,Paramètres!$A$1:$I$89,5,0)</f>
        <v>1.6671037883497774E-13</v>
      </c>
      <c r="BF203" s="14">
        <f t="shared" si="167"/>
        <v>2.3598166018346595E-12</v>
      </c>
      <c r="BG203" s="22">
        <f t="shared" si="168"/>
        <v>4.400367824666284E-12</v>
      </c>
      <c r="BH203" s="60">
        <f t="shared" si="194"/>
        <v>293.33333333333769</v>
      </c>
      <c r="BI203" s="60">
        <f ca="1">AVERAGE(OFFSET($BH$3,0,0,'Données projet'!$E$11+1,1))-AVERAGE(OFFSET($H$3,0,0,'Données projet'!$E$11+1,1))</f>
        <v>278.61904724595763</v>
      </c>
      <c r="BJ203" s="60">
        <f t="shared" si="206"/>
        <v>274.55710362891892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0">
        <f t="shared" si="195"/>
        <v>293.33333333333582</v>
      </c>
      <c r="CD203" s="60">
        <f ca="1">AVERAGE(OFFSET($CC$3,0,0,'Données projet'!$E$12+1,1))-AVERAGE(OFFSET($H$3,0,0,'Données projet'!$E$12+1,1))</f>
        <v>292.57482726862594</v>
      </c>
      <c r="CE203" s="60">
        <f t="shared" si="207"/>
        <v>283.48738729114024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-6.2527760746888816E-13</v>
      </c>
      <c r="CU203" s="18">
        <f>CT203*VLOOKUP('Données projet'!$B$13,Paramètres!$A$1:$I$89,3,0)*VLOOKUP('Données projet'!$B$13,Paramètres!$A$1:$I$89,5,0)</f>
        <v>-2.9262992029543964E-13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246.64907095367749</v>
      </c>
      <c r="CZ203" s="60">
        <f t="shared" si="208"/>
        <v>145.34368562171613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-9.2222762759774927E-14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256.19915261735281</v>
      </c>
      <c r="DU203" s="60">
        <f t="shared" si="209"/>
        <v>297.47246687305056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1.2721747796233518</v>
      </c>
      <c r="BA205" s="85">
        <f>EXP(LN('Données projet'!B88)/'Données projet'!A88)</f>
        <v>1.2721747796233518</v>
      </c>
      <c r="BV205" s="85">
        <f>EXP(LN('Données projet'!B114)/'Données projet'!A114)</f>
        <v>1.2788040393997409</v>
      </c>
      <c r="CQ205" s="85">
        <f>EXP(LN('Données projet'!B140)/'Données projet'!A140)</f>
        <v>1.167092777711815</v>
      </c>
      <c r="DL205" s="85">
        <f>EXP(LN('Données projet'!B166)/'Données projet'!A166)</f>
        <v>1.2457309396155174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2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3" t="s">
        <v>238</v>
      </c>
      <c r="P2" s="127">
        <v>0</v>
      </c>
    </row>
    <row r="3" spans="1:16" ht="15.75" thickBot="1" x14ac:dyDescent="0.3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4"/>
      <c r="P3" s="134">
        <v>0.2</v>
      </c>
    </row>
    <row r="4" spans="1:16" ht="15.75" thickBot="1" x14ac:dyDescent="0.3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2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3" t="s">
        <v>237</v>
      </c>
      <c r="P5" s="127">
        <v>0</v>
      </c>
    </row>
    <row r="6" spans="1:16" x14ac:dyDescent="0.2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5"/>
      <c r="P6" s="135">
        <v>0.05</v>
      </c>
    </row>
    <row r="7" spans="1:16" x14ac:dyDescent="0.2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5"/>
      <c r="P7" s="135">
        <v>0.1</v>
      </c>
    </row>
    <row r="8" spans="1:16" ht="15.75" thickBot="1" x14ac:dyDescent="0.3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4"/>
      <c r="P8" s="134">
        <v>0.15</v>
      </c>
    </row>
    <row r="9" spans="1:16" ht="15.75" thickBot="1" x14ac:dyDescent="0.3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2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3" t="s">
        <v>236</v>
      </c>
      <c r="P10" s="127">
        <v>0</v>
      </c>
    </row>
    <row r="11" spans="1:16" ht="15.75" thickBot="1" x14ac:dyDescent="0.3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4"/>
      <c r="P11" s="134">
        <v>0.1</v>
      </c>
    </row>
    <row r="12" spans="1:16" x14ac:dyDescent="0.2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2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2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2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2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2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2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2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2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2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2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2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2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2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2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2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2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2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2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2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2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2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2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2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2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2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2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2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2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2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2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2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2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2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2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2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2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2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2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2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2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2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2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2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2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2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2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2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2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2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2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2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2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2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2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2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2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2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2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2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2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2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2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2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2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2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2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2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2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2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2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2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2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2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2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2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7"/>
      <c r="K87" s="97"/>
      <c r="L87" s="97"/>
      <c r="M87" s="97"/>
      <c r="N87" s="97"/>
    </row>
    <row r="88" spans="1:14" x14ac:dyDescent="0.25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.75" thickBot="1" x14ac:dyDescent="0.3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25">
      <c r="A93" s="128" t="s">
        <v>208</v>
      </c>
    </row>
    <row r="94" spans="1:14" x14ac:dyDescent="0.25">
      <c r="A94" s="128" t="s">
        <v>209</v>
      </c>
    </row>
    <row r="95" spans="1:14" x14ac:dyDescent="0.25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E7" sqref="E7:E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1" t="str">
        <f>IF('Données projet'!$B$9="","",'Données projet'!$B$9)</f>
        <v>Chêne sessile</v>
      </c>
      <c r="B6" s="152">
        <f>'Données projet'!D9</f>
        <v>0.68200000000000005</v>
      </c>
      <c r="C6" s="153">
        <f ca="1">IF(OR('Données projet'!B9="",'Données projet'!C9="",'Données projet'!C9=0%),0,Calculateur!S3)</f>
        <v>428.8489304403459</v>
      </c>
      <c r="D6" s="153">
        <f>IF(OR('Données projet'!B9="",'Données projet'!C9="",'Données projet'!C9=0%),0,Calculateur!T3)</f>
        <v>247.01165577562966</v>
      </c>
      <c r="E6" s="153">
        <f ca="1">MIN(C6,D6)</f>
        <v>247.01165577562966</v>
      </c>
      <c r="F6" s="153">
        <f ca="1">E6*B6</f>
        <v>168.46194923897943</v>
      </c>
      <c r="G6" s="153">
        <f ca="1">F6*(100%-'Données projet'!$C$24)*(100%-'Données projet'!$C$25)*(100%-'Données projet'!$C$26)*(100%-'Données projet'!$C$27)</f>
        <v>151.61575431508149</v>
      </c>
      <c r="H6" s="154">
        <f>IF(OR('Données projet'!B9="",'Données projet'!C9="",'Données projet'!C9=0%),0,AVERAGE(Calculateur!$AC$3:$AC$33)*B6)</f>
        <v>0</v>
      </c>
      <c r="I6" s="155">
        <f>H6*(100%-'Données projet'!$C$24)*(100%-'Données projet'!$C$25)*(100%-'Données projet'!$C$26)*(100%-'Données projet'!$C$27)</f>
        <v>0</v>
      </c>
      <c r="J6" s="156">
        <f>IF(OR('Données projet'!B9="",'Données projet'!C9="",'Données projet'!C9=0%),0,SUM(Calculateur!$V$3:$V$33)*VLOOKUP('Données projet'!$B$9,Paramètres!$A$1:$I$89,9,0)*B6)</f>
        <v>4.9445000000000006</v>
      </c>
      <c r="K6" s="157">
        <f>J6*(100%-'Données projet'!$C$24)*(100%-'Données projet'!$C$25)*(100%-'Données projet'!$C$26)*(100%-'Données projet'!$C$27)</f>
        <v>4.4500500000000009</v>
      </c>
      <c r="L6" s="158">
        <f ca="1">G6+I6+K6</f>
        <v>156.06580431508149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9" t="str">
        <f>IF('Données projet'!$B$10="","",'Données projet'!$B$10)</f>
        <v>Erable sycomore</v>
      </c>
      <c r="B7" s="160">
        <f>'Données projet'!D10</f>
        <v>0.35200000000000004</v>
      </c>
      <c r="C7" s="153">
        <f ca="1">IF(OR('Données projet'!B10="",'Données projet'!C10="",'Données projet'!C10=0%),0,Calculateur!AN3)</f>
        <v>299.28262372717484</v>
      </c>
      <c r="D7" s="153">
        <f>IF(OR('Données projet'!B10="",'Données projet'!C10="",'Données projet'!C10=0%),0,Calculateur!AO3)</f>
        <v>294.28794439094889</v>
      </c>
      <c r="E7" s="153">
        <f t="shared" ref="E7:E15" ca="1" si="0">MIN(C7,D7)</f>
        <v>294.28794439094889</v>
      </c>
      <c r="F7" s="153">
        <f t="shared" ref="F7:F15" ca="1" si="1">E7*B7</f>
        <v>103.58935642561403</v>
      </c>
      <c r="G7" s="153">
        <f ca="1">F7*(100%-'Données projet'!$C$24)*(100%-'Données projet'!$C$25)*(100%-'Données projet'!$C$26)*(100%-'Données projet'!$C$27)</f>
        <v>93.230420783052622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8.7120000000000015</v>
      </c>
      <c r="K7" s="157">
        <f>J7*(100%-'Données projet'!$C$24)*(100%-'Données projet'!$C$25)*(100%-'Données projet'!$C$26)*(100%-'Données projet'!$C$27)</f>
        <v>7.8408000000000015</v>
      </c>
      <c r="L7" s="158">
        <f t="shared" ref="L7:L15" ca="1" si="2">G7+I7+K7</f>
        <v>101.07122078305262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9" t="str">
        <f>IF('Données projet'!$B$11="","",'Données projet'!$B$11)</f>
        <v>Châtaignier</v>
      </c>
      <c r="B8" s="160">
        <f>'Données projet'!D11</f>
        <v>0.35200000000000004</v>
      </c>
      <c r="C8" s="153">
        <f ca="1">IF(OR('Données projet'!B11="",'Données projet'!C11="",'Données projet'!C11=0%),0,Calculateur!BI3)</f>
        <v>278.61904724595763</v>
      </c>
      <c r="D8" s="153">
        <f>IF(OR('Données projet'!B11="",'Données projet'!C11="",'Données projet'!C11=0%),0,Calculateur!BJ3)</f>
        <v>274.55710362891892</v>
      </c>
      <c r="E8" s="153">
        <f t="shared" ca="1" si="0"/>
        <v>274.55710362891892</v>
      </c>
      <c r="F8" s="153">
        <f t="shared" ca="1" si="1"/>
        <v>96.644100477379467</v>
      </c>
      <c r="G8" s="153">
        <f ca="1">F8*(100%-'Données projet'!$C$24)*(100%-'Données projet'!$C$25)*(100%-'Données projet'!$C$26)*(100%-'Données projet'!$C$27)</f>
        <v>86.979690429641522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8.7120000000000015</v>
      </c>
      <c r="K8" s="157">
        <f>J8*(100%-'Données projet'!$C$24)*(100%-'Données projet'!$C$25)*(100%-'Données projet'!$C$26)*(100%-'Données projet'!$C$27)</f>
        <v>7.8408000000000015</v>
      </c>
      <c r="L8" s="158">
        <f t="shared" ca="1" si="2"/>
        <v>94.820490429641524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9" t="str">
        <f>IF('Données projet'!$B$12="","",'Données projet'!$B$12)</f>
        <v>Merisier</v>
      </c>
      <c r="B9" s="160">
        <f>'Données projet'!D12</f>
        <v>0.35200000000000004</v>
      </c>
      <c r="C9" s="153">
        <f ca="1">IF(OR('Données projet'!B12="",'Données projet'!C12="",'Données projet'!C12=0%),0,Calculateur!CD3)</f>
        <v>292.57482726862594</v>
      </c>
      <c r="D9" s="153">
        <f>IF(OR('Données projet'!B12="",'Données projet'!C12="",'Données projet'!C12=0%),0,Calculateur!CE3)</f>
        <v>283.48738729114024</v>
      </c>
      <c r="E9" s="153">
        <f t="shared" ca="1" si="0"/>
        <v>283.48738729114024</v>
      </c>
      <c r="F9" s="153">
        <f t="shared" ca="1" si="1"/>
        <v>99.787560326481369</v>
      </c>
      <c r="G9" s="153">
        <f ca="1">F9*(100%-'Données projet'!$C$24)*(100%-'Données projet'!$C$25)*(100%-'Données projet'!$C$26)*(100%-'Données projet'!$C$27)</f>
        <v>89.808804293833234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4.8400000000000007</v>
      </c>
      <c r="K9" s="157">
        <f>J9*(100%-'Données projet'!$C$24)*(100%-'Données projet'!$C$25)*(100%-'Données projet'!$C$26)*(100%-'Données projet'!$C$27)</f>
        <v>4.3560000000000008</v>
      </c>
      <c r="L9" s="158">
        <f t="shared" ca="1" si="2"/>
        <v>94.164804293833228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9" t="str">
        <f>IF('Données projet'!$B$13="","",'Données projet'!$B$13)</f>
        <v>Cèdre de l'Atlas</v>
      </c>
      <c r="B10" s="160">
        <f>'Données projet'!D13</f>
        <v>0.35200000000000004</v>
      </c>
      <c r="C10" s="153">
        <f ca="1">IF(OR('Données projet'!B13="",'Données projet'!C13="",'Données projet'!C13=0%),0,Calculateur!CY3)</f>
        <v>246.64907095367749</v>
      </c>
      <c r="D10" s="153">
        <f>IF(OR('Données projet'!B13="",'Données projet'!C13="",'Données projet'!C13=0%),0,Calculateur!CZ3)</f>
        <v>145.34368562171613</v>
      </c>
      <c r="E10" s="153">
        <f t="shared" ca="1" si="0"/>
        <v>145.34368562171613</v>
      </c>
      <c r="F10" s="153">
        <f t="shared" ca="1" si="1"/>
        <v>51.160977338844084</v>
      </c>
      <c r="G10" s="153">
        <f ca="1">F10*(100%-'Données projet'!$C$24)*(100%-'Données projet'!$C$25)*(100%-'Données projet'!$C$26)*(100%-'Données projet'!$C$27)</f>
        <v>46.044879604959675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0</v>
      </c>
      <c r="K10" s="157">
        <f>J10*(100%-'Données projet'!$C$24)*(100%-'Données projet'!$C$25)*(100%-'Données projet'!$C$26)*(100%-'Données projet'!$C$27)</f>
        <v>0</v>
      </c>
      <c r="L10" s="158">
        <f t="shared" ca="1" si="2"/>
        <v>46.044879604959675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9" t="str">
        <f>IF('Données projet'!$B$14="","",'Données projet'!$B$14)</f>
        <v>Bouleau verruqueux</v>
      </c>
      <c r="B11" s="160">
        <f>'Données projet'!D14</f>
        <v>0.11000000000000001</v>
      </c>
      <c r="C11" s="153">
        <f ca="1">IF(OR('Données projet'!B14="",'Données projet'!C14="",'Données projet'!C14=0%),0,Calculateur!DT3)</f>
        <v>256.19915261735281</v>
      </c>
      <c r="D11" s="153">
        <f>IF(OR('Données projet'!B14="",'Données projet'!C14="",'Données projet'!C14=0%),0,Calculateur!DU3)</f>
        <v>297.47246687305056</v>
      </c>
      <c r="E11" s="153">
        <f t="shared" ca="1" si="0"/>
        <v>256.19915261735281</v>
      </c>
      <c r="F11" s="153">
        <f t="shared" ca="1" si="1"/>
        <v>28.181906787908812</v>
      </c>
      <c r="G11" s="153">
        <f ca="1">F11*(100%-'Données projet'!$C$24)*(100%-'Données projet'!$C$25)*(100%-'Données projet'!$C$26)*(100%-'Données projet'!$C$27)</f>
        <v>25.363716109117931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1.1000000000000001</v>
      </c>
      <c r="K11" s="157">
        <f>J11*(100%-'Données projet'!$C$24)*(100%-'Données projet'!$C$25)*(100%-'Données projet'!$C$26)*(100%-'Données projet'!$C$27)</f>
        <v>0.9900000000000001</v>
      </c>
      <c r="L11" s="158">
        <f t="shared" ca="1" si="2"/>
        <v>26.353716109117929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projet'!$B$15,Paramètres!$A$1:$I$89,9,0)*B12)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3"/>
      <c r="B16" s="230"/>
      <c r="C16" s="231"/>
      <c r="D16" s="25"/>
      <c r="E16" s="25"/>
      <c r="F16" s="171">
        <f t="shared" ref="F16:L16" ca="1" si="3">SUM(F6:F15)</f>
        <v>547.82585059520716</v>
      </c>
      <c r="G16" s="172">
        <f t="shared" ca="1" si="3"/>
        <v>493.04326553568649</v>
      </c>
      <c r="H16" s="173">
        <f t="shared" si="3"/>
        <v>0</v>
      </c>
      <c r="I16" s="173">
        <f t="shared" si="3"/>
        <v>0</v>
      </c>
      <c r="J16" s="174">
        <f t="shared" si="3"/>
        <v>28.308500000000006</v>
      </c>
      <c r="K16" s="174">
        <f t="shared" si="3"/>
        <v>25.477650000000004</v>
      </c>
      <c r="L16" s="175">
        <f t="shared" ca="1" si="3"/>
        <v>518.52091553568653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3"/>
      <c r="B17" s="230"/>
      <c r="C17" s="231"/>
      <c r="D17" s="228"/>
      <c r="E17" s="228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3"/>
      <c r="B18" s="230"/>
      <c r="C18" s="231"/>
      <c r="D18" s="228"/>
      <c r="E18" s="228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6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6" t="str">
        <f>A7</f>
        <v>Erable sycomore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6" t="str">
        <f>A8</f>
        <v>Châtaignier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6" t="str">
        <f>A9</f>
        <v>Merisier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6" t="str">
        <f>A10</f>
        <v>Cèdre de l'Atlas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6" t="str">
        <f>A11</f>
        <v>Bouleau verruqueux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6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6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6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G1" zoomScale="80" zoomScaleNormal="80" workbookViewId="0">
      <selection activeCell="P24" sqref="P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25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25">
      <c r="A4" s="96"/>
      <c r="B4" s="96"/>
      <c r="C4" s="96"/>
      <c r="D4" s="96"/>
      <c r="E4" s="96"/>
      <c r="G4" s="177"/>
      <c r="H4" s="322" t="s">
        <v>315</v>
      </c>
      <c r="I4" s="322"/>
      <c r="K4" s="319" t="s">
        <v>253</v>
      </c>
      <c r="L4" s="320"/>
      <c r="M4" s="265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25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.75" thickBot="1" x14ac:dyDescent="0.3">
      <c r="A6" s="96"/>
      <c r="B6" s="96"/>
      <c r="C6" s="96"/>
      <c r="D6" s="96"/>
      <c r="E6" s="96"/>
      <c r="F6" s="226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45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0" t="s">
        <v>310</v>
      </c>
      <c r="S7" s="331"/>
      <c r="T7" s="331"/>
      <c r="U7" s="331"/>
      <c r="V7" s="332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25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2" t="str">
        <f>B14</f>
        <v>Chêne sessile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7">
        <f>'Données projet'!D9</f>
        <v>0.68200000000000005</v>
      </c>
      <c r="V10" s="186">
        <f>U10*T10</f>
        <v>483.81564320499456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2" t="str">
        <f>B45</f>
        <v>Erable sycomore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988.13459139751603</v>
      </c>
      <c r="U11" s="187">
        <f>'Données projet'!D10</f>
        <v>0.35200000000000004</v>
      </c>
      <c r="V11" s="186">
        <f t="shared" ref="V11" si="0">U11*T11</f>
        <v>347.8233761719257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2" t="str">
        <f>B76</f>
        <v>Châtaignier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1166.4310210618873</v>
      </c>
      <c r="U12" s="187">
        <f>'Données projet'!D11</f>
        <v>0.35200000000000004</v>
      </c>
      <c r="V12" s="186">
        <f t="shared" ref="V12:V19" si="1">U12*T12</f>
        <v>410.58371941378437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8"/>
      <c r="J13" s="25"/>
      <c r="K13" s="222"/>
      <c r="L13" s="181" t="s">
        <v>257</v>
      </c>
      <c r="M13" s="25"/>
      <c r="N13" s="25"/>
      <c r="O13" s="25"/>
      <c r="P13" s="25"/>
      <c r="Q13" s="262"/>
      <c r="R13" s="25"/>
      <c r="S13" s="182" t="str">
        <f>B107</f>
        <v>Merisier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3089.9985773232406</v>
      </c>
      <c r="U13" s="187">
        <f>'Données projet'!D12</f>
        <v>0.35200000000000004</v>
      </c>
      <c r="V13" s="186">
        <f t="shared" si="1"/>
        <v>1087.6794992177809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3" t="str">
        <f>IF('Données projet'!$B$9="","",'Données projet'!$B$9)</f>
        <v>Chêne sessile</v>
      </c>
      <c r="C14" s="5"/>
      <c r="D14" s="5"/>
      <c r="E14" s="5"/>
      <c r="F14" s="258"/>
      <c r="G14" s="218"/>
      <c r="H14" s="182" t="s">
        <v>178</v>
      </c>
      <c r="I14" s="182" t="s">
        <v>290</v>
      </c>
      <c r="J14" s="212"/>
      <c r="K14" s="180"/>
      <c r="L14" s="214"/>
      <c r="M14" s="25"/>
      <c r="N14" s="25"/>
      <c r="O14" s="5"/>
      <c r="P14" s="5"/>
      <c r="Q14" s="263"/>
      <c r="R14" s="5"/>
      <c r="S14" s="182" t="str">
        <f>B138</f>
        <v>Cèdre de l'Atlas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800.53718012488901</v>
      </c>
      <c r="U14" s="187">
        <f>'Données projet'!D13</f>
        <v>0.35200000000000004</v>
      </c>
      <c r="V14" s="186">
        <f t="shared" si="1"/>
        <v>281.78908740396093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8"/>
      <c r="G15" s="323" t="s">
        <v>318</v>
      </c>
      <c r="H15" s="200"/>
      <c r="I15" s="201"/>
      <c r="J15" s="213"/>
      <c r="K15" s="222"/>
      <c r="L15" s="214"/>
      <c r="M15" s="25"/>
      <c r="N15" s="25"/>
      <c r="O15" s="25"/>
      <c r="P15" s="25"/>
      <c r="Q15" s="262"/>
      <c r="R15" s="25"/>
      <c r="S15" s="182" t="str">
        <f>B169</f>
        <v>Bouleau verruqueux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1355.5466758625269</v>
      </c>
      <c r="U15" s="187">
        <f>'Données projet'!D14</f>
        <v>0.11000000000000001</v>
      </c>
      <c r="V15" s="186">
        <f t="shared" si="1"/>
        <v>149.11013434487796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3"/>
      <c r="H16" s="200"/>
      <c r="I16" s="201"/>
      <c r="J16" s="213"/>
      <c r="K16" s="222"/>
      <c r="L16" s="319" t="s">
        <v>254</v>
      </c>
      <c r="M16" s="320"/>
      <c r="N16" s="2"/>
      <c r="O16" s="25"/>
      <c r="P16" s="25"/>
      <c r="Q16" s="262"/>
      <c r="R16" s="25"/>
      <c r="S16" s="182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7">
        <f>'Données projet'!D15</f>
        <v>0</v>
      </c>
      <c r="V16" s="186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7">
        <v>0</v>
      </c>
      <c r="B17" s="210" t="s">
        <v>132</v>
      </c>
      <c r="C17" s="209" t="s">
        <v>132</v>
      </c>
      <c r="D17" s="208" t="s">
        <v>132</v>
      </c>
      <c r="E17" s="203"/>
      <c r="F17" s="258"/>
      <c r="G17" s="323"/>
      <c r="J17" s="213"/>
      <c r="K17" s="222"/>
      <c r="L17" s="290" t="s">
        <v>289</v>
      </c>
      <c r="M17" s="292"/>
      <c r="N17" s="184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2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7">
        <f>'Données projet'!D16</f>
        <v>0</v>
      </c>
      <c r="V17" s="186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7">
        <v>1</v>
      </c>
      <c r="B18" s="210" t="s">
        <v>132</v>
      </c>
      <c r="C18" s="209" t="s">
        <v>132</v>
      </c>
      <c r="D18" s="208" t="s">
        <v>132</v>
      </c>
      <c r="E18" s="203"/>
      <c r="F18" s="258"/>
      <c r="G18" s="323"/>
      <c r="J18" s="213"/>
      <c r="K18" s="222"/>
      <c r="L18" s="290" t="s">
        <v>255</v>
      </c>
      <c r="M18" s="292"/>
      <c r="N18" s="202"/>
      <c r="O18" s="25"/>
      <c r="P18" s="25"/>
      <c r="Q18" s="262"/>
      <c r="R18" s="25"/>
      <c r="S18" s="182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7">
        <f>'Données projet'!D17</f>
        <v>0</v>
      </c>
      <c r="V18" s="186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7">
        <v>2</v>
      </c>
      <c r="B19" s="210" t="s">
        <v>132</v>
      </c>
      <c r="C19" s="209" t="s">
        <v>132</v>
      </c>
      <c r="D19" s="208" t="s">
        <v>132</v>
      </c>
      <c r="E19" s="203"/>
      <c r="F19" s="258"/>
      <c r="G19" s="323"/>
      <c r="H19" s="229" t="s">
        <v>178</v>
      </c>
      <c r="I19" s="229" t="s">
        <v>287</v>
      </c>
      <c r="J19" s="257"/>
      <c r="K19" s="180"/>
      <c r="L19" s="319" t="s">
        <v>288</v>
      </c>
      <c r="M19" s="320"/>
      <c r="N19" s="188">
        <f>N17*N18</f>
        <v>0</v>
      </c>
      <c r="O19" s="25"/>
      <c r="P19" s="5"/>
      <c r="Q19" s="263"/>
      <c r="R19" s="5"/>
      <c r="S19" s="182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7">
        <v>3</v>
      </c>
      <c r="B20" s="210" t="s">
        <v>132</v>
      </c>
      <c r="C20" s="209" t="s">
        <v>132</v>
      </c>
      <c r="D20" s="208" t="s">
        <v>132</v>
      </c>
      <c r="E20" s="203"/>
      <c r="F20" s="258"/>
      <c r="G20" s="323"/>
      <c r="H20" s="200">
        <v>0</v>
      </c>
      <c r="I20" s="201">
        <f>17269/2.2</f>
        <v>7849.545454545454</v>
      </c>
      <c r="J20" s="5"/>
      <c r="K20" s="180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7">
        <v>4</v>
      </c>
      <c r="B21" s="210" t="s">
        <v>132</v>
      </c>
      <c r="C21" s="209" t="s">
        <v>132</v>
      </c>
      <c r="D21" s="208" t="s">
        <v>132</v>
      </c>
      <c r="E21" s="203"/>
      <c r="F21" s="258"/>
      <c r="H21" s="200"/>
      <c r="I21" s="201"/>
      <c r="K21" s="180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7">
        <v>5</v>
      </c>
      <c r="B22" s="210" t="s">
        <v>132</v>
      </c>
      <c r="C22" s="209" t="s">
        <v>132</v>
      </c>
      <c r="D22" s="208" t="s">
        <v>132</v>
      </c>
      <c r="E22" s="203"/>
      <c r="F22" s="258"/>
      <c r="H22" s="200"/>
      <c r="I22" s="201"/>
      <c r="K22" s="180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9">
        <f>'Données projet'!A36</f>
        <v>20</v>
      </c>
      <c r="B23" s="190">
        <f>'Données projet'!D36</f>
        <v>0</v>
      </c>
      <c r="C23" s="201"/>
      <c r="D23" s="191">
        <f>B23*C23</f>
        <v>0</v>
      </c>
      <c r="E23" s="203"/>
      <c r="F23" s="258"/>
      <c r="H23" s="200"/>
      <c r="I23" s="201"/>
      <c r="K23" s="222"/>
      <c r="L23" s="321" t="s">
        <v>260</v>
      </c>
      <c r="M23" s="321"/>
      <c r="N23" s="321"/>
      <c r="O23" s="25"/>
      <c r="P23" s="25"/>
      <c r="Q23" s="262"/>
      <c r="R23" s="25"/>
      <c r="S23" s="182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-14508.198540242676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9">
        <f>'Données projet'!A37</f>
        <v>25</v>
      </c>
      <c r="B24" s="190">
        <f>'Données projet'!D37</f>
        <v>0</v>
      </c>
      <c r="C24" s="201"/>
      <c r="D24" s="191">
        <f t="shared" ref="D24:D42" si="2">B24*C24</f>
        <v>0</v>
      </c>
      <c r="E24" s="203"/>
      <c r="F24" s="261"/>
      <c r="H24" s="200"/>
      <c r="I24" s="201"/>
      <c r="K24" s="222"/>
      <c r="O24" s="25"/>
      <c r="P24" s="25"/>
      <c r="Q24" s="262"/>
      <c r="R24" s="25"/>
      <c r="S24" s="182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15233.167514896913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9">
        <f>'Données projet'!A38</f>
        <v>30</v>
      </c>
      <c r="B25" s="190">
        <f>'Données projet'!D38</f>
        <v>29</v>
      </c>
      <c r="C25" s="201">
        <v>10</v>
      </c>
      <c r="D25" s="191">
        <f t="shared" si="2"/>
        <v>290</v>
      </c>
      <c r="E25" s="203"/>
      <c r="F25" s="261"/>
      <c r="G25" s="1"/>
      <c r="H25" s="200"/>
      <c r="I25" s="201"/>
      <c r="K25" s="222"/>
      <c r="L25" s="268" t="s">
        <v>285</v>
      </c>
      <c r="M25" s="268"/>
      <c r="N25" s="268"/>
      <c r="O25" s="268"/>
      <c r="P25" s="202">
        <v>320</v>
      </c>
      <c r="Q25" s="262"/>
      <c r="R25" s="25"/>
      <c r="S25" s="195" t="s">
        <v>266</v>
      </c>
      <c r="T25" s="337">
        <f ca="1">T23-T24</f>
        <v>-29741.366055139588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9">
        <f>'Données projet'!A39</f>
        <v>35</v>
      </c>
      <c r="B26" s="190">
        <f>'Données projet'!D39</f>
        <v>0</v>
      </c>
      <c r="C26" s="201"/>
      <c r="D26" s="191">
        <f t="shared" si="2"/>
        <v>0</v>
      </c>
      <c r="E26" s="203"/>
      <c r="F26" s="261"/>
      <c r="G26" s="256"/>
      <c r="H26" s="200"/>
      <c r="I26" s="201"/>
      <c r="K26" s="222"/>
      <c r="L26" s="324" t="s">
        <v>258</v>
      </c>
      <c r="M26" s="325"/>
      <c r="N26" s="325"/>
      <c r="O26" s="325"/>
      <c r="P26" s="326"/>
      <c r="Q26" s="262"/>
      <c r="R26" s="25"/>
      <c r="S26" s="195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9">
        <f>'Données projet'!A40</f>
        <v>40</v>
      </c>
      <c r="B27" s="190">
        <f>'Données projet'!D40</f>
        <v>42</v>
      </c>
      <c r="C27" s="201">
        <v>10</v>
      </c>
      <c r="D27" s="191">
        <f t="shared" si="2"/>
        <v>420</v>
      </c>
      <c r="E27" s="203"/>
      <c r="F27" s="261"/>
      <c r="G27" s="256"/>
      <c r="H27" s="200"/>
      <c r="I27" s="201"/>
      <c r="K27" s="222"/>
      <c r="L27" s="327"/>
      <c r="M27" s="328"/>
      <c r="N27" s="328"/>
      <c r="O27" s="328"/>
      <c r="P27" s="329"/>
      <c r="Q27" s="262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9">
        <f>'Données projet'!A41</f>
        <v>45</v>
      </c>
      <c r="B28" s="190">
        <f>'Données projet'!D41</f>
        <v>0</v>
      </c>
      <c r="C28" s="201"/>
      <c r="D28" s="191">
        <f t="shared" si="2"/>
        <v>0</v>
      </c>
      <c r="E28" s="203"/>
      <c r="F28" s="261"/>
      <c r="G28" s="219"/>
      <c r="H28" s="200"/>
      <c r="I28" s="201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9">
        <f>'Données projet'!A42</f>
        <v>50</v>
      </c>
      <c r="B29" s="190">
        <f>'Données projet'!D42</f>
        <v>42</v>
      </c>
      <c r="C29" s="201">
        <v>15</v>
      </c>
      <c r="D29" s="191">
        <f t="shared" si="2"/>
        <v>630</v>
      </c>
      <c r="E29" s="203"/>
      <c r="F29" s="261"/>
      <c r="G29" s="215"/>
      <c r="H29" s="200"/>
      <c r="I29" s="201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9">
        <f>'Données projet'!A43</f>
        <v>55</v>
      </c>
      <c r="B30" s="190">
        <f>'Données projet'!D43</f>
        <v>0</v>
      </c>
      <c r="C30" s="201"/>
      <c r="D30" s="191">
        <f t="shared" si="2"/>
        <v>0</v>
      </c>
      <c r="E30" s="203"/>
      <c r="F30" s="261"/>
      <c r="G30" s="215"/>
      <c r="H30" s="200"/>
      <c r="I30" s="201"/>
      <c r="K30" s="192"/>
      <c r="L30" s="182" t="s">
        <v>259</v>
      </c>
      <c r="M30" s="193">
        <f ca="1">SUM(OFFSET($P$33,0,0,MIN('Données projet'!$E$9:$E$18)+1,1))</f>
        <v>6924.1670522258692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9">
        <f>'Données projet'!A44</f>
        <v>60</v>
      </c>
      <c r="B31" s="190">
        <f>'Données projet'!D44</f>
        <v>42</v>
      </c>
      <c r="C31" s="201">
        <v>20</v>
      </c>
      <c r="D31" s="191">
        <f t="shared" si="2"/>
        <v>840</v>
      </c>
      <c r="E31" s="203"/>
      <c r="F31" s="261"/>
      <c r="G31" s="215"/>
      <c r="H31" s="200"/>
      <c r="I31" s="201"/>
      <c r="K31" s="180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9">
        <f>'Données projet'!A45</f>
        <v>65</v>
      </c>
      <c r="B32" s="190">
        <f>'Données projet'!D45</f>
        <v>0</v>
      </c>
      <c r="C32" s="201"/>
      <c r="D32" s="191">
        <f t="shared" si="2"/>
        <v>0</v>
      </c>
      <c r="E32" s="203"/>
      <c r="F32" s="261"/>
      <c r="G32" s="215"/>
      <c r="H32" s="200"/>
      <c r="I32" s="201"/>
      <c r="K32" s="180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9">
        <f>'Données projet'!A46</f>
        <v>70</v>
      </c>
      <c r="B33" s="190">
        <f>'Données projet'!D46</f>
        <v>42</v>
      </c>
      <c r="C33" s="201">
        <v>40</v>
      </c>
      <c r="D33" s="191">
        <f t="shared" si="2"/>
        <v>1680</v>
      </c>
      <c r="E33" s="203"/>
      <c r="F33" s="261"/>
      <c r="G33" s="215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320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9">
        <f>'Données projet'!A47</f>
        <v>75</v>
      </c>
      <c r="B34" s="190">
        <f>'Données projet'!D47</f>
        <v>0</v>
      </c>
      <c r="C34" s="201"/>
      <c r="D34" s="191">
        <f t="shared" si="2"/>
        <v>0</v>
      </c>
      <c r="E34" s="203"/>
      <c r="F34" s="261"/>
      <c r="G34" s="215"/>
      <c r="H34" s="200"/>
      <c r="I34" s="201"/>
      <c r="K34" s="180"/>
      <c r="L34" s="280"/>
      <c r="M34" s="280"/>
      <c r="N34" s="281"/>
      <c r="O34" s="204">
        <f>IF(O33+1&lt;=MIN('Données projet'!$E$9:$E$18),O33+1,"STOP")</f>
        <v>1</v>
      </c>
      <c r="P34" s="194">
        <f t="shared" si="3"/>
        <v>306.22009569377991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9">
        <f>'Données projet'!A48</f>
        <v>80</v>
      </c>
      <c r="B35" s="190">
        <f>'Données projet'!D48</f>
        <v>42</v>
      </c>
      <c r="C35" s="201">
        <v>60</v>
      </c>
      <c r="D35" s="191">
        <f t="shared" si="2"/>
        <v>2520</v>
      </c>
      <c r="E35" s="203"/>
      <c r="F35" s="261"/>
      <c r="G35" s="215"/>
      <c r="H35" s="200"/>
      <c r="I35" s="201"/>
      <c r="K35" s="180"/>
      <c r="L35" s="280"/>
      <c r="M35" s="280"/>
      <c r="N35" s="281"/>
      <c r="O35" s="204">
        <f>IF(O34+1&lt;=MIN('Données projet'!$E$9:$E$18),O34+1,"STOP")</f>
        <v>2</v>
      </c>
      <c r="P35" s="194">
        <f t="shared" si="3"/>
        <v>293.03358439596167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9">
        <f>'Données projet'!A49</f>
        <v>90</v>
      </c>
      <c r="B36" s="190">
        <f>'Données projet'!D49</f>
        <v>42</v>
      </c>
      <c r="C36" s="201">
        <v>80</v>
      </c>
      <c r="D36" s="191">
        <f t="shared" si="2"/>
        <v>3360</v>
      </c>
      <c r="E36" s="203"/>
      <c r="F36" s="261"/>
      <c r="G36" s="215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280.41491329757099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9">
        <f>'Données projet'!A50</f>
        <v>100</v>
      </c>
      <c r="B37" s="190">
        <f>'Données projet'!D50</f>
        <v>42</v>
      </c>
      <c r="C37" s="201">
        <v>100</v>
      </c>
      <c r="D37" s="191">
        <f t="shared" si="2"/>
        <v>4200</v>
      </c>
      <c r="E37" s="203"/>
      <c r="F37" s="261"/>
      <c r="G37" s="215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268.33962994982875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9">
        <f>'Données projet'!A51</f>
        <v>110</v>
      </c>
      <c r="B38" s="190">
        <f>'Données projet'!D51</f>
        <v>39</v>
      </c>
      <c r="C38" s="201">
        <v>110</v>
      </c>
      <c r="D38" s="191">
        <f t="shared" si="2"/>
        <v>4290</v>
      </c>
      <c r="E38" s="203"/>
      <c r="F38" s="261"/>
      <c r="G38" s="215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256.78433488021892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9">
        <f>'Données projet'!A52</f>
        <v>120</v>
      </c>
      <c r="B39" s="190">
        <f>'Données projet'!D52</f>
        <v>35</v>
      </c>
      <c r="C39" s="201">
        <v>130</v>
      </c>
      <c r="D39" s="191">
        <f t="shared" si="2"/>
        <v>4550</v>
      </c>
      <c r="E39" s="203"/>
      <c r="F39" s="261"/>
      <c r="G39" s="215"/>
      <c r="H39" s="200"/>
      <c r="I39" s="201"/>
      <c r="K39" s="222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245.72663624901338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9">
        <f>'Données projet'!A53</f>
        <v>130</v>
      </c>
      <c r="B40" s="190">
        <f>'Données projet'!D53</f>
        <v>31</v>
      </c>
      <c r="C40" s="201">
        <v>150</v>
      </c>
      <c r="D40" s="191">
        <f t="shared" si="2"/>
        <v>4650</v>
      </c>
      <c r="E40" s="203"/>
      <c r="F40" s="261"/>
      <c r="G40" s="215"/>
      <c r="H40" s="200"/>
      <c r="I40" s="201"/>
      <c r="K40" s="222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235.14510645838598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9">
        <f>'Données projet'!A54</f>
        <v>140</v>
      </c>
      <c r="B41" s="190">
        <f>'Données projet'!D54</f>
        <v>27</v>
      </c>
      <c r="C41" s="201">
        <v>200</v>
      </c>
      <c r="D41" s="191">
        <f t="shared" si="2"/>
        <v>5400</v>
      </c>
      <c r="E41" s="203"/>
      <c r="F41" s="261"/>
      <c r="G41" s="215"/>
      <c r="H41" s="200"/>
      <c r="I41" s="201"/>
      <c r="K41" s="222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225.01924063003452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9">
        <f>'Données projet'!A55</f>
        <v>150</v>
      </c>
      <c r="B42" s="190">
        <f>'Données projet'!D55</f>
        <v>293</v>
      </c>
      <c r="C42" s="201">
        <v>200</v>
      </c>
      <c r="D42" s="191">
        <f t="shared" si="2"/>
        <v>58600</v>
      </c>
      <c r="E42" s="203"/>
      <c r="F42" s="261"/>
      <c r="G42" s="215"/>
      <c r="H42" s="200"/>
      <c r="I42" s="201"/>
      <c r="K42" s="222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215.32941687084644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6"/>
      <c r="B43" s="196"/>
      <c r="C43" s="196"/>
      <c r="D43" s="253"/>
      <c r="E43" s="253"/>
      <c r="F43" s="266"/>
      <c r="G43" s="215"/>
      <c r="H43" s="200"/>
      <c r="I43" s="201"/>
      <c r="K43" s="222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206.05685824961384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8"/>
      <c r="G44" s="215"/>
      <c r="H44" s="200"/>
      <c r="I44" s="201"/>
      <c r="K44" s="222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197.18359641111374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3" t="str">
        <f>IF('Données projet'!$B$10="","",'Données projet'!$B$10)</f>
        <v>Erable sycomore</v>
      </c>
      <c r="C45" s="5"/>
      <c r="D45" s="5"/>
      <c r="E45" s="5"/>
      <c r="F45" s="258"/>
      <c r="G45" s="215"/>
      <c r="H45" s="200"/>
      <c r="I45" s="201"/>
      <c r="J45" s="25"/>
      <c r="K45" s="222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188.69243675704666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8"/>
      <c r="G46" s="215"/>
      <c r="H46" s="200"/>
      <c r="I46" s="201"/>
      <c r="J46" s="25"/>
      <c r="K46" s="222"/>
      <c r="L46" s="217"/>
      <c r="M46" s="217"/>
      <c r="N46" s="217"/>
      <c r="O46" s="204">
        <f>IF(O45+1&lt;=MIN('Données projet'!$E$9:$E$18),O45+1,"STOP")</f>
        <v>13</v>
      </c>
      <c r="P46" s="197">
        <f t="shared" si="3"/>
        <v>180.56692512636045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0"/>
      <c r="I47" s="201"/>
      <c r="J47" s="25"/>
      <c r="K47" s="222"/>
      <c r="L47" s="5"/>
      <c r="M47" s="5"/>
      <c r="N47" s="5"/>
      <c r="O47" s="204">
        <f>IF(O46+1&lt;=MIN('Données projet'!$E$9:$E$18),O46+1,"STOP")</f>
        <v>14</v>
      </c>
      <c r="P47" s="194">
        <f t="shared" si="3"/>
        <v>172.79131591039283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7">
        <v>0</v>
      </c>
      <c r="B48" s="210" t="s">
        <v>132</v>
      </c>
      <c r="C48" s="209" t="s">
        <v>132</v>
      </c>
      <c r="D48" s="208" t="s">
        <v>132</v>
      </c>
      <c r="E48" s="203"/>
      <c r="F48" s="259"/>
      <c r="G48" s="215"/>
      <c r="H48" s="200"/>
      <c r="I48" s="201"/>
      <c r="J48" s="25"/>
      <c r="K48" s="222"/>
      <c r="L48" s="5"/>
      <c r="M48" s="5"/>
      <c r="N48" s="5"/>
      <c r="O48" s="204">
        <f>IF(O47+1&lt;=MIN('Données projet'!$E$9:$E$18),O47+1,"STOP")</f>
        <v>15</v>
      </c>
      <c r="P48" s="194">
        <f t="shared" si="3"/>
        <v>165.35054154104574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25">
      <c r="A49" s="207">
        <v>1</v>
      </c>
      <c r="B49" s="210" t="s">
        <v>132</v>
      </c>
      <c r="C49" s="209" t="s">
        <v>132</v>
      </c>
      <c r="D49" s="208" t="s">
        <v>132</v>
      </c>
      <c r="E49" s="203"/>
      <c r="F49" s="259"/>
      <c r="G49" s="216"/>
      <c r="H49" s="200"/>
      <c r="I49" s="201"/>
      <c r="J49" s="217"/>
      <c r="K49" s="224"/>
      <c r="L49" s="5"/>
      <c r="M49" s="5"/>
      <c r="N49" s="5"/>
      <c r="O49" s="204">
        <f>IF(O48+1&lt;=MIN('Données projet'!$E$9:$E$18),O48+1,"STOP")</f>
        <v>16</v>
      </c>
      <c r="P49" s="194">
        <f t="shared" si="3"/>
        <v>158.2301832928668</v>
      </c>
      <c r="Q49" s="264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25">
      <c r="A50" s="207">
        <v>2</v>
      </c>
      <c r="B50" s="210" t="s">
        <v>132</v>
      </c>
      <c r="C50" s="209" t="s">
        <v>132</v>
      </c>
      <c r="D50" s="208" t="s">
        <v>132</v>
      </c>
      <c r="E50" s="203"/>
      <c r="F50" s="259"/>
      <c r="G50" s="218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151.41644334245626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7">
        <v>3</v>
      </c>
      <c r="B51" s="210" t="s">
        <v>132</v>
      </c>
      <c r="C51" s="209" t="s">
        <v>132</v>
      </c>
      <c r="D51" s="208" t="s">
        <v>132</v>
      </c>
      <c r="E51" s="203"/>
      <c r="F51" s="259"/>
      <c r="G51" s="218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144.89611803105865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7">
        <v>4</v>
      </c>
      <c r="B52" s="210" t="s">
        <v>132</v>
      </c>
      <c r="C52" s="209" t="s">
        <v>132</v>
      </c>
      <c r="D52" s="208" t="s">
        <v>132</v>
      </c>
      <c r="E52" s="203"/>
      <c r="F52" s="259"/>
      <c r="G52" s="218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138.65657227852503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7">
        <v>5</v>
      </c>
      <c r="B53" s="210" t="s">
        <v>132</v>
      </c>
      <c r="C53" s="209" t="s">
        <v>132</v>
      </c>
      <c r="D53" s="208" t="s">
        <v>132</v>
      </c>
      <c r="E53" s="203"/>
      <c r="F53" s="259"/>
      <c r="G53" s="219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132.68571509906707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9">
        <f>'Données projet'!A62</f>
        <v>15</v>
      </c>
      <c r="B54" s="190">
        <f>'Données projet'!D62</f>
        <v>0</v>
      </c>
      <c r="C54" s="203"/>
      <c r="D54" s="188">
        <f>B54*C54</f>
        <v>0</v>
      </c>
      <c r="E54" s="203"/>
      <c r="F54" s="260"/>
      <c r="G54" s="219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126.97197617135602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9">
        <f>'Données projet'!A63</f>
        <v>20</v>
      </c>
      <c r="B55" s="190">
        <f>'Données projet'!D63</f>
        <v>43</v>
      </c>
      <c r="C55" s="201">
        <v>10</v>
      </c>
      <c r="D55" s="188">
        <f t="shared" ref="D55:D73" si="4">B55*C55</f>
        <v>430</v>
      </c>
      <c r="E55" s="203"/>
      <c r="F55" s="260"/>
      <c r="G55" s="219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121.50428341756562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9">
        <f>'Données projet'!A64</f>
        <v>25</v>
      </c>
      <c r="B56" s="190">
        <f>'Données projet'!D64</f>
        <v>0</v>
      </c>
      <c r="C56" s="201"/>
      <c r="D56" s="188">
        <f t="shared" si="4"/>
        <v>0</v>
      </c>
      <c r="E56" s="203"/>
      <c r="F56" s="260"/>
      <c r="G56" s="219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116.27204154790967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9">
        <f>'Données projet'!A65</f>
        <v>30</v>
      </c>
      <c r="B57" s="190">
        <f>'Données projet'!D65</f>
        <v>56</v>
      </c>
      <c r="C57" s="201">
        <v>10</v>
      </c>
      <c r="D57" s="188">
        <f t="shared" si="4"/>
        <v>560</v>
      </c>
      <c r="E57" s="203"/>
      <c r="F57" s="260"/>
      <c r="G57" s="219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111.26511152910018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9">
        <f>'Données projet'!A66</f>
        <v>35</v>
      </c>
      <c r="B58" s="190">
        <f>'Données projet'!D66</f>
        <v>0</v>
      </c>
      <c r="C58" s="201"/>
      <c r="D58" s="188">
        <f t="shared" si="4"/>
        <v>0</v>
      </c>
      <c r="E58" s="203"/>
      <c r="F58" s="260"/>
      <c r="G58" s="219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106.47379093693799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9">
        <f>'Données projet'!A67</f>
        <v>40</v>
      </c>
      <c r="B59" s="190">
        <f>'Données projet'!D67</f>
        <v>56</v>
      </c>
      <c r="C59" s="201">
        <v>20</v>
      </c>
      <c r="D59" s="188">
        <f t="shared" si="4"/>
        <v>1120</v>
      </c>
      <c r="E59" s="203"/>
      <c r="F59" s="260"/>
      <c r="G59" s="219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101.88879515496461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9">
        <f>'Données projet'!A68</f>
        <v>45</v>
      </c>
      <c r="B60" s="190">
        <f>'Données projet'!D68</f>
        <v>0</v>
      </c>
      <c r="C60" s="201"/>
      <c r="D60" s="188">
        <f t="shared" si="4"/>
        <v>0</v>
      </c>
      <c r="E60" s="203"/>
      <c r="F60" s="260"/>
      <c r="G60" s="220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97.501239382741247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9">
        <f>'Données projet'!A69</f>
        <v>50</v>
      </c>
      <c r="B61" s="190">
        <f>'Données projet'!D69</f>
        <v>39</v>
      </c>
      <c r="C61" s="201">
        <v>30</v>
      </c>
      <c r="D61" s="188">
        <f t="shared" si="4"/>
        <v>1170</v>
      </c>
      <c r="E61" s="203"/>
      <c r="F61" s="260"/>
      <c r="G61" s="220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93.302621418891164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9">
        <f>'Données projet'!A70</f>
        <v>55</v>
      </c>
      <c r="B62" s="190">
        <f>'Données projet'!D70</f>
        <v>0</v>
      </c>
      <c r="C62" s="201"/>
      <c r="D62" s="188">
        <f t="shared" si="4"/>
        <v>0</v>
      </c>
      <c r="E62" s="203"/>
      <c r="F62" s="260"/>
      <c r="G62" s="220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89.284805185541771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9">
        <f>'Données projet'!A71</f>
        <v>60</v>
      </c>
      <c r="B63" s="190">
        <f>'Données projet'!D71</f>
        <v>25</v>
      </c>
      <c r="C63" s="201">
        <v>30</v>
      </c>
      <c r="D63" s="188">
        <f t="shared" si="4"/>
        <v>750</v>
      </c>
      <c r="E63" s="203"/>
      <c r="F63" s="260"/>
      <c r="G63" s="220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85.440004962240963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9">
        <f>'Données projet'!A72</f>
        <v>65</v>
      </c>
      <c r="B64" s="190">
        <f>'Données projet'!D72</f>
        <v>0</v>
      </c>
      <c r="C64" s="201"/>
      <c r="D64" s="188">
        <f t="shared" si="4"/>
        <v>0</v>
      </c>
      <c r="E64" s="203"/>
      <c r="F64" s="260"/>
      <c r="G64" s="220"/>
      <c r="H64" s="200"/>
      <c r="I64" s="201"/>
      <c r="J64" s="221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81.760770298795165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9">
        <f>'Données projet'!A73</f>
        <v>70</v>
      </c>
      <c r="B65" s="190">
        <f>'Données projet'!D73</f>
        <v>21</v>
      </c>
      <c r="C65" s="201">
        <v>40</v>
      </c>
      <c r="D65" s="188">
        <f t="shared" si="4"/>
        <v>840</v>
      </c>
      <c r="E65" s="203"/>
      <c r="F65" s="260"/>
      <c r="G65" s="220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78.239971577794449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9">
        <f>'Données projet'!A74</f>
        <v>75</v>
      </c>
      <c r="B66" s="190">
        <f>'Données projet'!D74</f>
        <v>9</v>
      </c>
      <c r="C66" s="201">
        <v>50</v>
      </c>
      <c r="D66" s="188">
        <f t="shared" si="4"/>
        <v>450</v>
      </c>
      <c r="E66" s="203"/>
      <c r="F66" s="260"/>
      <c r="G66" s="220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74.870786198846375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9">
        <f>'Données projet'!A75</f>
        <v>80</v>
      </c>
      <c r="B67" s="190">
        <f>'Données projet'!D75</f>
        <v>276</v>
      </c>
      <c r="C67" s="201">
        <v>50</v>
      </c>
      <c r="D67" s="188">
        <f t="shared" si="4"/>
        <v>13800</v>
      </c>
      <c r="E67" s="203"/>
      <c r="F67" s="260"/>
      <c r="G67" s="220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71.646685357747742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9">
        <f>'Données projet'!A76</f>
        <v>0</v>
      </c>
      <c r="B68" s="190">
        <f>'Données projet'!D76</f>
        <v>0</v>
      </c>
      <c r="C68" s="203">
        <v>50</v>
      </c>
      <c r="D68" s="188">
        <f t="shared" si="4"/>
        <v>0</v>
      </c>
      <c r="E68" s="203"/>
      <c r="F68" s="260"/>
      <c r="G68" s="220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68.56142139497392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9">
        <f>'Données projet'!A77</f>
        <v>0</v>
      </c>
      <c r="B69" s="190">
        <f>'Données projet'!D77</f>
        <v>0</v>
      </c>
      <c r="C69" s="203"/>
      <c r="D69" s="188">
        <f t="shared" si="4"/>
        <v>0</v>
      </c>
      <c r="E69" s="203"/>
      <c r="F69" s="260"/>
      <c r="G69" s="220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65.60901568897026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9">
        <f>'Données projet'!A78</f>
        <v>0</v>
      </c>
      <c r="B70" s="190">
        <f>'Données projet'!D78</f>
        <v>0</v>
      </c>
      <c r="C70" s="203"/>
      <c r="D70" s="188">
        <f t="shared" si="4"/>
        <v>0</v>
      </c>
      <c r="E70" s="203"/>
      <c r="F70" s="260"/>
      <c r="G70" s="220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62.783747070784948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9">
        <f>'Données projet'!A79</f>
        <v>0</v>
      </c>
      <c r="B71" s="190">
        <f>'Données projet'!D79</f>
        <v>0</v>
      </c>
      <c r="C71" s="203"/>
      <c r="D71" s="188">
        <f t="shared" si="4"/>
        <v>0</v>
      </c>
      <c r="E71" s="203"/>
      <c r="F71" s="260"/>
      <c r="G71" s="220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60.080140737593261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9">
        <f>'Données projet'!A80</f>
        <v>0</v>
      </c>
      <c r="B72" s="190">
        <f>'Données projet'!D80</f>
        <v>0</v>
      </c>
      <c r="C72" s="203"/>
      <c r="D72" s="188">
        <f t="shared" si="4"/>
        <v>0</v>
      </c>
      <c r="E72" s="203"/>
      <c r="F72" s="260"/>
      <c r="G72" s="220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57.492957643629914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9">
        <f>'Données projet'!A81</f>
        <v>0</v>
      </c>
      <c r="B73" s="190">
        <f>'Données projet'!D81</f>
        <v>0</v>
      </c>
      <c r="C73" s="203"/>
      <c r="D73" s="188">
        <f t="shared" si="4"/>
        <v>0</v>
      </c>
      <c r="E73" s="203"/>
      <c r="F73" s="260"/>
      <c r="G73" s="220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55.017184347971224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8"/>
      <c r="G74" s="220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52.648023299494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8"/>
      <c r="G75" s="220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50.380883540185657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3" t="str">
        <f>IF('Données projet'!B11="","",'Données projet'!B11)</f>
        <v>Châtaignier</v>
      </c>
      <c r="C76" s="5"/>
      <c r="D76" s="5"/>
      <c r="E76" s="5"/>
      <c r="F76" s="258"/>
      <c r="G76" s="220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48.211371808790098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8"/>
      <c r="G77" s="220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46.135284027550341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44.148597155550561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7">
        <v>0</v>
      </c>
      <c r="B79" s="210" t="s">
        <v>132</v>
      </c>
      <c r="C79" s="209" t="s">
        <v>132</v>
      </c>
      <c r="D79" s="208" t="s">
        <v>132</v>
      </c>
      <c r="E79" s="203"/>
      <c r="F79" s="259"/>
      <c r="G79" s="220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42.247461392871365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7">
        <v>1</v>
      </c>
      <c r="B80" s="210" t="s">
        <v>132</v>
      </c>
      <c r="C80" s="209" t="s">
        <v>132</v>
      </c>
      <c r="D80" s="208" t="s">
        <v>132</v>
      </c>
      <c r="E80" s="203"/>
      <c r="F80" s="259"/>
      <c r="G80" s="218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40.428192720451058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7">
        <v>2</v>
      </c>
      <c r="B81" s="210" t="s">
        <v>132</v>
      </c>
      <c r="C81" s="209" t="s">
        <v>132</v>
      </c>
      <c r="D81" s="208" t="s">
        <v>132</v>
      </c>
      <c r="E81" s="203"/>
      <c r="F81" s="259"/>
      <c r="G81" s="218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38.687265761197203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7">
        <v>3</v>
      </c>
      <c r="B82" s="210" t="s">
        <v>132</v>
      </c>
      <c r="C82" s="209" t="s">
        <v>132</v>
      </c>
      <c r="D82" s="208" t="s">
        <v>132</v>
      </c>
      <c r="E82" s="203"/>
      <c r="F82" s="259"/>
      <c r="G82" s="218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37.021306948514074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7">
        <v>4</v>
      </c>
      <c r="B83" s="210" t="s">
        <v>132</v>
      </c>
      <c r="C83" s="209" t="s">
        <v>132</v>
      </c>
      <c r="D83" s="208" t="s">
        <v>132</v>
      </c>
      <c r="E83" s="203"/>
      <c r="F83" s="259"/>
      <c r="G83" s="218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35.42708798900869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7">
        <v>5</v>
      </c>
      <c r="B84" s="210" t="s">
        <v>132</v>
      </c>
      <c r="C84" s="209" t="s">
        <v>132</v>
      </c>
      <c r="D84" s="208" t="s">
        <v>132</v>
      </c>
      <c r="E84" s="203"/>
      <c r="F84" s="259"/>
      <c r="G84" s="219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33.901519606706877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9">
        <f>'Données projet'!A88</f>
        <v>15</v>
      </c>
      <c r="B85" s="190">
        <f>'Données projet'!D88</f>
        <v>0</v>
      </c>
      <c r="C85" s="203"/>
      <c r="D85" s="188">
        <f>B85*C85</f>
        <v>0</v>
      </c>
      <c r="E85" s="203"/>
      <c r="F85" s="260"/>
      <c r="G85" s="219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32.441645556657306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9">
        <f>'Données projet'!A89</f>
        <v>20</v>
      </c>
      <c r="B86" s="190">
        <f>'Données projet'!D89</f>
        <v>43</v>
      </c>
      <c r="C86" s="201">
        <v>10</v>
      </c>
      <c r="D86" s="188">
        <f t="shared" ref="D86:D104" si="6">B86*C86</f>
        <v>430</v>
      </c>
      <c r="E86" s="203"/>
      <c r="F86" s="260"/>
      <c r="G86" s="219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31.044636896322782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9">
        <f>'Données projet'!A90</f>
        <v>25</v>
      </c>
      <c r="B87" s="190">
        <f>'Données projet'!D90</f>
        <v>0</v>
      </c>
      <c r="C87" s="201"/>
      <c r="D87" s="188">
        <f t="shared" si="6"/>
        <v>0</v>
      </c>
      <c r="E87" s="203"/>
      <c r="F87" s="260"/>
      <c r="G87" s="219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29.707786503658177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9">
        <f>'Données projet'!A91</f>
        <v>30</v>
      </c>
      <c r="B88" s="190">
        <f>'Données projet'!D91</f>
        <v>56</v>
      </c>
      <c r="C88" s="201">
        <v>10</v>
      </c>
      <c r="D88" s="188">
        <f t="shared" si="6"/>
        <v>560</v>
      </c>
      <c r="E88" s="203"/>
      <c r="F88" s="260"/>
      <c r="G88" s="219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28.428503831251838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9">
        <f>'Données projet'!A92</f>
        <v>35</v>
      </c>
      <c r="B89" s="190">
        <f>'Données projet'!D92</f>
        <v>0</v>
      </c>
      <c r="C89" s="201"/>
      <c r="D89" s="188">
        <f t="shared" si="6"/>
        <v>0</v>
      </c>
      <c r="E89" s="203"/>
      <c r="F89" s="260"/>
      <c r="G89" s="219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27.204309886365401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9">
        <f>'Données projet'!A93</f>
        <v>40</v>
      </c>
      <c r="B90" s="190">
        <f>'Données projet'!D93</f>
        <v>56</v>
      </c>
      <c r="C90" s="201">
        <v>20</v>
      </c>
      <c r="D90" s="188">
        <f t="shared" si="6"/>
        <v>1120</v>
      </c>
      <c r="E90" s="203"/>
      <c r="F90" s="260"/>
      <c r="G90" s="219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26.03283242714393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9">
        <f>'Données projet'!A94</f>
        <v>45</v>
      </c>
      <c r="B91" s="190">
        <f>'Données projet'!D94</f>
        <v>0</v>
      </c>
      <c r="C91" s="201"/>
      <c r="D91" s="188">
        <f t="shared" si="6"/>
        <v>0</v>
      </c>
      <c r="E91" s="203"/>
      <c r="F91" s="260"/>
      <c r="G91" s="220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24.911801365687975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9">
        <f>'Données projet'!A95</f>
        <v>50</v>
      </c>
      <c r="B92" s="190">
        <f>'Données projet'!D95</f>
        <v>39</v>
      </c>
      <c r="C92" s="201">
        <v>30</v>
      </c>
      <c r="D92" s="188">
        <f t="shared" si="6"/>
        <v>1170</v>
      </c>
      <c r="E92" s="203"/>
      <c r="F92" s="260"/>
      <c r="G92" s="220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23.839044369079403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9">
        <f>'Données projet'!A96</f>
        <v>55</v>
      </c>
      <c r="B93" s="190">
        <f>'Données projet'!D96</f>
        <v>0</v>
      </c>
      <c r="C93" s="201"/>
      <c r="D93" s="188">
        <f t="shared" si="6"/>
        <v>0</v>
      </c>
      <c r="E93" s="203"/>
      <c r="F93" s="260"/>
      <c r="G93" s="220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22.812482649836753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9">
        <f>'Données projet'!A97</f>
        <v>60</v>
      </c>
      <c r="B94" s="190">
        <f>'Données projet'!D97</f>
        <v>25</v>
      </c>
      <c r="C94" s="201">
        <v>30</v>
      </c>
      <c r="D94" s="188">
        <f t="shared" si="6"/>
        <v>750</v>
      </c>
      <c r="E94" s="203"/>
      <c r="F94" s="260"/>
      <c r="G94" s="220"/>
      <c r="H94" s="200"/>
      <c r="I94" s="201"/>
      <c r="J94" s="5"/>
      <c r="K94" s="180"/>
      <c r="L94" s="5"/>
      <c r="M94" s="5"/>
      <c r="N94" s="5"/>
      <c r="O94" s="204" t="str">
        <f>IF(O93+1&lt;=MIN('Données projet'!$E$9:$E$18),O93+1,"STOP")</f>
        <v>STOP</v>
      </c>
      <c r="P94" s="194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9">
        <f>'Données projet'!A98</f>
        <v>65</v>
      </c>
      <c r="B95" s="190">
        <f>'Données projet'!D98</f>
        <v>0</v>
      </c>
      <c r="C95" s="201"/>
      <c r="D95" s="188">
        <f t="shared" si="6"/>
        <v>0</v>
      </c>
      <c r="E95" s="203"/>
      <c r="F95" s="260"/>
      <c r="G95" s="220"/>
      <c r="H95" s="200"/>
      <c r="I95" s="201"/>
      <c r="J95" s="5"/>
      <c r="K95" s="180"/>
      <c r="L95" s="5"/>
      <c r="M95" s="5"/>
      <c r="N95" s="5"/>
      <c r="O95" s="204" t="e">
        <f>IF(O94+1&lt;=MIN('Données projet'!$E$9:$E$18),O94+1,"STOP")</f>
        <v>#VALUE!</v>
      </c>
      <c r="P95" s="194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9">
        <f>'Données projet'!A99</f>
        <v>70</v>
      </c>
      <c r="B96" s="190">
        <f>'Données projet'!D99</f>
        <v>21</v>
      </c>
      <c r="C96" s="201">
        <v>40</v>
      </c>
      <c r="D96" s="188">
        <f t="shared" si="6"/>
        <v>840</v>
      </c>
      <c r="E96" s="203"/>
      <c r="F96" s="260"/>
      <c r="G96" s="220"/>
      <c r="H96" s="200"/>
      <c r="I96" s="201"/>
      <c r="J96" s="5"/>
      <c r="K96" s="180"/>
      <c r="L96" s="5"/>
      <c r="M96" s="5"/>
      <c r="N96" s="5"/>
      <c r="O96" s="204" t="e">
        <f>IF(O95+1&lt;=MIN('Données projet'!$E$9:$E$18),O95+1,"STOP")</f>
        <v>#VALUE!</v>
      </c>
      <c r="P96" s="194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9">
        <f>'Données projet'!A100</f>
        <v>75</v>
      </c>
      <c r="B97" s="190">
        <f>'Données projet'!D100</f>
        <v>9</v>
      </c>
      <c r="C97" s="201">
        <v>50</v>
      </c>
      <c r="D97" s="188">
        <f t="shared" si="6"/>
        <v>450</v>
      </c>
      <c r="E97" s="203"/>
      <c r="F97" s="260"/>
      <c r="G97" s="220"/>
      <c r="H97" s="200"/>
      <c r="I97" s="201"/>
      <c r="J97" s="5"/>
      <c r="K97" s="180"/>
      <c r="L97" s="5"/>
      <c r="M97" s="5"/>
      <c r="N97" s="5"/>
      <c r="O97" s="204" t="e">
        <f>IF(O96+1&lt;=MIN('Données projet'!$E$9:$E$18),O96+1,"STOP")</f>
        <v>#VALUE!</v>
      </c>
      <c r="P97" s="194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9">
        <f>'Données projet'!A101</f>
        <v>80</v>
      </c>
      <c r="B98" s="190">
        <f>'Données projet'!D101</f>
        <v>276</v>
      </c>
      <c r="C98" s="201">
        <v>50</v>
      </c>
      <c r="D98" s="188">
        <f t="shared" si="6"/>
        <v>13800</v>
      </c>
      <c r="E98" s="203"/>
      <c r="F98" s="260"/>
      <c r="G98" s="220"/>
      <c r="H98" s="200"/>
      <c r="I98" s="201"/>
      <c r="J98" s="5"/>
      <c r="K98" s="180"/>
      <c r="L98" s="5"/>
      <c r="M98" s="5"/>
      <c r="N98" s="5"/>
      <c r="O98" s="204" t="e">
        <f>IF(O97+1&lt;=MIN('Données projet'!$E$9:$E$18),O97+1,"STOP")</f>
        <v>#VALUE!</v>
      </c>
      <c r="P98" s="194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9">
        <f>'Données projet'!A102</f>
        <v>0</v>
      </c>
      <c r="B99" s="190">
        <f>'Données projet'!D102</f>
        <v>0</v>
      </c>
      <c r="C99" s="203">
        <v>50</v>
      </c>
      <c r="D99" s="188">
        <f t="shared" si="6"/>
        <v>0</v>
      </c>
      <c r="E99" s="203"/>
      <c r="F99" s="260"/>
      <c r="G99" s="220"/>
      <c r="H99" s="200"/>
      <c r="I99" s="201"/>
      <c r="J99" s="5"/>
      <c r="K99" s="180"/>
      <c r="L99" s="5"/>
      <c r="M99" s="5"/>
      <c r="N99" s="5"/>
      <c r="O99" s="204" t="e">
        <f>IF(O98+1&lt;=MIN('Données projet'!$E$9:$E$18),O98+1,"STOP")</f>
        <v>#VALUE!</v>
      </c>
      <c r="P99" s="194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9">
        <f>'Données projet'!A103</f>
        <v>0</v>
      </c>
      <c r="B100" s="190">
        <f>'Données projet'!D103</f>
        <v>0</v>
      </c>
      <c r="C100" s="203"/>
      <c r="D100" s="188">
        <f t="shared" si="6"/>
        <v>0</v>
      </c>
      <c r="E100" s="203"/>
      <c r="F100" s="260"/>
      <c r="G100" s="220"/>
      <c r="H100" s="200"/>
      <c r="I100" s="201"/>
      <c r="J100" s="5"/>
      <c r="K100" s="180"/>
      <c r="L100" s="5"/>
      <c r="M100" s="5"/>
      <c r="N100" s="5"/>
      <c r="O100" s="204" t="e">
        <f>IF(O99+1&lt;=MIN('Données projet'!$E$9:$E$18),O99+1,"STOP")</f>
        <v>#VALUE!</v>
      </c>
      <c r="P100" s="194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9">
        <f>'Données projet'!A104</f>
        <v>0</v>
      </c>
      <c r="B101" s="190">
        <f>'Données projet'!D104</f>
        <v>0</v>
      </c>
      <c r="C101" s="203"/>
      <c r="D101" s="188">
        <f t="shared" si="6"/>
        <v>0</v>
      </c>
      <c r="E101" s="203"/>
      <c r="F101" s="260"/>
      <c r="G101" s="220"/>
      <c r="H101" s="200"/>
      <c r="I101" s="201"/>
      <c r="J101" s="5"/>
      <c r="K101" s="180"/>
      <c r="L101" s="5"/>
      <c r="M101" s="5"/>
      <c r="N101" s="5"/>
      <c r="O101" s="204" t="e">
        <f>IF(O100+1&lt;=MIN('Données projet'!$E$9:$E$18),O100+1,"STOP")</f>
        <v>#VALUE!</v>
      </c>
      <c r="P101" s="194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9">
        <f>'Données projet'!A105</f>
        <v>0</v>
      </c>
      <c r="B102" s="190">
        <f>'Données projet'!D105</f>
        <v>0</v>
      </c>
      <c r="C102" s="203"/>
      <c r="D102" s="188">
        <f t="shared" si="6"/>
        <v>0</v>
      </c>
      <c r="E102" s="203"/>
      <c r="F102" s="260"/>
      <c r="G102" s="220"/>
      <c r="H102" s="200"/>
      <c r="I102" s="201"/>
      <c r="J102" s="5"/>
      <c r="K102" s="180"/>
      <c r="L102" s="5"/>
      <c r="M102" s="5"/>
      <c r="N102" s="5"/>
      <c r="O102" s="204" t="e">
        <f>IF(O101+1&lt;=MIN('Données projet'!$E$9:$E$18),O101+1,"STOP")</f>
        <v>#VALUE!</v>
      </c>
      <c r="P102" s="194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9">
        <f>'Données projet'!A106</f>
        <v>0</v>
      </c>
      <c r="B103" s="190">
        <f>'Données projet'!D106</f>
        <v>0</v>
      </c>
      <c r="C103" s="203"/>
      <c r="D103" s="188">
        <f t="shared" si="6"/>
        <v>0</v>
      </c>
      <c r="E103" s="203"/>
      <c r="F103" s="260"/>
      <c r="G103" s="220"/>
      <c r="H103" s="200"/>
      <c r="I103" s="201"/>
      <c r="J103" s="5"/>
      <c r="K103" s="180"/>
      <c r="L103" s="5"/>
      <c r="M103" s="5"/>
      <c r="N103" s="5"/>
      <c r="O103" s="204" t="e">
        <f>IF(O102+1&lt;=MIN('Données projet'!$E$9:$E$18),O102+1,"STOP")</f>
        <v>#VALUE!</v>
      </c>
      <c r="P103" s="194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9">
        <f>'Données projet'!A107</f>
        <v>0</v>
      </c>
      <c r="B104" s="190">
        <f>'Données projet'!D107</f>
        <v>0</v>
      </c>
      <c r="C104" s="203"/>
      <c r="D104" s="188">
        <f t="shared" si="6"/>
        <v>0</v>
      </c>
      <c r="E104" s="203"/>
      <c r="F104" s="260"/>
      <c r="G104" s="220"/>
      <c r="H104" s="200"/>
      <c r="I104" s="201"/>
      <c r="J104" s="5"/>
      <c r="K104" s="180"/>
      <c r="L104" s="5"/>
      <c r="M104" s="5"/>
      <c r="N104" s="5"/>
      <c r="O104" s="204" t="e">
        <f>IF(O103+1&lt;=MIN('Données projet'!$E$9:$E$18),O103+1,"STOP")</f>
        <v>#VALUE!</v>
      </c>
      <c r="P104" s="194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8"/>
      <c r="G105" s="220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8"/>
      <c r="G106" s="220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3" t="str">
        <f>IF('Données projet'!B12="","",'Données projet'!B12)</f>
        <v>Merisier</v>
      </c>
      <c r="C107" s="5"/>
      <c r="D107" s="5"/>
      <c r="E107" s="5"/>
      <c r="F107" s="258"/>
      <c r="G107" s="220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8"/>
      <c r="G108" s="220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7">
        <v>0</v>
      </c>
      <c r="B110" s="210" t="s">
        <v>132</v>
      </c>
      <c r="C110" s="209" t="s">
        <v>132</v>
      </c>
      <c r="D110" s="208" t="s">
        <v>132</v>
      </c>
      <c r="E110" s="203"/>
      <c r="F110" s="259"/>
      <c r="G110" s="220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7">
        <v>1</v>
      </c>
      <c r="B111" s="210" t="s">
        <v>132</v>
      </c>
      <c r="C111" s="209" t="s">
        <v>132</v>
      </c>
      <c r="D111" s="208" t="s">
        <v>132</v>
      </c>
      <c r="E111" s="203"/>
      <c r="F111" s="259"/>
      <c r="G111" s="218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7">
        <v>2</v>
      </c>
      <c r="B112" s="210" t="s">
        <v>132</v>
      </c>
      <c r="C112" s="209" t="s">
        <v>132</v>
      </c>
      <c r="D112" s="208" t="s">
        <v>132</v>
      </c>
      <c r="E112" s="203"/>
      <c r="F112" s="259"/>
      <c r="G112" s="218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7">
        <v>3</v>
      </c>
      <c r="B113" s="210" t="s">
        <v>132</v>
      </c>
      <c r="C113" s="209" t="s">
        <v>132</v>
      </c>
      <c r="D113" s="208" t="s">
        <v>132</v>
      </c>
      <c r="E113" s="203"/>
      <c r="F113" s="259"/>
      <c r="G113" s="218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7">
        <v>4</v>
      </c>
      <c r="B114" s="210" t="s">
        <v>132</v>
      </c>
      <c r="C114" s="209" t="s">
        <v>132</v>
      </c>
      <c r="D114" s="208" t="s">
        <v>132</v>
      </c>
      <c r="E114" s="203"/>
      <c r="F114" s="259"/>
      <c r="G114" s="218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7">
        <v>5</v>
      </c>
      <c r="B115" s="210" t="s">
        <v>132</v>
      </c>
      <c r="C115" s="209" t="s">
        <v>132</v>
      </c>
      <c r="D115" s="208" t="s">
        <v>132</v>
      </c>
      <c r="E115" s="203"/>
      <c r="F115" s="259"/>
      <c r="G115" s="219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9">
        <f>'Données projet'!A114</f>
        <v>15</v>
      </c>
      <c r="B116" s="190">
        <f>'Données projet'!D114</f>
        <v>0</v>
      </c>
      <c r="C116" s="201"/>
      <c r="D116" s="188">
        <f>B116*C116</f>
        <v>0</v>
      </c>
      <c r="E116" s="203"/>
      <c r="F116" s="260"/>
      <c r="G116" s="219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9">
        <f>'Données projet'!A115</f>
        <v>20</v>
      </c>
      <c r="B117" s="190">
        <f>'Données projet'!D115</f>
        <v>0</v>
      </c>
      <c r="C117" s="201"/>
      <c r="D117" s="188">
        <f t="shared" ref="D117:D135" si="8">B117*C117</f>
        <v>0</v>
      </c>
      <c r="E117" s="203"/>
      <c r="F117" s="260"/>
      <c r="G117" s="219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9">
        <f>'Données projet'!A116</f>
        <v>25</v>
      </c>
      <c r="B118" s="190">
        <f>'Données projet'!D116</f>
        <v>55</v>
      </c>
      <c r="C118" s="201">
        <v>10</v>
      </c>
      <c r="D118" s="188">
        <f t="shared" si="8"/>
        <v>550</v>
      </c>
      <c r="E118" s="203"/>
      <c r="F118" s="260"/>
      <c r="G118" s="219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9">
        <f>'Données projet'!A117</f>
        <v>31</v>
      </c>
      <c r="B119" s="190">
        <f>'Données projet'!D117</f>
        <v>36</v>
      </c>
      <c r="C119" s="201">
        <v>15</v>
      </c>
      <c r="D119" s="188">
        <f t="shared" si="8"/>
        <v>540</v>
      </c>
      <c r="E119" s="203"/>
      <c r="F119" s="260"/>
      <c r="G119" s="219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9">
        <f>'Données projet'!A118</f>
        <v>37</v>
      </c>
      <c r="B120" s="190">
        <f>'Données projet'!D118</f>
        <v>36</v>
      </c>
      <c r="C120" s="201">
        <v>30</v>
      </c>
      <c r="D120" s="188">
        <f t="shared" si="8"/>
        <v>1080</v>
      </c>
      <c r="E120" s="203"/>
      <c r="F120" s="260"/>
      <c r="G120" s="219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9">
        <f>'Données projet'!A119</f>
        <v>44</v>
      </c>
      <c r="B121" s="190">
        <f>'Données projet'!D119</f>
        <v>43</v>
      </c>
      <c r="C121" s="201">
        <v>40</v>
      </c>
      <c r="D121" s="188">
        <f t="shared" si="8"/>
        <v>1720</v>
      </c>
      <c r="E121" s="203"/>
      <c r="F121" s="260"/>
      <c r="G121" s="219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9">
        <f>'Données projet'!A120</f>
        <v>52</v>
      </c>
      <c r="B122" s="190">
        <f>'Données projet'!D120</f>
        <v>48</v>
      </c>
      <c r="C122" s="201">
        <v>50</v>
      </c>
      <c r="D122" s="188">
        <f t="shared" si="8"/>
        <v>2400</v>
      </c>
      <c r="E122" s="203"/>
      <c r="F122" s="260"/>
      <c r="G122" s="220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9">
        <f>'Données projet'!A121</f>
        <v>60</v>
      </c>
      <c r="B123" s="190">
        <f>'Données projet'!D121</f>
        <v>47</v>
      </c>
      <c r="C123" s="201">
        <v>100</v>
      </c>
      <c r="D123" s="188">
        <f t="shared" si="8"/>
        <v>4700</v>
      </c>
      <c r="E123" s="203"/>
      <c r="F123" s="260"/>
      <c r="G123" s="220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9">
        <f>'Données projet'!A122</f>
        <v>69</v>
      </c>
      <c r="B124" s="190">
        <f>'Données projet'!D122</f>
        <v>328</v>
      </c>
      <c r="C124" s="201">
        <v>110</v>
      </c>
      <c r="D124" s="188">
        <f t="shared" si="8"/>
        <v>36080</v>
      </c>
      <c r="E124" s="203"/>
      <c r="F124" s="260"/>
      <c r="G124" s="220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9">
        <f>'Données projet'!A123</f>
        <v>0</v>
      </c>
      <c r="B125" s="190">
        <f>'Données projet'!D123</f>
        <v>0</v>
      </c>
      <c r="C125" s="201"/>
      <c r="D125" s="188">
        <f t="shared" si="8"/>
        <v>0</v>
      </c>
      <c r="E125" s="203"/>
      <c r="F125" s="260"/>
      <c r="G125" s="220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9">
        <f>'Données projet'!A124</f>
        <v>0</v>
      </c>
      <c r="B126" s="190">
        <f>'Données projet'!D124</f>
        <v>0</v>
      </c>
      <c r="C126" s="201"/>
      <c r="D126" s="188">
        <f t="shared" si="8"/>
        <v>0</v>
      </c>
      <c r="E126" s="203"/>
      <c r="F126" s="260"/>
      <c r="G126" s="220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9">
        <f>'Données projet'!A125</f>
        <v>0</v>
      </c>
      <c r="B127" s="190">
        <f>'Données projet'!D125</f>
        <v>0</v>
      </c>
      <c r="C127" s="201"/>
      <c r="D127" s="188">
        <f t="shared" si="8"/>
        <v>0</v>
      </c>
      <c r="E127" s="203"/>
      <c r="F127" s="260"/>
      <c r="G127" s="220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9">
        <f>'Données projet'!A126</f>
        <v>0</v>
      </c>
      <c r="B128" s="190">
        <f>'Données projet'!D126</f>
        <v>0</v>
      </c>
      <c r="C128" s="201"/>
      <c r="D128" s="188">
        <f t="shared" si="8"/>
        <v>0</v>
      </c>
      <c r="E128" s="203"/>
      <c r="F128" s="260"/>
      <c r="G128" s="220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9">
        <f>'Données projet'!A127</f>
        <v>0</v>
      </c>
      <c r="B129" s="190">
        <f>'Données projet'!D127</f>
        <v>0</v>
      </c>
      <c r="C129" s="201"/>
      <c r="D129" s="188">
        <f t="shared" si="8"/>
        <v>0</v>
      </c>
      <c r="E129" s="203"/>
      <c r="F129" s="260"/>
      <c r="G129" s="220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9">
        <f>'Données projet'!A128</f>
        <v>0</v>
      </c>
      <c r="B130" s="190">
        <f>'Données projet'!D128</f>
        <v>0</v>
      </c>
      <c r="C130" s="201"/>
      <c r="D130" s="188">
        <f t="shared" si="8"/>
        <v>0</v>
      </c>
      <c r="E130" s="203"/>
      <c r="F130" s="260"/>
      <c r="G130" s="220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9">
        <f>'Données projet'!A129</f>
        <v>0</v>
      </c>
      <c r="B131" s="190">
        <f>'Données projet'!D129</f>
        <v>0</v>
      </c>
      <c r="C131" s="201"/>
      <c r="D131" s="188">
        <f t="shared" si="8"/>
        <v>0</v>
      </c>
      <c r="E131" s="203"/>
      <c r="F131" s="260"/>
      <c r="G131" s="220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9">
        <f>'Données projet'!A130</f>
        <v>0</v>
      </c>
      <c r="B132" s="190">
        <f>'Données projet'!D130</f>
        <v>0</v>
      </c>
      <c r="C132" s="201"/>
      <c r="D132" s="188">
        <f t="shared" si="8"/>
        <v>0</v>
      </c>
      <c r="E132" s="203"/>
      <c r="F132" s="260"/>
      <c r="G132" s="220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9">
        <f>'Données projet'!A131</f>
        <v>0</v>
      </c>
      <c r="B133" s="190">
        <f>'Données projet'!D131</f>
        <v>0</v>
      </c>
      <c r="C133" s="201"/>
      <c r="D133" s="188">
        <f t="shared" si="8"/>
        <v>0</v>
      </c>
      <c r="E133" s="203"/>
      <c r="F133" s="260"/>
      <c r="G133" s="220"/>
      <c r="H133" s="200"/>
      <c r="I133" s="201"/>
      <c r="J133" s="5"/>
      <c r="K133" s="180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9">
        <f>'Données projet'!A132</f>
        <v>0</v>
      </c>
      <c r="B134" s="190">
        <f>'Données projet'!D132</f>
        <v>0</v>
      </c>
      <c r="C134" s="201"/>
      <c r="D134" s="188">
        <f t="shared" si="8"/>
        <v>0</v>
      </c>
      <c r="E134" s="203"/>
      <c r="F134" s="260"/>
      <c r="G134" s="220"/>
      <c r="H134" s="200"/>
      <c r="I134" s="201"/>
      <c r="J134" s="5"/>
      <c r="K134" s="180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9">
        <f>'Données projet'!A133</f>
        <v>0</v>
      </c>
      <c r="B135" s="190">
        <f>'Données projet'!D133</f>
        <v>0</v>
      </c>
      <c r="C135" s="201"/>
      <c r="D135" s="188">
        <f t="shared" si="8"/>
        <v>0</v>
      </c>
      <c r="E135" s="203"/>
      <c r="F135" s="260"/>
      <c r="G135" s="220"/>
      <c r="H135" s="200"/>
      <c r="I135" s="201"/>
      <c r="J135" s="5"/>
      <c r="K135" s="180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8"/>
      <c r="G136" s="220"/>
      <c r="H136" s="200"/>
      <c r="I136" s="201"/>
      <c r="J136" s="5"/>
      <c r="K136" s="180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8"/>
      <c r="G137" s="220"/>
      <c r="H137" s="200"/>
      <c r="I137" s="201"/>
      <c r="J137" s="5"/>
      <c r="K137" s="180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3" t="str">
        <f>IF('Données projet'!B13="","",'Données projet'!B13)</f>
        <v>Cèdre de l'Atlas</v>
      </c>
      <c r="C138" s="5"/>
      <c r="D138" s="5"/>
      <c r="E138" s="5"/>
      <c r="F138" s="258"/>
      <c r="G138" s="220"/>
      <c r="H138" s="200"/>
      <c r="I138" s="201"/>
      <c r="J138" s="5"/>
      <c r="K138" s="180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8"/>
      <c r="G139" s="220"/>
      <c r="H139" s="200"/>
      <c r="I139" s="201"/>
      <c r="J139" s="5"/>
      <c r="K139" s="180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0"/>
      <c r="I140" s="201"/>
      <c r="J140" s="5"/>
      <c r="K140" s="180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7">
        <v>0</v>
      </c>
      <c r="B141" s="210" t="s">
        <v>132</v>
      </c>
      <c r="C141" s="209" t="s">
        <v>132</v>
      </c>
      <c r="D141" s="208" t="s">
        <v>132</v>
      </c>
      <c r="E141" s="203"/>
      <c r="F141" s="259"/>
      <c r="G141" s="220"/>
      <c r="H141" s="200"/>
      <c r="I141" s="201"/>
      <c r="J141" s="5"/>
      <c r="K141" s="180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7">
        <v>1</v>
      </c>
      <c r="B142" s="210" t="s">
        <v>132</v>
      </c>
      <c r="C142" s="209" t="s">
        <v>132</v>
      </c>
      <c r="D142" s="208" t="s">
        <v>132</v>
      </c>
      <c r="E142" s="203"/>
      <c r="F142" s="259"/>
      <c r="G142" s="218"/>
      <c r="H142" s="200"/>
      <c r="I142" s="201"/>
      <c r="J142" s="5"/>
      <c r="K142" s="180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7">
        <v>2</v>
      </c>
      <c r="B143" s="210" t="s">
        <v>132</v>
      </c>
      <c r="C143" s="209" t="s">
        <v>132</v>
      </c>
      <c r="D143" s="208" t="s">
        <v>132</v>
      </c>
      <c r="E143" s="203"/>
      <c r="F143" s="259"/>
      <c r="G143" s="218"/>
      <c r="H143" s="200"/>
      <c r="I143" s="201"/>
      <c r="J143" s="5"/>
      <c r="K143" s="180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7">
        <v>3</v>
      </c>
      <c r="B144" s="210" t="s">
        <v>132</v>
      </c>
      <c r="C144" s="209" t="s">
        <v>132</v>
      </c>
      <c r="D144" s="208" t="s">
        <v>132</v>
      </c>
      <c r="E144" s="203"/>
      <c r="F144" s="259"/>
      <c r="G144" s="218"/>
      <c r="H144" s="200"/>
      <c r="I144" s="201"/>
      <c r="J144" s="5"/>
      <c r="K144" s="180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7">
        <v>4</v>
      </c>
      <c r="B145" s="210" t="s">
        <v>132</v>
      </c>
      <c r="C145" s="209" t="s">
        <v>132</v>
      </c>
      <c r="D145" s="208" t="s">
        <v>132</v>
      </c>
      <c r="E145" s="203"/>
      <c r="F145" s="259"/>
      <c r="G145" s="218"/>
      <c r="H145" s="200"/>
      <c r="I145" s="201"/>
      <c r="J145" s="5"/>
      <c r="K145" s="180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7">
        <v>5</v>
      </c>
      <c r="B146" s="210" t="s">
        <v>132</v>
      </c>
      <c r="C146" s="209" t="s">
        <v>132</v>
      </c>
      <c r="D146" s="208" t="s">
        <v>132</v>
      </c>
      <c r="E146" s="203"/>
      <c r="F146" s="259"/>
      <c r="G146" s="219"/>
      <c r="H146" s="200"/>
      <c r="I146" s="201"/>
      <c r="J146" s="5"/>
      <c r="K146" s="180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4">
        <f>'Données projet'!D140</f>
        <v>0</v>
      </c>
      <c r="C147" s="201"/>
      <c r="D147" s="191">
        <f>B147*C147</f>
        <v>0</v>
      </c>
      <c r="E147" s="203"/>
      <c r="F147" s="261"/>
      <c r="G147" s="219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51</v>
      </c>
      <c r="B148" s="184">
        <f>'Données projet'!D141</f>
        <v>100</v>
      </c>
      <c r="C148" s="201">
        <v>15</v>
      </c>
      <c r="D148" s="191">
        <f t="shared" ref="D148:D166" si="10">B148*C148</f>
        <v>1500</v>
      </c>
      <c r="E148" s="203"/>
      <c r="F148" s="261"/>
      <c r="G148" s="219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63</v>
      </c>
      <c r="B149" s="184">
        <f>'Données projet'!D142</f>
        <v>108.46153846153845</v>
      </c>
      <c r="C149" s="201">
        <v>20</v>
      </c>
      <c r="D149" s="191">
        <f t="shared" si="10"/>
        <v>2169.2307692307691</v>
      </c>
      <c r="E149" s="203"/>
      <c r="F149" s="261"/>
      <c r="G149" s="219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75</v>
      </c>
      <c r="B150" s="184">
        <f>'Données projet'!D143</f>
        <v>85.384615384615415</v>
      </c>
      <c r="C150" s="201">
        <v>30</v>
      </c>
      <c r="D150" s="191">
        <f t="shared" si="10"/>
        <v>2561.5384615384623</v>
      </c>
      <c r="E150" s="203"/>
      <c r="F150" s="261"/>
      <c r="G150" s="219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87</v>
      </c>
      <c r="B151" s="184">
        <f>'Données projet'!D144</f>
        <v>83.076923076923038</v>
      </c>
      <c r="C151" s="201">
        <v>50</v>
      </c>
      <c r="D151" s="191">
        <f t="shared" si="10"/>
        <v>4153.8461538461515</v>
      </c>
      <c r="E151" s="203"/>
      <c r="F151" s="261"/>
      <c r="G151" s="219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99</v>
      </c>
      <c r="B152" s="184">
        <f>'Données projet'!D145</f>
        <v>198.46153846153845</v>
      </c>
      <c r="C152" s="201">
        <v>60</v>
      </c>
      <c r="D152" s="191">
        <f t="shared" si="10"/>
        <v>11907.692307692307</v>
      </c>
      <c r="E152" s="203"/>
      <c r="F152" s="261"/>
      <c r="G152" s="219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109</v>
      </c>
      <c r="B153" s="184">
        <f>'Données projet'!D146</f>
        <v>256.15384615384613</v>
      </c>
      <c r="C153" s="201">
        <v>80</v>
      </c>
      <c r="D153" s="191">
        <f t="shared" si="10"/>
        <v>20492.307692307691</v>
      </c>
      <c r="E153" s="203"/>
      <c r="F153" s="261"/>
      <c r="G153" s="215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4">
        <f>'Données projet'!D147</f>
        <v>0</v>
      </c>
      <c r="C154" s="201"/>
      <c r="D154" s="191">
        <f t="shared" si="10"/>
        <v>0</v>
      </c>
      <c r="E154" s="203"/>
      <c r="F154" s="261"/>
      <c r="G154" s="215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4">
        <f>'Données projet'!D148</f>
        <v>0</v>
      </c>
      <c r="C155" s="201"/>
      <c r="D155" s="191">
        <f t="shared" si="10"/>
        <v>0</v>
      </c>
      <c r="E155" s="203"/>
      <c r="F155" s="261"/>
      <c r="G155" s="215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4">
        <f>'Données projet'!D149</f>
        <v>0</v>
      </c>
      <c r="C156" s="201"/>
      <c r="D156" s="191">
        <f t="shared" si="10"/>
        <v>0</v>
      </c>
      <c r="E156" s="203"/>
      <c r="F156" s="261"/>
      <c r="G156" s="215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4">
        <f>'Données projet'!D150</f>
        <v>0</v>
      </c>
      <c r="C157" s="201"/>
      <c r="D157" s="191">
        <f t="shared" si="10"/>
        <v>0</v>
      </c>
      <c r="E157" s="203"/>
      <c r="F157" s="261"/>
      <c r="G157" s="215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4">
        <f>'Données projet'!D151</f>
        <v>0</v>
      </c>
      <c r="C158" s="201"/>
      <c r="D158" s="191">
        <f t="shared" si="10"/>
        <v>0</v>
      </c>
      <c r="E158" s="203"/>
      <c r="F158" s="261"/>
      <c r="G158" s="215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4">
        <f>'Données projet'!D152</f>
        <v>0</v>
      </c>
      <c r="C159" s="201"/>
      <c r="D159" s="191">
        <f t="shared" si="10"/>
        <v>0</v>
      </c>
      <c r="E159" s="203"/>
      <c r="F159" s="261"/>
      <c r="G159" s="215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4">
        <f>'Données projet'!D153</f>
        <v>0</v>
      </c>
      <c r="C160" s="201"/>
      <c r="D160" s="191">
        <f t="shared" si="10"/>
        <v>0</v>
      </c>
      <c r="E160" s="203"/>
      <c r="F160" s="261"/>
      <c r="G160" s="215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4">
        <f>'Données projet'!D154</f>
        <v>0</v>
      </c>
      <c r="C161" s="201"/>
      <c r="D161" s="191">
        <f t="shared" si="10"/>
        <v>0</v>
      </c>
      <c r="E161" s="203"/>
      <c r="F161" s="261"/>
      <c r="G161" s="215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4">
        <f>'Données projet'!D155</f>
        <v>0</v>
      </c>
      <c r="C162" s="201"/>
      <c r="D162" s="191">
        <f t="shared" si="10"/>
        <v>0</v>
      </c>
      <c r="E162" s="203"/>
      <c r="F162" s="261"/>
      <c r="G162" s="215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4">
        <f>'Données projet'!D156</f>
        <v>0</v>
      </c>
      <c r="C163" s="201"/>
      <c r="D163" s="191">
        <f t="shared" si="10"/>
        <v>0</v>
      </c>
      <c r="E163" s="203"/>
      <c r="F163" s="261"/>
      <c r="G163" s="215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4">
        <f>'Données projet'!D157</f>
        <v>0</v>
      </c>
      <c r="C164" s="201"/>
      <c r="D164" s="191">
        <f t="shared" si="10"/>
        <v>0</v>
      </c>
      <c r="E164" s="203"/>
      <c r="F164" s="261"/>
      <c r="G164" s="215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4">
        <f>'Données projet'!D158</f>
        <v>0</v>
      </c>
      <c r="C165" s="201"/>
      <c r="D165" s="191">
        <f t="shared" si="10"/>
        <v>0</v>
      </c>
      <c r="E165" s="203"/>
      <c r="F165" s="261"/>
      <c r="G165" s="215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4">
        <f>'Données projet'!D159</f>
        <v>0</v>
      </c>
      <c r="C166" s="201"/>
      <c r="D166" s="191">
        <f t="shared" si="10"/>
        <v>0</v>
      </c>
      <c r="E166" s="203"/>
      <c r="F166" s="261"/>
      <c r="G166" s="215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8"/>
      <c r="G167" s="215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8"/>
      <c r="G168" s="215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3" t="str">
        <f>IF('Données projet'!B14="","",'Données projet'!B14)</f>
        <v>Bouleau verruqueux</v>
      </c>
      <c r="C169" s="5"/>
      <c r="D169" s="5"/>
      <c r="E169" s="5"/>
      <c r="F169" s="258"/>
      <c r="G169" s="215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8"/>
      <c r="G170" s="215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7">
        <v>0</v>
      </c>
      <c r="B172" s="210" t="s">
        <v>132</v>
      </c>
      <c r="C172" s="209" t="s">
        <v>132</v>
      </c>
      <c r="D172" s="208" t="s">
        <v>132</v>
      </c>
      <c r="E172" s="203"/>
      <c r="F172" s="259"/>
      <c r="G172" s="215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7">
        <v>1</v>
      </c>
      <c r="B173" s="210" t="s">
        <v>132</v>
      </c>
      <c r="C173" s="209" t="s">
        <v>132</v>
      </c>
      <c r="D173" s="208" t="s">
        <v>132</v>
      </c>
      <c r="E173" s="203"/>
      <c r="F173" s="259"/>
      <c r="G173" s="218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7">
        <v>2</v>
      </c>
      <c r="B174" s="210" t="s">
        <v>132</v>
      </c>
      <c r="C174" s="209" t="s">
        <v>132</v>
      </c>
      <c r="D174" s="208" t="s">
        <v>132</v>
      </c>
      <c r="E174" s="203"/>
      <c r="F174" s="259"/>
      <c r="G174" s="218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7">
        <v>3</v>
      </c>
      <c r="B175" s="210" t="s">
        <v>132</v>
      </c>
      <c r="C175" s="209" t="s">
        <v>132</v>
      </c>
      <c r="D175" s="208" t="s">
        <v>132</v>
      </c>
      <c r="E175" s="203"/>
      <c r="F175" s="259"/>
      <c r="G175" s="218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7">
        <v>4</v>
      </c>
      <c r="B176" s="210" t="s">
        <v>132</v>
      </c>
      <c r="C176" s="209" t="s">
        <v>132</v>
      </c>
      <c r="D176" s="208" t="s">
        <v>132</v>
      </c>
      <c r="E176" s="203"/>
      <c r="F176" s="259"/>
      <c r="G176" s="218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7">
        <v>5</v>
      </c>
      <c r="B177" s="210" t="s">
        <v>132</v>
      </c>
      <c r="C177" s="209" t="s">
        <v>132</v>
      </c>
      <c r="D177" s="208" t="s">
        <v>132</v>
      </c>
      <c r="E177" s="203"/>
      <c r="F177" s="259"/>
      <c r="G177" s="219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9">
        <f>'Données projet'!A166</f>
        <v>10</v>
      </c>
      <c r="B178" s="190">
        <f>'Données projet'!D166</f>
        <v>0</v>
      </c>
      <c r="C178" s="201"/>
      <c r="D178" s="188">
        <f>B178*C178</f>
        <v>0</v>
      </c>
      <c r="E178" s="203"/>
      <c r="F178" s="260"/>
      <c r="G178" s="219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9">
        <f>'Données projet'!A167</f>
        <v>15</v>
      </c>
      <c r="B179" s="190">
        <f>'Données projet'!D167</f>
        <v>0</v>
      </c>
      <c r="C179" s="201"/>
      <c r="D179" s="188">
        <f t="shared" ref="D179:D197" si="11">B179*C179</f>
        <v>0</v>
      </c>
      <c r="E179" s="203"/>
      <c r="F179" s="260"/>
      <c r="G179" s="219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9">
        <f>'Données projet'!A168</f>
        <v>20</v>
      </c>
      <c r="B180" s="190">
        <f>'Données projet'!D168</f>
        <v>40</v>
      </c>
      <c r="C180" s="201">
        <v>10</v>
      </c>
      <c r="D180" s="188">
        <f t="shared" si="11"/>
        <v>400</v>
      </c>
      <c r="E180" s="203"/>
      <c r="F180" s="260"/>
      <c r="G180" s="219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9">
        <f>'Données projet'!A169</f>
        <v>25</v>
      </c>
      <c r="B181" s="190">
        <f>'Données projet'!D169</f>
        <v>0</v>
      </c>
      <c r="C181" s="201"/>
      <c r="D181" s="188">
        <f t="shared" si="11"/>
        <v>0</v>
      </c>
      <c r="E181" s="203"/>
      <c r="F181" s="260"/>
      <c r="G181" s="219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9">
        <f>'Données projet'!A170</f>
        <v>30</v>
      </c>
      <c r="B182" s="190">
        <f>'Données projet'!D170</f>
        <v>0</v>
      </c>
      <c r="C182" s="201"/>
      <c r="D182" s="188">
        <f t="shared" si="11"/>
        <v>0</v>
      </c>
      <c r="E182" s="203"/>
      <c r="F182" s="260"/>
      <c r="G182" s="219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9">
        <f>'Données projet'!A171</f>
        <v>35</v>
      </c>
      <c r="B183" s="190">
        <f>'Données projet'!D171</f>
        <v>76</v>
      </c>
      <c r="C183" s="201">
        <v>20</v>
      </c>
      <c r="D183" s="188">
        <f t="shared" si="11"/>
        <v>1520</v>
      </c>
      <c r="E183" s="203"/>
      <c r="F183" s="260"/>
      <c r="G183" s="219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9">
        <f>'Données projet'!A172</f>
        <v>40</v>
      </c>
      <c r="B184" s="190">
        <f>'Données projet'!D172</f>
        <v>0</v>
      </c>
      <c r="C184" s="201"/>
      <c r="D184" s="188">
        <f t="shared" si="11"/>
        <v>0</v>
      </c>
      <c r="E184" s="203"/>
      <c r="F184" s="260"/>
      <c r="G184" s="220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9">
        <f>'Données projet'!A173</f>
        <v>45</v>
      </c>
      <c r="B185" s="190">
        <f>'Données projet'!D173</f>
        <v>0</v>
      </c>
      <c r="C185" s="201"/>
      <c r="D185" s="188">
        <f t="shared" si="11"/>
        <v>0</v>
      </c>
      <c r="E185" s="203"/>
      <c r="F185" s="260"/>
      <c r="G185" s="220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9">
        <f>'Données projet'!A174</f>
        <v>50</v>
      </c>
      <c r="B186" s="190">
        <f>'Données projet'!D174</f>
        <v>0</v>
      </c>
      <c r="C186" s="201"/>
      <c r="D186" s="188">
        <f t="shared" si="11"/>
        <v>0</v>
      </c>
      <c r="E186" s="203"/>
      <c r="F186" s="260"/>
      <c r="G186" s="220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9">
        <f>'Données projet'!A175</f>
        <v>55</v>
      </c>
      <c r="B187" s="190">
        <f>'Données projet'!D175</f>
        <v>0</v>
      </c>
      <c r="C187" s="201"/>
      <c r="D187" s="188">
        <f t="shared" si="11"/>
        <v>0</v>
      </c>
      <c r="E187" s="203"/>
      <c r="F187" s="260"/>
      <c r="G187" s="220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9">
        <f>'Données projet'!A176</f>
        <v>60</v>
      </c>
      <c r="B188" s="190">
        <f>'Données projet'!D176</f>
        <v>303</v>
      </c>
      <c r="C188" s="201">
        <v>40</v>
      </c>
      <c r="D188" s="188">
        <f t="shared" si="11"/>
        <v>12120</v>
      </c>
      <c r="E188" s="203"/>
      <c r="F188" s="260"/>
      <c r="G188" s="220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9">
        <f>'Données projet'!A177</f>
        <v>0</v>
      </c>
      <c r="B189" s="190">
        <f>'Données projet'!D177</f>
        <v>0</v>
      </c>
      <c r="C189" s="201"/>
      <c r="D189" s="188">
        <f t="shared" si="11"/>
        <v>0</v>
      </c>
      <c r="E189" s="203"/>
      <c r="F189" s="260"/>
      <c r="G189" s="220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9">
        <f>'Données projet'!A178</f>
        <v>0</v>
      </c>
      <c r="B190" s="190">
        <f>'Données projet'!D178</f>
        <v>0</v>
      </c>
      <c r="C190" s="201"/>
      <c r="D190" s="188">
        <f t="shared" si="11"/>
        <v>0</v>
      </c>
      <c r="E190" s="203"/>
      <c r="F190" s="260"/>
      <c r="G190" s="220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9">
        <f>'Données projet'!A179</f>
        <v>0</v>
      </c>
      <c r="B191" s="190">
        <f>'Données projet'!D179</f>
        <v>0</v>
      </c>
      <c r="C191" s="201"/>
      <c r="D191" s="188">
        <f t="shared" si="11"/>
        <v>0</v>
      </c>
      <c r="E191" s="203"/>
      <c r="F191" s="260"/>
      <c r="G191" s="220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9">
        <f>'Données projet'!A180</f>
        <v>0</v>
      </c>
      <c r="B192" s="190">
        <f>'Données projet'!D180</f>
        <v>0</v>
      </c>
      <c r="C192" s="201"/>
      <c r="D192" s="188">
        <f t="shared" si="11"/>
        <v>0</v>
      </c>
      <c r="E192" s="203"/>
      <c r="F192" s="260"/>
      <c r="G192" s="220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9">
        <f>'Données projet'!A181</f>
        <v>0</v>
      </c>
      <c r="B193" s="190">
        <f>'Données projet'!D181</f>
        <v>0</v>
      </c>
      <c r="C193" s="201"/>
      <c r="D193" s="188">
        <f t="shared" si="11"/>
        <v>0</v>
      </c>
      <c r="E193" s="203"/>
      <c r="F193" s="260"/>
      <c r="G193" s="220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9">
        <f>'Données projet'!A182</f>
        <v>0</v>
      </c>
      <c r="B194" s="190">
        <f>'Données projet'!D182</f>
        <v>0</v>
      </c>
      <c r="C194" s="201"/>
      <c r="D194" s="188">
        <f t="shared" si="11"/>
        <v>0</v>
      </c>
      <c r="E194" s="203"/>
      <c r="F194" s="260"/>
      <c r="G194" s="220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9">
        <f>'Données projet'!A183</f>
        <v>0</v>
      </c>
      <c r="B195" s="190">
        <f>'Données projet'!D183</f>
        <v>0</v>
      </c>
      <c r="C195" s="201"/>
      <c r="D195" s="188">
        <f t="shared" si="11"/>
        <v>0</v>
      </c>
      <c r="E195" s="203"/>
      <c r="F195" s="260"/>
      <c r="G195" s="220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9">
        <f>'Données projet'!A184</f>
        <v>0</v>
      </c>
      <c r="B196" s="190">
        <f>'Données projet'!D184</f>
        <v>0</v>
      </c>
      <c r="C196" s="201"/>
      <c r="D196" s="188">
        <f t="shared" si="11"/>
        <v>0</v>
      </c>
      <c r="E196" s="203"/>
      <c r="F196" s="260"/>
      <c r="G196" s="220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9">
        <f>'Données projet'!A185</f>
        <v>0</v>
      </c>
      <c r="B197" s="190">
        <f>'Données projet'!D185</f>
        <v>0</v>
      </c>
      <c r="C197" s="201"/>
      <c r="D197" s="188">
        <f t="shared" si="11"/>
        <v>0</v>
      </c>
      <c r="E197" s="203"/>
      <c r="F197" s="260"/>
      <c r="G197" s="220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8"/>
      <c r="G198" s="220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8"/>
      <c r="G199" s="220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3" t="str">
        <f>IF('Données projet'!$B$15="","",'Données projet'!$B$15)</f>
        <v/>
      </c>
      <c r="C200" s="5"/>
      <c r="D200" s="5"/>
      <c r="E200" s="5"/>
      <c r="F200" s="258"/>
      <c r="G200" s="220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8"/>
      <c r="G201" s="220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7">
        <v>0</v>
      </c>
      <c r="B203" s="210" t="s">
        <v>132</v>
      </c>
      <c r="C203" s="209" t="s">
        <v>132</v>
      </c>
      <c r="D203" s="208" t="s">
        <v>132</v>
      </c>
      <c r="E203" s="203"/>
      <c r="F203" s="259"/>
      <c r="G203" s="220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7">
        <v>1</v>
      </c>
      <c r="B204" s="210" t="s">
        <v>132</v>
      </c>
      <c r="C204" s="209" t="s">
        <v>132</v>
      </c>
      <c r="D204" s="208" t="s">
        <v>132</v>
      </c>
      <c r="E204" s="203"/>
      <c r="F204" s="259"/>
      <c r="G204" s="218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7">
        <v>2</v>
      </c>
      <c r="B205" s="210" t="s">
        <v>132</v>
      </c>
      <c r="C205" s="209" t="s">
        <v>132</v>
      </c>
      <c r="D205" s="208" t="s">
        <v>132</v>
      </c>
      <c r="E205" s="203"/>
      <c r="F205" s="259"/>
      <c r="G205" s="218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7">
        <v>3</v>
      </c>
      <c r="B206" s="210" t="s">
        <v>132</v>
      </c>
      <c r="C206" s="209" t="s">
        <v>132</v>
      </c>
      <c r="D206" s="208" t="s">
        <v>132</v>
      </c>
      <c r="E206" s="203"/>
      <c r="F206" s="259"/>
      <c r="G206" s="218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7">
        <v>4</v>
      </c>
      <c r="B207" s="210" t="s">
        <v>132</v>
      </c>
      <c r="C207" s="209" t="s">
        <v>132</v>
      </c>
      <c r="D207" s="208" t="s">
        <v>132</v>
      </c>
      <c r="E207" s="203"/>
      <c r="F207" s="259"/>
      <c r="G207" s="218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7">
        <v>5</v>
      </c>
      <c r="B208" s="210" t="s">
        <v>132</v>
      </c>
      <c r="C208" s="209" t="s">
        <v>132</v>
      </c>
      <c r="D208" s="208" t="s">
        <v>132</v>
      </c>
      <c r="E208" s="203"/>
      <c r="F208" s="259"/>
      <c r="G208" s="219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9">
        <f>'Données projet'!A192</f>
        <v>0</v>
      </c>
      <c r="B209" s="190">
        <f>'Données projet'!D192</f>
        <v>0</v>
      </c>
      <c r="C209" s="203"/>
      <c r="D209" s="188">
        <f>B209*C209</f>
        <v>0</v>
      </c>
      <c r="E209" s="203"/>
      <c r="F209" s="260"/>
      <c r="G209" s="219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9">
        <f>'Données projet'!A193</f>
        <v>0</v>
      </c>
      <c r="B210" s="190">
        <f>'Données projet'!D193</f>
        <v>0</v>
      </c>
      <c r="C210" s="203"/>
      <c r="D210" s="188">
        <f t="shared" ref="D210:D228" si="12">B210*C210</f>
        <v>0</v>
      </c>
      <c r="E210" s="203"/>
      <c r="F210" s="260"/>
      <c r="G210" s="219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9">
        <f>'Données projet'!A194</f>
        <v>0</v>
      </c>
      <c r="B211" s="190">
        <f>'Données projet'!D194</f>
        <v>0</v>
      </c>
      <c r="C211" s="203"/>
      <c r="D211" s="188">
        <f t="shared" si="12"/>
        <v>0</v>
      </c>
      <c r="E211" s="203"/>
      <c r="F211" s="260"/>
      <c r="G211" s="219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9">
        <f>'Données projet'!A195</f>
        <v>0</v>
      </c>
      <c r="B212" s="190">
        <f>'Données projet'!D195</f>
        <v>0</v>
      </c>
      <c r="C212" s="203"/>
      <c r="D212" s="188">
        <f t="shared" si="12"/>
        <v>0</v>
      </c>
      <c r="E212" s="203"/>
      <c r="F212" s="260"/>
      <c r="G212" s="219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9">
        <f>'Données projet'!A196</f>
        <v>0</v>
      </c>
      <c r="B213" s="190">
        <f>'Données projet'!D196</f>
        <v>0</v>
      </c>
      <c r="C213" s="203"/>
      <c r="D213" s="188">
        <f t="shared" si="12"/>
        <v>0</v>
      </c>
      <c r="E213" s="203"/>
      <c r="F213" s="260"/>
      <c r="G213" s="219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9">
        <f>'Données projet'!A197</f>
        <v>0</v>
      </c>
      <c r="B214" s="190">
        <f>'Données projet'!D197</f>
        <v>0</v>
      </c>
      <c r="C214" s="203"/>
      <c r="D214" s="188">
        <f t="shared" si="12"/>
        <v>0</v>
      </c>
      <c r="E214" s="203"/>
      <c r="F214" s="260"/>
      <c r="G214" s="219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9">
        <f>'Données projet'!A198</f>
        <v>0</v>
      </c>
      <c r="B215" s="190">
        <f>'Données projet'!D198</f>
        <v>0</v>
      </c>
      <c r="C215" s="203"/>
      <c r="D215" s="188">
        <f t="shared" si="12"/>
        <v>0</v>
      </c>
      <c r="E215" s="203"/>
      <c r="F215" s="260"/>
      <c r="G215" s="220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9">
        <f>'Données projet'!A199</f>
        <v>0</v>
      </c>
      <c r="B216" s="190">
        <f>'Données projet'!D199</f>
        <v>0</v>
      </c>
      <c r="C216" s="203"/>
      <c r="D216" s="188">
        <f t="shared" si="12"/>
        <v>0</v>
      </c>
      <c r="E216" s="203"/>
      <c r="F216" s="260"/>
      <c r="G216" s="220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9">
        <f>'Données projet'!A200</f>
        <v>0</v>
      </c>
      <c r="B217" s="190">
        <f>'Données projet'!D200</f>
        <v>0</v>
      </c>
      <c r="C217" s="203"/>
      <c r="D217" s="188">
        <f t="shared" si="12"/>
        <v>0</v>
      </c>
      <c r="E217" s="203"/>
      <c r="F217" s="260"/>
      <c r="G217" s="220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9">
        <f>'Données projet'!A201</f>
        <v>0</v>
      </c>
      <c r="B218" s="190">
        <f>'Données projet'!D201</f>
        <v>0</v>
      </c>
      <c r="C218" s="203"/>
      <c r="D218" s="188">
        <f t="shared" si="12"/>
        <v>0</v>
      </c>
      <c r="E218" s="203"/>
      <c r="F218" s="260"/>
      <c r="G218" s="220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9">
        <f>'Données projet'!A202</f>
        <v>0</v>
      </c>
      <c r="B219" s="190">
        <f>'Données projet'!D202</f>
        <v>0</v>
      </c>
      <c r="C219" s="203"/>
      <c r="D219" s="188">
        <f t="shared" si="12"/>
        <v>0</v>
      </c>
      <c r="E219" s="203"/>
      <c r="F219" s="260"/>
      <c r="G219" s="220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9">
        <f>'Données projet'!A203</f>
        <v>0</v>
      </c>
      <c r="B220" s="190">
        <f>'Données projet'!D203</f>
        <v>0</v>
      </c>
      <c r="C220" s="203"/>
      <c r="D220" s="188">
        <f t="shared" si="12"/>
        <v>0</v>
      </c>
      <c r="E220" s="203"/>
      <c r="F220" s="260"/>
      <c r="G220" s="220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9">
        <f>'Données projet'!A204</f>
        <v>0</v>
      </c>
      <c r="B221" s="190">
        <f>'Données projet'!D204</f>
        <v>0</v>
      </c>
      <c r="C221" s="203"/>
      <c r="D221" s="188">
        <f t="shared" si="12"/>
        <v>0</v>
      </c>
      <c r="E221" s="203"/>
      <c r="F221" s="260"/>
      <c r="G221" s="220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9">
        <f>'Données projet'!A205</f>
        <v>0</v>
      </c>
      <c r="B222" s="190">
        <f>'Données projet'!D205</f>
        <v>0</v>
      </c>
      <c r="C222" s="203"/>
      <c r="D222" s="188">
        <f t="shared" si="12"/>
        <v>0</v>
      </c>
      <c r="E222" s="203"/>
      <c r="F222" s="260"/>
      <c r="G222" s="220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9">
        <f>'Données projet'!A206</f>
        <v>0</v>
      </c>
      <c r="B223" s="190">
        <f>'Données projet'!D206</f>
        <v>0</v>
      </c>
      <c r="C223" s="203"/>
      <c r="D223" s="188">
        <f t="shared" si="12"/>
        <v>0</v>
      </c>
      <c r="E223" s="203"/>
      <c r="F223" s="260"/>
      <c r="G223" s="220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9">
        <f>'Données projet'!A207</f>
        <v>0</v>
      </c>
      <c r="B224" s="190">
        <f>'Données projet'!D207</f>
        <v>0</v>
      </c>
      <c r="C224" s="203"/>
      <c r="D224" s="188">
        <f t="shared" si="12"/>
        <v>0</v>
      </c>
      <c r="E224" s="203"/>
      <c r="F224" s="260"/>
      <c r="G224" s="220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9">
        <f>'Données projet'!A208</f>
        <v>0</v>
      </c>
      <c r="B225" s="190">
        <f>'Données projet'!D208</f>
        <v>0</v>
      </c>
      <c r="C225" s="203"/>
      <c r="D225" s="188">
        <f t="shared" si="12"/>
        <v>0</v>
      </c>
      <c r="E225" s="203"/>
      <c r="F225" s="260"/>
      <c r="G225" s="220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9">
        <f>'Données projet'!A209</f>
        <v>0</v>
      </c>
      <c r="B226" s="190">
        <f>'Données projet'!D209</f>
        <v>0</v>
      </c>
      <c r="C226" s="203"/>
      <c r="D226" s="188">
        <f t="shared" si="12"/>
        <v>0</v>
      </c>
      <c r="E226" s="203"/>
      <c r="F226" s="260"/>
      <c r="G226" s="220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9">
        <f>'Données projet'!A210</f>
        <v>0</v>
      </c>
      <c r="B227" s="190">
        <f>'Données projet'!D210</f>
        <v>0</v>
      </c>
      <c r="C227" s="203"/>
      <c r="D227" s="188">
        <f t="shared" si="12"/>
        <v>0</v>
      </c>
      <c r="E227" s="203"/>
      <c r="F227" s="260"/>
      <c r="G227" s="220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9">
        <f>'Données projet'!A211</f>
        <v>0</v>
      </c>
      <c r="B228" s="190">
        <f>'Données projet'!D211</f>
        <v>0</v>
      </c>
      <c r="C228" s="203"/>
      <c r="D228" s="188">
        <f t="shared" si="12"/>
        <v>0</v>
      </c>
      <c r="E228" s="203"/>
      <c r="F228" s="260"/>
      <c r="G228" s="220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3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7">
        <v>0</v>
      </c>
      <c r="B234" s="210" t="s">
        <v>132</v>
      </c>
      <c r="C234" s="209" t="s">
        <v>132</v>
      </c>
      <c r="D234" s="208" t="s">
        <v>132</v>
      </c>
      <c r="E234" s="203"/>
      <c r="F234" s="259"/>
      <c r="G234" s="220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7">
        <v>1</v>
      </c>
      <c r="B235" s="210" t="s">
        <v>132</v>
      </c>
      <c r="C235" s="209" t="s">
        <v>132</v>
      </c>
      <c r="D235" s="208" t="s">
        <v>132</v>
      </c>
      <c r="E235" s="203"/>
      <c r="F235" s="259"/>
      <c r="G235" s="218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7">
        <v>2</v>
      </c>
      <c r="B236" s="210" t="s">
        <v>132</v>
      </c>
      <c r="C236" s="209" t="s">
        <v>132</v>
      </c>
      <c r="D236" s="208" t="s">
        <v>132</v>
      </c>
      <c r="E236" s="203"/>
      <c r="F236" s="259"/>
      <c r="G236" s="218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7">
        <v>3</v>
      </c>
      <c r="B237" s="210" t="s">
        <v>132</v>
      </c>
      <c r="C237" s="209" t="s">
        <v>132</v>
      </c>
      <c r="D237" s="208" t="s">
        <v>132</v>
      </c>
      <c r="E237" s="203"/>
      <c r="F237" s="259"/>
      <c r="G237" s="218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7">
        <v>4</v>
      </c>
      <c r="B238" s="210" t="s">
        <v>132</v>
      </c>
      <c r="C238" s="209" t="s">
        <v>132</v>
      </c>
      <c r="D238" s="208" t="s">
        <v>132</v>
      </c>
      <c r="E238" s="203"/>
      <c r="F238" s="259"/>
      <c r="G238" s="218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7">
        <v>5</v>
      </c>
      <c r="B239" s="210" t="s">
        <v>132</v>
      </c>
      <c r="C239" s="209" t="s">
        <v>132</v>
      </c>
      <c r="D239" s="208" t="s">
        <v>132</v>
      </c>
      <c r="E239" s="203"/>
      <c r="F239" s="259"/>
      <c r="G239" s="219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9">
        <f>'Données projet'!A218</f>
        <v>0</v>
      </c>
      <c r="B240" s="190">
        <f>'Données projet'!D218</f>
        <v>0</v>
      </c>
      <c r="C240" s="203"/>
      <c r="D240" s="188">
        <f>B240*C240</f>
        <v>0</v>
      </c>
      <c r="E240" s="203"/>
      <c r="F240" s="260"/>
      <c r="G240" s="219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9">
        <f>'Données projet'!A219</f>
        <v>0</v>
      </c>
      <c r="B241" s="190">
        <f>'Données projet'!D219</f>
        <v>0</v>
      </c>
      <c r="C241" s="203"/>
      <c r="D241" s="188">
        <f t="shared" ref="D241:D259" si="13">B241*C241</f>
        <v>0</v>
      </c>
      <c r="E241" s="203"/>
      <c r="F241" s="260"/>
      <c r="G241" s="219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9">
        <f>'Données projet'!A220</f>
        <v>0</v>
      </c>
      <c r="B242" s="190">
        <f>'Données projet'!D220</f>
        <v>0</v>
      </c>
      <c r="C242" s="203"/>
      <c r="D242" s="188">
        <f t="shared" si="13"/>
        <v>0</v>
      </c>
      <c r="E242" s="203"/>
      <c r="F242" s="260"/>
      <c r="G242" s="219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9">
        <f>'Données projet'!A221</f>
        <v>0</v>
      </c>
      <c r="B243" s="190">
        <f>'Données projet'!D221</f>
        <v>0</v>
      </c>
      <c r="C243" s="203"/>
      <c r="D243" s="188">
        <f t="shared" si="13"/>
        <v>0</v>
      </c>
      <c r="E243" s="203"/>
      <c r="F243" s="260"/>
      <c r="G243" s="219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9">
        <f>'Données projet'!A222</f>
        <v>0</v>
      </c>
      <c r="B244" s="190">
        <f>'Données projet'!D222</f>
        <v>0</v>
      </c>
      <c r="C244" s="203"/>
      <c r="D244" s="188">
        <f t="shared" si="13"/>
        <v>0</v>
      </c>
      <c r="E244" s="203"/>
      <c r="F244" s="260"/>
      <c r="G244" s="219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9">
        <f>'Données projet'!A223</f>
        <v>0</v>
      </c>
      <c r="B245" s="190">
        <f>'Données projet'!D223</f>
        <v>0</v>
      </c>
      <c r="C245" s="203"/>
      <c r="D245" s="188">
        <f t="shared" si="13"/>
        <v>0</v>
      </c>
      <c r="E245" s="203"/>
      <c r="F245" s="260"/>
      <c r="G245" s="219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9">
        <f>'Données projet'!A224</f>
        <v>0</v>
      </c>
      <c r="B246" s="190">
        <f>'Données projet'!D224</f>
        <v>0</v>
      </c>
      <c r="C246" s="203"/>
      <c r="D246" s="188">
        <f t="shared" si="13"/>
        <v>0</v>
      </c>
      <c r="E246" s="203"/>
      <c r="F246" s="260"/>
      <c r="G246" s="220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9">
        <f>'Données projet'!A225</f>
        <v>0</v>
      </c>
      <c r="B247" s="190">
        <f>'Données projet'!D225</f>
        <v>0</v>
      </c>
      <c r="C247" s="203"/>
      <c r="D247" s="188">
        <f t="shared" si="13"/>
        <v>0</v>
      </c>
      <c r="E247" s="203"/>
      <c r="F247" s="260"/>
      <c r="G247" s="220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9">
        <f>'Données projet'!A226</f>
        <v>0</v>
      </c>
      <c r="B248" s="190">
        <f>'Données projet'!D226</f>
        <v>0</v>
      </c>
      <c r="C248" s="203"/>
      <c r="D248" s="188">
        <f t="shared" si="13"/>
        <v>0</v>
      </c>
      <c r="E248" s="203"/>
      <c r="F248" s="260"/>
      <c r="G248" s="220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9">
        <f>'Données projet'!A227</f>
        <v>0</v>
      </c>
      <c r="B249" s="190">
        <f>'Données projet'!D227</f>
        <v>0</v>
      </c>
      <c r="C249" s="203"/>
      <c r="D249" s="188">
        <f t="shared" si="13"/>
        <v>0</v>
      </c>
      <c r="E249" s="203"/>
      <c r="F249" s="260"/>
      <c r="G249" s="220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9">
        <f>'Données projet'!A228</f>
        <v>0</v>
      </c>
      <c r="B250" s="190">
        <f>'Données projet'!D228</f>
        <v>0</v>
      </c>
      <c r="C250" s="203"/>
      <c r="D250" s="188">
        <f t="shared" si="13"/>
        <v>0</v>
      </c>
      <c r="E250" s="203"/>
      <c r="F250" s="260"/>
      <c r="G250" s="220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9">
        <f>'Données projet'!A229</f>
        <v>0</v>
      </c>
      <c r="B251" s="190">
        <f>'Données projet'!D229</f>
        <v>0</v>
      </c>
      <c r="C251" s="203"/>
      <c r="D251" s="188">
        <f t="shared" si="13"/>
        <v>0</v>
      </c>
      <c r="E251" s="203"/>
      <c r="F251" s="260"/>
      <c r="G251" s="220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9">
        <f>'Données projet'!A230</f>
        <v>0</v>
      </c>
      <c r="B252" s="190">
        <f>'Données projet'!D230</f>
        <v>0</v>
      </c>
      <c r="C252" s="203"/>
      <c r="D252" s="188">
        <f t="shared" si="13"/>
        <v>0</v>
      </c>
      <c r="E252" s="203"/>
      <c r="F252" s="260"/>
      <c r="G252" s="220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9">
        <f>'Données projet'!A231</f>
        <v>0</v>
      </c>
      <c r="B253" s="190">
        <f>'Données projet'!D231</f>
        <v>0</v>
      </c>
      <c r="C253" s="203"/>
      <c r="D253" s="188">
        <f t="shared" si="13"/>
        <v>0</v>
      </c>
      <c r="E253" s="203"/>
      <c r="F253" s="260"/>
      <c r="G253" s="220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9">
        <f>'Données projet'!A232</f>
        <v>0</v>
      </c>
      <c r="B254" s="190">
        <f>'Données projet'!D232</f>
        <v>0</v>
      </c>
      <c r="C254" s="203"/>
      <c r="D254" s="188">
        <f t="shared" si="13"/>
        <v>0</v>
      </c>
      <c r="E254" s="203"/>
      <c r="F254" s="260"/>
      <c r="G254" s="220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9">
        <f>'Données projet'!A233</f>
        <v>0</v>
      </c>
      <c r="B255" s="190">
        <f>'Données projet'!D233</f>
        <v>0</v>
      </c>
      <c r="C255" s="203"/>
      <c r="D255" s="188">
        <f t="shared" si="13"/>
        <v>0</v>
      </c>
      <c r="E255" s="203"/>
      <c r="F255" s="260"/>
      <c r="G255" s="220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9">
        <f>'Données projet'!A234</f>
        <v>0</v>
      </c>
      <c r="B256" s="190">
        <f>'Données projet'!D234</f>
        <v>0</v>
      </c>
      <c r="C256" s="203"/>
      <c r="D256" s="188">
        <f t="shared" si="13"/>
        <v>0</v>
      </c>
      <c r="E256" s="203"/>
      <c r="F256" s="260"/>
      <c r="G256" s="220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9">
        <f>'Données projet'!A235</f>
        <v>0</v>
      </c>
      <c r="B257" s="190">
        <f>'Données projet'!D235</f>
        <v>0</v>
      </c>
      <c r="C257" s="203"/>
      <c r="D257" s="188">
        <f t="shared" si="13"/>
        <v>0</v>
      </c>
      <c r="E257" s="203"/>
      <c r="F257" s="260"/>
      <c r="G257" s="220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9">
        <f>'Données projet'!A236</f>
        <v>0</v>
      </c>
      <c r="B258" s="190">
        <f>'Données projet'!D236</f>
        <v>0</v>
      </c>
      <c r="C258" s="203"/>
      <c r="D258" s="188">
        <f t="shared" si="13"/>
        <v>0</v>
      </c>
      <c r="E258" s="203"/>
      <c r="F258" s="260"/>
      <c r="G258" s="220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9">
        <f>'Données projet'!A237</f>
        <v>0</v>
      </c>
      <c r="B259" s="190">
        <f>'Données projet'!D237</f>
        <v>0</v>
      </c>
      <c r="C259" s="203"/>
      <c r="D259" s="188">
        <f t="shared" si="13"/>
        <v>0</v>
      </c>
      <c r="E259" s="203"/>
      <c r="F259" s="260"/>
      <c r="G259" s="220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3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7">
        <v>0</v>
      </c>
      <c r="B265" s="210" t="s">
        <v>132</v>
      </c>
      <c r="C265" s="209" t="s">
        <v>132</v>
      </c>
      <c r="D265" s="208" t="s">
        <v>132</v>
      </c>
      <c r="E265" s="203"/>
      <c r="F265" s="259"/>
      <c r="G265" s="220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7">
        <v>1</v>
      </c>
      <c r="B266" s="210" t="s">
        <v>132</v>
      </c>
      <c r="C266" s="209" t="s">
        <v>132</v>
      </c>
      <c r="D266" s="208" t="s">
        <v>132</v>
      </c>
      <c r="E266" s="203"/>
      <c r="F266" s="259"/>
      <c r="G266" s="218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7">
        <v>2</v>
      </c>
      <c r="B267" s="210" t="s">
        <v>132</v>
      </c>
      <c r="C267" s="209" t="s">
        <v>132</v>
      </c>
      <c r="D267" s="208" t="s">
        <v>132</v>
      </c>
      <c r="E267" s="203"/>
      <c r="F267" s="259"/>
      <c r="G267" s="218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7">
        <v>3</v>
      </c>
      <c r="B268" s="210" t="s">
        <v>132</v>
      </c>
      <c r="C268" s="209" t="s">
        <v>132</v>
      </c>
      <c r="D268" s="208" t="s">
        <v>132</v>
      </c>
      <c r="E268" s="203"/>
      <c r="F268" s="259"/>
      <c r="G268" s="218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7">
        <v>4</v>
      </c>
      <c r="B269" s="210" t="s">
        <v>132</v>
      </c>
      <c r="C269" s="209" t="s">
        <v>132</v>
      </c>
      <c r="D269" s="208" t="s">
        <v>132</v>
      </c>
      <c r="E269" s="203"/>
      <c r="F269" s="259"/>
      <c r="G269" s="218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7">
        <v>5</v>
      </c>
      <c r="B270" s="210" t="s">
        <v>132</v>
      </c>
      <c r="C270" s="209" t="s">
        <v>132</v>
      </c>
      <c r="D270" s="208" t="s">
        <v>132</v>
      </c>
      <c r="E270" s="203"/>
      <c r="F270" s="259"/>
      <c r="G270" s="219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9">
        <f>'Données projet'!A244</f>
        <v>0</v>
      </c>
      <c r="B271" s="190">
        <f>'Données projet'!D244</f>
        <v>0</v>
      </c>
      <c r="C271" s="203"/>
      <c r="D271" s="188">
        <f>B271*C271</f>
        <v>0</v>
      </c>
      <c r="E271" s="203"/>
      <c r="F271" s="260"/>
      <c r="G271" s="219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9">
        <f>'Données projet'!A245</f>
        <v>0</v>
      </c>
      <c r="B272" s="190">
        <f>'Données projet'!D245</f>
        <v>0</v>
      </c>
      <c r="C272" s="203"/>
      <c r="D272" s="188">
        <f t="shared" ref="D272:D290" si="14">B272*C272</f>
        <v>0</v>
      </c>
      <c r="E272" s="203"/>
      <c r="F272" s="260"/>
      <c r="G272" s="219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9">
        <f>'Données projet'!A246</f>
        <v>0</v>
      </c>
      <c r="B273" s="190">
        <f>'Données projet'!D246</f>
        <v>0</v>
      </c>
      <c r="C273" s="203"/>
      <c r="D273" s="188">
        <f t="shared" si="14"/>
        <v>0</v>
      </c>
      <c r="E273" s="203"/>
      <c r="F273" s="260"/>
      <c r="G273" s="219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9">
        <f>'Données projet'!A247</f>
        <v>0</v>
      </c>
      <c r="B274" s="190">
        <f>'Données projet'!D247</f>
        <v>0</v>
      </c>
      <c r="C274" s="203"/>
      <c r="D274" s="188">
        <f t="shared" si="14"/>
        <v>0</v>
      </c>
      <c r="E274" s="203"/>
      <c r="F274" s="260"/>
      <c r="G274" s="219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9">
        <f>'Données projet'!A248</f>
        <v>0</v>
      </c>
      <c r="B275" s="190">
        <f>'Données projet'!D248</f>
        <v>0</v>
      </c>
      <c r="C275" s="203"/>
      <c r="D275" s="188">
        <f t="shared" si="14"/>
        <v>0</v>
      </c>
      <c r="E275" s="203"/>
      <c r="F275" s="260"/>
      <c r="G275" s="219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9">
        <f>'Données projet'!A249</f>
        <v>0</v>
      </c>
      <c r="B276" s="190">
        <f>'Données projet'!D249</f>
        <v>0</v>
      </c>
      <c r="C276" s="203"/>
      <c r="D276" s="188">
        <f t="shared" si="14"/>
        <v>0</v>
      </c>
      <c r="E276" s="203"/>
      <c r="F276" s="260"/>
      <c r="G276" s="219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9">
        <f>'Données projet'!A250</f>
        <v>0</v>
      </c>
      <c r="B277" s="190">
        <f>'Données projet'!D250</f>
        <v>0</v>
      </c>
      <c r="C277" s="203"/>
      <c r="D277" s="188">
        <f t="shared" si="14"/>
        <v>0</v>
      </c>
      <c r="E277" s="203"/>
      <c r="F277" s="260"/>
      <c r="G277" s="220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9">
        <f>'Données projet'!A251</f>
        <v>0</v>
      </c>
      <c r="B278" s="190">
        <f>'Données projet'!D251</f>
        <v>0</v>
      </c>
      <c r="C278" s="203"/>
      <c r="D278" s="188">
        <f t="shared" si="14"/>
        <v>0</v>
      </c>
      <c r="E278" s="203"/>
      <c r="F278" s="260"/>
      <c r="G278" s="220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9">
        <f>'Données projet'!A252</f>
        <v>0</v>
      </c>
      <c r="B279" s="190">
        <f>'Données projet'!D252</f>
        <v>0</v>
      </c>
      <c r="C279" s="203"/>
      <c r="D279" s="188">
        <f t="shared" si="14"/>
        <v>0</v>
      </c>
      <c r="E279" s="203"/>
      <c r="F279" s="260"/>
      <c r="G279" s="220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9">
        <f>'Données projet'!A253</f>
        <v>0</v>
      </c>
      <c r="B280" s="190">
        <f>'Données projet'!D253</f>
        <v>0</v>
      </c>
      <c r="C280" s="203"/>
      <c r="D280" s="188">
        <f t="shared" si="14"/>
        <v>0</v>
      </c>
      <c r="E280" s="203"/>
      <c r="F280" s="260"/>
      <c r="G280" s="220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9">
        <f>'Données projet'!A254</f>
        <v>0</v>
      </c>
      <c r="B281" s="190">
        <f>'Données projet'!D254</f>
        <v>0</v>
      </c>
      <c r="C281" s="203"/>
      <c r="D281" s="188">
        <f t="shared" si="14"/>
        <v>0</v>
      </c>
      <c r="E281" s="203"/>
      <c r="F281" s="260"/>
      <c r="G281" s="220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9">
        <f>'Données projet'!A255</f>
        <v>0</v>
      </c>
      <c r="B282" s="190">
        <f>'Données projet'!D255</f>
        <v>0</v>
      </c>
      <c r="C282" s="203"/>
      <c r="D282" s="188">
        <f t="shared" si="14"/>
        <v>0</v>
      </c>
      <c r="E282" s="203"/>
      <c r="F282" s="260"/>
      <c r="G282" s="220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9">
        <f>'Données projet'!A256</f>
        <v>0</v>
      </c>
      <c r="B283" s="190">
        <f>'Données projet'!D256</f>
        <v>0</v>
      </c>
      <c r="C283" s="203"/>
      <c r="D283" s="188">
        <f t="shared" si="14"/>
        <v>0</v>
      </c>
      <c r="E283" s="203"/>
      <c r="F283" s="260"/>
      <c r="G283" s="220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9">
        <f>'Données projet'!A257</f>
        <v>0</v>
      </c>
      <c r="B284" s="190">
        <f>'Données projet'!D257</f>
        <v>0</v>
      </c>
      <c r="C284" s="203"/>
      <c r="D284" s="188">
        <f t="shared" si="14"/>
        <v>0</v>
      </c>
      <c r="E284" s="203"/>
      <c r="F284" s="260"/>
      <c r="G284" s="220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9">
        <f>'Données projet'!A258</f>
        <v>0</v>
      </c>
      <c r="B285" s="190">
        <f>'Données projet'!D258</f>
        <v>0</v>
      </c>
      <c r="C285" s="203"/>
      <c r="D285" s="188">
        <f t="shared" si="14"/>
        <v>0</v>
      </c>
      <c r="E285" s="203"/>
      <c r="F285" s="260"/>
      <c r="G285" s="220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9">
        <f>'Données projet'!A259</f>
        <v>0</v>
      </c>
      <c r="B286" s="190">
        <f>'Données projet'!D259</f>
        <v>0</v>
      </c>
      <c r="C286" s="203"/>
      <c r="D286" s="188">
        <f t="shared" si="14"/>
        <v>0</v>
      </c>
      <c r="E286" s="203"/>
      <c r="F286" s="260"/>
      <c r="G286" s="220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9">
        <f>'Données projet'!A260</f>
        <v>0</v>
      </c>
      <c r="B287" s="190">
        <f>'Données projet'!D260</f>
        <v>0</v>
      </c>
      <c r="C287" s="203"/>
      <c r="D287" s="188">
        <f t="shared" si="14"/>
        <v>0</v>
      </c>
      <c r="E287" s="203"/>
      <c r="F287" s="260"/>
      <c r="G287" s="220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9">
        <f>'Données projet'!A261</f>
        <v>0</v>
      </c>
      <c r="B288" s="190">
        <f>'Données projet'!D261</f>
        <v>0</v>
      </c>
      <c r="C288" s="203"/>
      <c r="D288" s="188">
        <f t="shared" si="14"/>
        <v>0</v>
      </c>
      <c r="E288" s="203"/>
      <c r="F288" s="260"/>
      <c r="G288" s="220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9">
        <f>'Données projet'!A262</f>
        <v>0</v>
      </c>
      <c r="B289" s="190">
        <f>'Données projet'!D262</f>
        <v>0</v>
      </c>
      <c r="C289" s="203"/>
      <c r="D289" s="188">
        <f t="shared" si="14"/>
        <v>0</v>
      </c>
      <c r="E289" s="203"/>
      <c r="F289" s="260"/>
      <c r="G289" s="220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9">
        <f>'Données projet'!A263</f>
        <v>0</v>
      </c>
      <c r="B290" s="190">
        <f>'Données projet'!D263</f>
        <v>0</v>
      </c>
      <c r="C290" s="203"/>
      <c r="D290" s="188">
        <f t="shared" si="14"/>
        <v>0</v>
      </c>
      <c r="E290" s="203"/>
      <c r="F290" s="260"/>
      <c r="G290" s="220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7">
        <v>0</v>
      </c>
      <c r="B296" s="210" t="s">
        <v>132</v>
      </c>
      <c r="C296" s="209" t="s">
        <v>132</v>
      </c>
      <c r="D296" s="208" t="s">
        <v>132</v>
      </c>
      <c r="E296" s="203"/>
      <c r="F296" s="259"/>
      <c r="G296" s="220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7">
        <v>1</v>
      </c>
      <c r="B297" s="210" t="s">
        <v>132</v>
      </c>
      <c r="C297" s="209" t="s">
        <v>132</v>
      </c>
      <c r="D297" s="208" t="s">
        <v>132</v>
      </c>
      <c r="E297" s="203"/>
      <c r="F297" s="259"/>
      <c r="G297" s="218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7">
        <v>2</v>
      </c>
      <c r="B298" s="210" t="s">
        <v>132</v>
      </c>
      <c r="C298" s="209" t="s">
        <v>132</v>
      </c>
      <c r="D298" s="208" t="s">
        <v>132</v>
      </c>
      <c r="E298" s="203"/>
      <c r="F298" s="259"/>
      <c r="G298" s="218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7">
        <v>3</v>
      </c>
      <c r="B299" s="210" t="s">
        <v>132</v>
      </c>
      <c r="C299" s="209" t="s">
        <v>132</v>
      </c>
      <c r="D299" s="208" t="s">
        <v>132</v>
      </c>
      <c r="E299" s="203"/>
      <c r="F299" s="259"/>
      <c r="G299" s="218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7">
        <v>4</v>
      </c>
      <c r="B300" s="210" t="s">
        <v>132</v>
      </c>
      <c r="C300" s="209" t="s">
        <v>132</v>
      </c>
      <c r="D300" s="208" t="s">
        <v>132</v>
      </c>
      <c r="E300" s="203"/>
      <c r="F300" s="259"/>
      <c r="G300" s="218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7">
        <v>5</v>
      </c>
      <c r="B301" s="210" t="s">
        <v>132</v>
      </c>
      <c r="C301" s="209" t="s">
        <v>132</v>
      </c>
      <c r="D301" s="208" t="s">
        <v>132</v>
      </c>
      <c r="E301" s="203"/>
      <c r="F301" s="259"/>
      <c r="G301" s="219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1"/>
      <c r="G302" s="219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1"/>
      <c r="G303" s="219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9">
        <f>'Données projet'!A272</f>
        <v>0</v>
      </c>
      <c r="B304" s="190">
        <f>'Données projet'!D272</f>
        <v>0</v>
      </c>
      <c r="C304" s="201"/>
      <c r="D304" s="191">
        <f t="shared" si="15"/>
        <v>0</v>
      </c>
      <c r="E304" s="203"/>
      <c r="F304" s="261"/>
      <c r="G304" s="219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1"/>
      <c r="G305" s="219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1"/>
      <c r="G306" s="219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9">
        <f>'Données projet'!A275</f>
        <v>0</v>
      </c>
      <c r="B307" s="190">
        <f>'Données projet'!D275</f>
        <v>0</v>
      </c>
      <c r="C307" s="201"/>
      <c r="D307" s="191">
        <f t="shared" si="15"/>
        <v>0</v>
      </c>
      <c r="E307" s="203"/>
      <c r="F307" s="261"/>
      <c r="G307" s="219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1"/>
      <c r="G308" s="215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1"/>
      <c r="G309" s="215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1"/>
      <c r="G310" s="215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1"/>
      <c r="G311" s="215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9">
        <f>'Données projet'!A280</f>
        <v>0</v>
      </c>
      <c r="B312" s="190">
        <f>'Données projet'!D280</f>
        <v>0</v>
      </c>
      <c r="C312" s="201"/>
      <c r="D312" s="191">
        <f t="shared" si="15"/>
        <v>0</v>
      </c>
      <c r="E312" s="203"/>
      <c r="F312" s="261"/>
      <c r="G312" s="215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1"/>
      <c r="G313" s="215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1"/>
      <c r="G314" s="215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1"/>
      <c r="G315" s="215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1"/>
      <c r="G316" s="215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1"/>
      <c r="G317" s="215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1"/>
      <c r="G318" s="215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1"/>
      <c r="G319" s="215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1"/>
      <c r="G320" s="215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9">
        <f>'Données projet'!A289</f>
        <v>0</v>
      </c>
      <c r="B321" s="190">
        <f>'Données projet'!D289</f>
        <v>0</v>
      </c>
      <c r="C321" s="206"/>
      <c r="D321" s="191">
        <f t="shared" si="15"/>
        <v>0</v>
      </c>
      <c r="E321" s="203"/>
      <c r="F321" s="261"/>
      <c r="G321" s="215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5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5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5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5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5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5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8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8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8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8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8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8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8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8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8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8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8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8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8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8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8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8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8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8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8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8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8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8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8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8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8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8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2024-07-22T12:46:46Z</dcterms:modified>
</cp:coreProperties>
</file>