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F DES OLIVIERS - 15499258 LE/"/>
    </mc:Choice>
  </mc:AlternateContent>
  <xr:revisionPtr revIDLastSave="211" documentId="13_ncr:1_{91C62E09-7A97-40C6-8A6D-8C8B5668C142}" xr6:coauthVersionLast="47" xr6:coauthVersionMax="47" xr10:uidLastSave="{DF5941E0-0F69-452F-982F-6CA44264049B}"/>
  <bookViews>
    <workbookView xWindow="382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4" i="6" l="1"/>
  <c r="I23" i="6"/>
  <c r="I22" i="6"/>
  <c r="I2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62" i="2" a="1"/>
  <c r="AH62" i="2" s="1"/>
  <c r="AH199" i="2" a="1"/>
  <c r="AH199" i="2" s="1"/>
  <c r="AH166" i="2" a="1"/>
  <c r="AH166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<sst xmlns="http://schemas.openxmlformats.org/spreadsheetml/2006/main" count="1177" uniqueCount="328">
  <si>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</si>
  <si>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</si>
  <si>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</si>
  <si>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</si>
  <si>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</si>
  <si>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</si>
  <si>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</si>
  <si>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</si>
  <si>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</si>
  <si>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</si>
  <si>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</si>
  <si>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</si>
  <si>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</si>
  <si>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</si>
  <si>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</si>
  <si>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</si>
  <si>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</si>
  <si>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</si>
  <si>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</si>
  <si>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</si>
  <si>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</si>
  <si>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</si>
  <si>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</si>
  <si>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</si>
  <si>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</si>
  <si>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</si>
  <si>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</si>
  <si>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</si>
  <si>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</si>
  <si>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</si>
  <si>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</si>
  <si>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</si>
  <si>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</si>
  <si>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</si>
  <si>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</si>
  <si>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</si>
  <si>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</si>
  <si>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</si>
  <si>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</si>
  <si>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</si>
  <si>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</si>
  <si>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</si>
  <si>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</si>
  <si>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</si>
  <si>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</si>
  <si>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</si>
  <si>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</si>
  <si>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</si>
  <si>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</si>
  <si>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</si>
  <si>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</si>
  <si>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</si>
  <si>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</si>
  <si>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</si>
  <si>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</si>
  <si>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</si>
  <si>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</si>
  <si>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</si>
  <si>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</si>
  <si>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</si>
  <si>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</si>
  <si>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</si>
  <si>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</si>
  <si>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</si>
  <si>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</si>
  <si>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</si>
  <si>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</si>
  <si>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</si>
  <si>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</si>
  <si>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</si>
  <si>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</si>
  <si>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</si>
  <si>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</si>
  <si>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</si>
  <si>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</si>
  <si>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</si>
  <si>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</si>
  <si>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</si>
  <si>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</si>
  <si>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</si>
  <si>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</si>
  <si>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</si>
  <si>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</si>
  <si>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</si>
  <si>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</si>
  <si>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</si>
  <si>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</si>
  <si>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</si>
  <si>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</si>
  <si>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</si>
  <si>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</si>
  <si>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</si>
  <si>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</si>
  <si>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</si>
  <si>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</si>
  <si>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</si>
  <si>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</si>
  <si>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</si>
  <si>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</si>
  <si>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</si>
  <si>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</si>
  <si>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</si>
  <si>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</si>
  <si>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</si>
  <si>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</si>
  <si>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</si>
  <si>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</si>
  <si>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</si>
  <si>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</si>
  <si>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</si>
  <si>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</si>
  <si>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</si>
  <si>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</si>
  <si>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</si>
  <si>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</si>
  <si>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</si>
  <si>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</si>
  <si>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</si>
  <si>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</si>
  <si>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</si>
  <si>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</si>
  <si>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</si>
  <si>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</si>
  <si>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</si>
  <si>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</si>
  <si>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</si>
  <si>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</si>
  <si>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</si>
  <si>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</si>
  <si>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</si>
  <si>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</si>
  <si>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</si>
  <si>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</si>
  <si>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</si>
  <si>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</si>
  <si>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</si>
  <si>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</si>
  <si>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</si>
  <si>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</si>
  <si>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</si>
  <si>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</si>
  <si>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</si>
  <si>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</si>
  <si>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</si>
  <si>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</si>
  <si>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</si>
  <si>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</si>
  <si>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</si>
  <si>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</si>
  <si>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</si>
  <si>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</si>
  <si>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</si>
  <si>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</si>
  <si>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</si>
  <si>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</si>
  <si>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</si>
  <si>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</si>
  <si>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</si>
  <si>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</si>
  <si>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</si>
  <si>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</si>
  <si>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</si>
  <si>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</si>
  <si>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</si>
  <si>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</si>
  <si>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</si>
  <si>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</si>
  <si>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</si>
  <si>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</si>
  <si>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</si>
  <si>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</si>
  <si>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</si>
  <si>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</si>
  <si>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</si>
  <si>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</si>
  <si>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</si>
  <si>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</si>
  <si>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</si>
  <si>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</si>
  <si>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</si>
  <si>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</si>
  <si>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</si>
  <si>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</si>
  <si>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</si>
  <si>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</si>
  <si>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</si>
  <si>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</si>
  <si>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</si>
  <si>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</si>
  <si>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</si>
  <si>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</si>
  <si>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</si>
  <si>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</si>
  <si>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</si>
  <si>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</si>
  <si>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</si>
  <si>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</si>
  <si>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</si>
  <si>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</si>
  <si>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</si>
  <si>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</si>
  <si>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</si>
  <si>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</si>
  <si>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</si>
  <si>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</si>
  <si>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</si>
  <si>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</si>
  <si>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</si>
  <si>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</si>
  <si>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</si>
  <si>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</si>
  <si>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</si>
  <si>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</si>
  <si>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</si>
  <si>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</si>
  <si>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</si>
  <si>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</si>
  <si>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</si>
  <si>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</si>
  <si>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</si>
  <si>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</si>
  <si>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</si>
  <si>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</si>
  <si>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</si>
  <si>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</si>
  <si>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</si>
  <si>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</si>
  <si>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</si>
  <si>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</si>
  <si>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</si>
  <si>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</si>
  <si>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</si>
  <si>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</si>
  <si>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</si>
  <si>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</si>
  <si>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</si>
  <si>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</si>
  <si>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</si>
  <si>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</si>
  <si>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</si>
  <si>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</si>
  <si>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</si>
  <si>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</si>
  <si>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</si>
  <si>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</si>
  <si>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</si>
  <si>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</si>
  <si>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</si>
  <si>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</si>
  <si>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</si>
  <si>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</si>
  <si>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</si>
  <si>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</si>
  <si>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</si>
  <si>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</si>
  <si>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</si>
  <si>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</si>
  <si>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</si>
  <si>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</si>
  <si>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</si>
  <si>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</si>
  <si>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</si>
  <si>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</si>
  <si>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</si>
  <si>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</si>
  <si>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</si>
  <si>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</si>
  <si>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</si>
  <si>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</si>
  <si>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</si>
  <si>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</si>
  <si>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</si>
  <si>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</si>
  <si>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</si>
  <si>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</si>
  <si>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</si>
  <si>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</si>
  <si>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</si>
  <si>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</si>
  <si>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</si>
  <si>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</si>
  <si>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</si>
  <si>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</si>
  <si>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</si>
  <si>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</si>
  <si>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</si>
  <si>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</si>
  <si>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</si>
  <si>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</si>
  <si>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</si>
  <si>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</si>
  <si>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</si>
  <si>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</si>
  <si>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</si>
  <si>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</si>
  <si>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</si>
  <si>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</si>
  <si>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</si>
  <si>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</si>
  <si>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</si>
  <si>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</si>
  <si>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</si>
  <si>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</si>
  <si>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</si>
  <si>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</si>
  <si>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</si>
  <si>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</si>
  <si>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</si>
  <si>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</si>
  <si>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</si>
  <si>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</si>
  <si>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</si>
  <si>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</si>
  <si>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</si>
  <si>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</si>
  <si>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</si>
  <si>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</si>
  <si>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</si>
  <si>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</si>
  <si>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</si>
  <si>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</si>
  <si>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</si>
  <si>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</si>
  <si>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</si>
  <si>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</si>
  <si>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J.J. Jansen_F2/5</t>
  </si>
  <si>
    <t>ONF_EPC_F2</t>
  </si>
  <si>
    <t>IDF_Mélèze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</si>
</sst>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1.9307584976046614</c:v>
                </c:pt>
                <c:pt idx="2">
                  <c:v>2.5650512589887167</c:v>
                </c:pt>
                <c:pt idx="3">
                  <c:v>3.4085894353429098</c:v>
                </c:pt>
                <c:pt idx="4">
                  <c:v>4.5306704043870161</c:v>
                </c:pt>
                <c:pt idx="5">
                  <c:v>6.0236248817219193</c:v>
                </c:pt>
                <c:pt idx="6">
                  <c:v>8.010498631722486</c:v>
                </c:pt>
                <c:pt idx="7">
                  <c:v>10.655303991907449</c:v>
                </c:pt>
                <c:pt idx="8">
                  <c:v>14.17670333802697</c:v>
                </c:pt>
                <c:pt idx="9">
                  <c:v>18.866276588131154</c:v>
                </c:pt>
                <c:pt idx="10">
                  <c:v>25.112912570994709</c:v>
                </c:pt>
                <c:pt idx="11">
                  <c:v>33.435382592084615</c:v>
                </c:pt>
                <c:pt idx="12">
                  <c:v>44.525848020806173</c:v>
                </c:pt>
                <c:pt idx="13">
                  <c:v>59.307981364892662</c:v>
                </c:pt>
                <c:pt idx="14">
                  <c:v>79.014621303141979</c:v>
                </c:pt>
                <c:pt idx="15">
                  <c:v>105.29154257060414</c:v>
                </c:pt>
                <c:pt idx="16">
                  <c:v>140.33614343808804</c:v>
                </c:pt>
                <c:pt idx="17">
                  <c:v>187.08282696706362</c:v>
                </c:pt>
                <c:pt idx="18">
                  <c:v>249.45083193351374</c:v>
                </c:pt>
                <c:pt idx="19">
                  <c:v>191.696212762545</c:v>
                </c:pt>
                <c:pt idx="20">
                  <c:v>224.20608689237574</c:v>
                </c:pt>
                <c:pt idx="21">
                  <c:v>256.60777089198524</c:v>
                </c:pt>
                <c:pt idx="22">
                  <c:v>288.91684986580464</c:v>
                </c:pt>
                <c:pt idx="23">
                  <c:v>321.14513151169655</c:v>
                </c:pt>
                <c:pt idx="24">
                  <c:v>353.30185772822512</c:v>
                </c:pt>
                <c:pt idx="25">
                  <c:v>326.34435790045637</c:v>
                </c:pt>
                <c:pt idx="26">
                  <c:v>360.74799403145965</c:v>
                </c:pt>
                <c:pt idx="27">
                  <c:v>395.07988016751779</c:v>
                </c:pt>
                <c:pt idx="28">
                  <c:v>429.34711973167282</c:v>
                </c:pt>
                <c:pt idx="29">
                  <c:v>463.55559027922953</c:v>
                </c:pt>
                <c:pt idx="30">
                  <c:v>497.71023178052695</c:v>
                </c:pt>
                <c:pt idx="31">
                  <c:v>435.66371956885092</c:v>
                </c:pt>
                <c:pt idx="32">
                  <c:v>469.67616504377384</c:v>
                </c:pt>
                <c:pt idx="33">
                  <c:v>503.63615942239403</c:v>
                </c:pt>
                <c:pt idx="34">
                  <c:v>537.54773101026342</c:v>
                </c:pt>
                <c:pt idx="35">
                  <c:v>571.41435900614306</c:v>
                </c:pt>
                <c:pt idx="36">
                  <c:v>605.23907710876176</c:v>
                </c:pt>
                <c:pt idx="37">
                  <c:v>536.97828494173086</c:v>
                </c:pt>
                <c:pt idx="38">
                  <c:v>570.17654790922836</c:v>
                </c:pt>
                <c:pt idx="39">
                  <c:v>603.33444275611043</c:v>
                </c:pt>
                <c:pt idx="40">
                  <c:v>636.45449618511327</c:v>
                </c:pt>
                <c:pt idx="41">
                  <c:v>669.53895087892067</c:v>
                </c:pt>
                <c:pt idx="42">
                  <c:v>702.58981015801294</c:v>
                </c:pt>
                <c:pt idx="43">
                  <c:v>627.01470959995152</c:v>
                </c:pt>
                <c:pt idx="44">
                  <c:v>658.94758842310682</c:v>
                </c:pt>
                <c:pt idx="45">
                  <c:v>690.84861573379169</c:v>
                </c:pt>
                <c:pt idx="46">
                  <c:v>722.71946663092638</c:v>
                </c:pt>
                <c:pt idx="47">
                  <c:v>754.56165667126595</c:v>
                </c:pt>
                <c:pt idx="48">
                  <c:v>786.3765632872063</c:v>
                </c:pt>
                <c:pt idx="49">
                  <c:v>697.46345728241215</c:v>
                </c:pt>
                <c:pt idx="50">
                  <c:v>727.69329615335755</c:v>
                </c:pt>
                <c:pt idx="51">
                  <c:v>757.89754335066129</c:v>
                </c:pt>
                <c:pt idx="52">
                  <c:v>788.07736050017218</c:v>
                </c:pt>
                <c:pt idx="53">
                  <c:v>818.23381315332517</c:v>
                </c:pt>
                <c:pt idx="54">
                  <c:v>848.36788205009941</c:v>
                </c:pt>
                <c:pt idx="55">
                  <c:v>4.959485612423072E-12</c:v>
                </c:pt>
                <c:pt idx="56">
                  <c:v>4.959485612423072E-12</c:v>
                </c:pt>
                <c:pt idx="57">
                  <c:v>4.959485612423072E-12</c:v>
                </c:pt>
                <c:pt idx="58">
                  <c:v>4.959485612423072E-12</c:v>
                </c:pt>
                <c:pt idx="59">
                  <c:v>4.959485612423072E-12</c:v>
                </c:pt>
                <c:pt idx="60">
                  <c:v>4.959485612423072E-12</c:v>
                </c:pt>
                <c:pt idx="61">
                  <c:v>4.959485612423072E-12</c:v>
                </c:pt>
                <c:pt idx="62">
                  <c:v>4.959485612423072E-12</c:v>
                </c:pt>
                <c:pt idx="63">
                  <c:v>4.959485612423072E-12</c:v>
                </c:pt>
                <c:pt idx="64">
                  <c:v>4.959485612423072E-12</c:v>
                </c:pt>
                <c:pt idx="65">
                  <c:v>4.959485612423072E-12</c:v>
                </c:pt>
                <c:pt idx="66">
                  <c:v>4.959485612423072E-12</c:v>
                </c:pt>
                <c:pt idx="67">
                  <c:v>4.959485612423072E-12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1.5182514281691633</c:v>
                </c:pt>
                <c:pt idx="2">
                  <c:v>1.8813042771297166</c:v>
                </c:pt>
                <c:pt idx="3">
                  <c:v>2.3315156735810616</c:v>
                </c:pt>
                <c:pt idx="4">
                  <c:v>2.8898878905301597</c:v>
                </c:pt>
                <c:pt idx="5">
                  <c:v>3.5825016989448226</c:v>
                </c:pt>
                <c:pt idx="6">
                  <c:v>4.4417483663876123</c:v>
                </c:pt>
                <c:pt idx="7">
                  <c:v>5.5078614224413203</c:v>
                </c:pt>
                <c:pt idx="8">
                  <c:v>6.830821329862121</c:v>
                </c:pt>
                <c:pt idx="9">
                  <c:v>8.4727240900450216</c:v>
                </c:pt>
                <c:pt idx="10">
                  <c:v>10.510727086779148</c:v>
                </c:pt>
                <c:pt idx="11">
                  <c:v>13.040713210811502</c:v>
                </c:pt>
                <c:pt idx="12">
                  <c:v>16.181848851997469</c:v>
                </c:pt>
                <c:pt idx="13">
                  <c:v>20.082254368901324</c:v>
                </c:pt>
                <c:pt idx="14">
                  <c:v>24.926059232773596</c:v>
                </c:pt>
                <c:pt idx="15">
                  <c:v>30.942180792713575</c:v>
                </c:pt>
                <c:pt idx="16">
                  <c:v>38.415248760794668</c:v>
                </c:pt>
                <c:pt idx="17">
                  <c:v>47.699201107753105</c:v>
                </c:pt>
                <c:pt idx="18">
                  <c:v>59.234206124903181</c:v>
                </c:pt>
                <c:pt idx="19">
                  <c:v>73.567726221111101</c:v>
                </c:pt>
                <c:pt idx="20">
                  <c:v>91.380739407926583</c:v>
                </c:pt>
                <c:pt idx="21">
                  <c:v>113.52038413494741</c:v>
                </c:pt>
                <c:pt idx="22">
                  <c:v>141.04060433250581</c:v>
                </c:pt>
                <c:pt idx="23">
                  <c:v>175.25275936402315</c:v>
                </c:pt>
                <c:pt idx="24">
                  <c:v>217.78864699540884</c:v>
                </c:pt>
                <c:pt idx="25">
                  <c:v>270.67899003474764</c:v>
                </c:pt>
                <c:pt idx="26">
                  <c:v>228.6849145203789</c:v>
                </c:pt>
                <c:pt idx="27">
                  <c:v>255.16288849345469</c:v>
                </c:pt>
                <c:pt idx="28">
                  <c:v>281.57867002603558</c:v>
                </c:pt>
                <c:pt idx="29">
                  <c:v>307.93891108415613</c:v>
                </c:pt>
                <c:pt idx="30">
                  <c:v>334.24903130109891</c:v>
                </c:pt>
                <c:pt idx="31">
                  <c:v>263.54378668805236</c:v>
                </c:pt>
                <c:pt idx="32">
                  <c:v>289.21102227953151</c:v>
                </c:pt>
                <c:pt idx="33">
                  <c:v>314.82734294255977</c:v>
                </c:pt>
                <c:pt idx="34">
                  <c:v>340.39747104348038</c:v>
                </c:pt>
                <c:pt idx="35">
                  <c:v>365.92536159956353</c:v>
                </c:pt>
                <c:pt idx="36">
                  <c:v>391.41437292720633</c:v>
                </c:pt>
                <c:pt idx="37">
                  <c:v>320.26655112552652</c:v>
                </c:pt>
                <c:pt idx="38">
                  <c:v>344.68160257580894</c:v>
                </c:pt>
                <c:pt idx="39">
                  <c:v>369.05867327304577</c:v>
                </c:pt>
                <c:pt idx="40">
                  <c:v>393.40062262207965</c:v>
                </c:pt>
                <c:pt idx="41">
                  <c:v>417.70992747095852</c:v>
                </c:pt>
                <c:pt idx="42">
                  <c:v>441.98875303459999</c:v>
                </c:pt>
                <c:pt idx="43">
                  <c:v>375.3667818369284</c:v>
                </c:pt>
                <c:pt idx="44">
                  <c:v>398.24576331171608</c:v>
                </c:pt>
                <c:pt idx="45">
                  <c:v>421.0962921241665</c:v>
                </c:pt>
                <c:pt idx="46">
                  <c:v>443.92012811747759</c:v>
                </c:pt>
                <c:pt idx="47">
                  <c:v>466.71883553314319</c:v>
                </c:pt>
                <c:pt idx="48">
                  <c:v>489.49381343851854</c:v>
                </c:pt>
                <c:pt idx="49">
                  <c:v>410.50878985003595</c:v>
                </c:pt>
                <c:pt idx="50">
                  <c:v>431.26467384907232</c:v>
                </c:pt>
                <c:pt idx="51">
                  <c:v>451.99910470791389</c:v>
                </c:pt>
                <c:pt idx="52">
                  <c:v>472.71320428679377</c:v>
                </c:pt>
                <c:pt idx="53">
                  <c:v>493.40798817360161</c:v>
                </c:pt>
                <c:pt idx="54">
                  <c:v>514.0843798766158</c:v>
                </c:pt>
                <c:pt idx="55">
                  <c:v>534.74322261581869</c:v>
                </c:pt>
                <c:pt idx="56">
                  <c:v>455.24590877264626</c:v>
                </c:pt>
                <c:pt idx="57">
                  <c:v>473.91405697620968</c:v>
                </c:pt>
                <c:pt idx="58">
                  <c:v>492.56656009933141</c:v>
                </c:pt>
                <c:pt idx="59">
                  <c:v>511.20409360450321</c:v>
                </c:pt>
                <c:pt idx="60">
                  <c:v>529.827279716622</c:v>
                </c:pt>
                <c:pt idx="61">
                  <c:v>548.43669338097345</c:v>
                </c:pt>
                <c:pt idx="62">
                  <c:v>567.03286737085307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2.0437599223688792</c:v>
                </c:pt>
                <c:pt idx="2">
                  <c:v>2.4666613188774984</c:v>
                </c:pt>
                <c:pt idx="3">
                  <c:v>2.9774036157245614</c:v>
                </c:pt>
                <c:pt idx="4">
                  <c:v>3.5942976029611455</c:v>
                </c:pt>
                <c:pt idx="5">
                  <c:v>4.3394838117170345</c:v>
                </c:pt>
                <c:pt idx="6">
                  <c:v>5.2397360044734418</c:v>
                </c:pt>
                <c:pt idx="7">
                  <c:v>6.3274337238845542</c:v>
                </c:pt>
                <c:pt idx="8">
                  <c:v>7.6417395646982156</c:v>
                </c:pt>
                <c:pt idx="9">
                  <c:v>9.230024375215228</c:v>
                </c:pt>
                <c:pt idx="10">
                  <c:v>11.149592734966637</c:v>
                </c:pt>
                <c:pt idx="11">
                  <c:v>16.800518186323085</c:v>
                </c:pt>
                <c:pt idx="12">
                  <c:v>23.354913678464214</c:v>
                </c:pt>
                <c:pt idx="13">
                  <c:v>29.856412337663127</c:v>
                </c:pt>
                <c:pt idx="14">
                  <c:v>36.318308967799886</c:v>
                </c:pt>
                <c:pt idx="15">
                  <c:v>42.748700429624904</c:v>
                </c:pt>
                <c:pt idx="16">
                  <c:v>50.280799365877662</c:v>
                </c:pt>
                <c:pt idx="17">
                  <c:v>61.524243221977478</c:v>
                </c:pt>
                <c:pt idx="18">
                  <c:v>72.714130391933963</c:v>
                </c:pt>
                <c:pt idx="19">
                  <c:v>83.859901104581681</c:v>
                </c:pt>
                <c:pt idx="20">
                  <c:v>94.968263273337399</c:v>
                </c:pt>
                <c:pt idx="21">
                  <c:v>94.598530824596324</c:v>
                </c:pt>
                <c:pt idx="22">
                  <c:v>103.46250949744713</c:v>
                </c:pt>
                <c:pt idx="23">
                  <c:v>112.3077139400978</c:v>
                </c:pt>
                <c:pt idx="24">
                  <c:v>121.1358337423589</c:v>
                </c:pt>
                <c:pt idx="25">
                  <c:v>129.94829150829943</c:v>
                </c:pt>
                <c:pt idx="26">
                  <c:v>118.74648643572345</c:v>
                </c:pt>
                <c:pt idx="27">
                  <c:v>126.8289238784414</c:v>
                </c:pt>
                <c:pt idx="28">
                  <c:v>134.89887902946009</c:v>
                </c:pt>
                <c:pt idx="29">
                  <c:v>142.95720510576567</c:v>
                </c:pt>
                <c:pt idx="30">
                  <c:v>151.00465108753244</c:v>
                </c:pt>
                <c:pt idx="31">
                  <c:v>137.83048350055182</c:v>
                </c:pt>
                <c:pt idx="32">
                  <c:v>145.70184000644187</c:v>
                </c:pt>
                <c:pt idx="33">
                  <c:v>153.56302988078727</c:v>
                </c:pt>
                <c:pt idx="34">
                  <c:v>161.41464777775786</c:v>
                </c:pt>
                <c:pt idx="35">
                  <c:v>169.25722567266303</c:v>
                </c:pt>
                <c:pt idx="36">
                  <c:v>153.56302988078727</c:v>
                </c:pt>
                <c:pt idx="37">
                  <c:v>160.68465382913149</c:v>
                </c:pt>
                <c:pt idx="38">
                  <c:v>167.79880331835713</c:v>
                </c:pt>
                <c:pt idx="39">
                  <c:v>174.90584046860872</c:v>
                </c:pt>
                <c:pt idx="40">
                  <c:v>182.0060955160782</c:v>
                </c:pt>
                <c:pt idx="41">
                  <c:v>165.97535432599307</c:v>
                </c:pt>
                <c:pt idx="42">
                  <c:v>172.71979691152288</c:v>
                </c:pt>
                <c:pt idx="43">
                  <c:v>179.45804674894927</c:v>
                </c:pt>
                <c:pt idx="44">
                  <c:v>186.19036956015921</c:v>
                </c:pt>
                <c:pt idx="45">
                  <c:v>192.91701024787278</c:v>
                </c:pt>
                <c:pt idx="46">
                  <c:v>176.18073552650404</c:v>
                </c:pt>
                <c:pt idx="47">
                  <c:v>182.18806689822347</c:v>
                </c:pt>
                <c:pt idx="48">
                  <c:v>188.19076462377916</c:v>
                </c:pt>
                <c:pt idx="49">
                  <c:v>194.18899762909643</c:v>
                </c:pt>
                <c:pt idx="50">
                  <c:v>200.1829235327601</c:v>
                </c:pt>
                <c:pt idx="51">
                  <c:v>184.18947240212205</c:v>
                </c:pt>
                <c:pt idx="52">
                  <c:v>190.00887503074011</c:v>
                </c:pt>
                <c:pt idx="53">
                  <c:v>195.82412546549048</c:v>
                </c:pt>
                <c:pt idx="54">
                  <c:v>201.63536463897887</c:v>
                </c:pt>
                <c:pt idx="55">
                  <c:v>207.44272468192821</c:v>
                </c:pt>
                <c:pt idx="56">
                  <c:v>191.82658002108337</c:v>
                </c:pt>
                <c:pt idx="57">
                  <c:v>197.09567207672126</c:v>
                </c:pt>
                <c:pt idx="58">
                  <c:v>202.36149416492299</c:v>
                </c:pt>
                <c:pt idx="59">
                  <c:v>207.62414355187082</c:v>
                </c:pt>
                <c:pt idx="60">
                  <c:v>212.88371216075754</c:v>
                </c:pt>
                <c:pt idx="61">
                  <c:v>197.64056222775218</c:v>
                </c:pt>
                <c:pt idx="62">
                  <c:v>202.36149416492307</c:v>
                </c:pt>
                <c:pt idx="63">
                  <c:v>207.07987593912989</c:v>
                </c:pt>
                <c:pt idx="64">
                  <c:v>211.79577397903077</c:v>
                </c:pt>
                <c:pt idx="65">
                  <c:v>216.50925150746119</c:v>
                </c:pt>
                <c:pt idx="66">
                  <c:v>202.72453628032122</c:v>
                </c:pt>
                <c:pt idx="67">
                  <c:v>207.07987593912989</c:v>
                </c:pt>
                <c:pt idx="68">
                  <c:v>211.43309931359877</c:v>
                </c:pt>
                <c:pt idx="69">
                  <c:v>215.78425622058555</c:v>
                </c:pt>
                <c:pt idx="70">
                  <c:v>220.13339429962164</c:v>
                </c:pt>
                <c:pt idx="71">
                  <c:v>207.07987593912989</c:v>
                </c:pt>
                <c:pt idx="72">
                  <c:v>211.25175660168779</c:v>
                </c:pt>
                <c:pt idx="73">
                  <c:v>215.42173756290265</c:v>
                </c:pt>
                <c:pt idx="74">
                  <c:v>219.5898608669257</c:v>
                </c:pt>
                <c:pt idx="75">
                  <c:v>223.75616682807549</c:v>
                </c:pt>
                <c:pt idx="76">
                  <c:v>211.25175660168782</c:v>
                </c:pt>
                <c:pt idx="77">
                  <c:v>215.05920485974357</c:v>
                </c:pt>
                <c:pt idx="78">
                  <c:v>218.86510151565696</c:v>
                </c:pt>
                <c:pt idx="79">
                  <c:v>222.66947742048669</c:v>
                </c:pt>
                <c:pt idx="80">
                  <c:v>226.47236228269796</c:v>
                </c:pt>
                <c:pt idx="81">
                  <c:v>215.42173756290273</c:v>
                </c:pt>
                <c:pt idx="82">
                  <c:v>218.86510151565699</c:v>
                </c:pt>
                <c:pt idx="83">
                  <c:v>222.30722060467335</c:v>
                </c:pt>
                <c:pt idx="84">
                  <c:v>225.74811687122551</c:v>
                </c:pt>
                <c:pt idx="85">
                  <c:v>229.18781162828375</c:v>
                </c:pt>
                <c:pt idx="86">
                  <c:v>218.86510151565699</c:v>
                </c:pt>
                <c:pt idx="87">
                  <c:v>222.12608711761644</c:v>
                </c:pt>
                <c:pt idx="88">
                  <c:v>225.38597420895266</c:v>
                </c:pt>
                <c:pt idx="89">
                  <c:v>228.64478095884184</c:v>
                </c:pt>
                <c:pt idx="90">
                  <c:v>231.90252497506103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3" zoomScale="80" zoomScaleNormal="80" workbookViewId="0">
      <selection activeCell="G22" sqref="G22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9.25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0.7</v>
      </c>
      <c r="D9" s="33">
        <f t="shared" ref="D9:D18" si="0">C9*$C$5</f>
        <v>6.4749999999999996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27</v>
      </c>
      <c r="C10" s="32">
        <v>0.18</v>
      </c>
      <c r="D10" s="33">
        <f t="shared" si="0"/>
        <v>1.665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20</v>
      </c>
      <c r="C11" s="32">
        <v>0.1</v>
      </c>
      <c r="D11" s="33">
        <f t="shared" si="0"/>
        <v>0.92500000000000004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4</v>
      </c>
      <c r="C12" s="32">
        <v>0.02</v>
      </c>
      <c r="D12" s="33">
        <f t="shared" si="0"/>
        <v>0.185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0.99999999999999989</v>
      </c>
      <c r="D19" s="38">
        <f>SUM(D9:D18)</f>
        <v>9.2500000000000018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18</v>
      </c>
      <c r="B36" s="60">
        <v>202.42</v>
      </c>
      <c r="C36" s="60">
        <v>1</v>
      </c>
      <c r="D36" s="60">
        <v>74.829999999999984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11.245555555555555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24</v>
      </c>
      <c r="B37" s="60">
        <v>289.16000000000003</v>
      </c>
      <c r="C37" s="60">
        <v>2</v>
      </c>
      <c r="D37" s="60">
        <v>51.400000000000034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26.928333333333338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30</v>
      </c>
      <c r="B38" s="60">
        <v>410.69</v>
      </c>
      <c r="C38" s="60">
        <v>3</v>
      </c>
      <c r="D38" s="60">
        <v>80.990000000000009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28.821666666666669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36</v>
      </c>
      <c r="B39" s="60">
        <v>501.69</v>
      </c>
      <c r="C39" s="60">
        <v>4</v>
      </c>
      <c r="D39" s="60">
        <v>85.910000000000025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28.665000000000003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42</v>
      </c>
      <c r="B40" s="60">
        <v>584.37</v>
      </c>
      <c r="C40" s="60">
        <v>5</v>
      </c>
      <c r="D40" s="60">
        <v>91.32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28.09833333333334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48</v>
      </c>
      <c r="B41" s="60">
        <v>655.72</v>
      </c>
      <c r="C41" s="60">
        <v>6</v>
      </c>
      <c r="D41" s="60">
        <v>101.43000000000006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27.111666666666668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54</v>
      </c>
      <c r="B42" s="60">
        <v>708.61</v>
      </c>
      <c r="C42" s="60">
        <v>7</v>
      </c>
      <c r="D42" s="60">
        <v>708.61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25.72000000000001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Mélèze d'Europe</v>
      </c>
      <c r="C58" s="23" t="s">
        <v>327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18</v>
      </c>
      <c r="B62" s="60">
        <v>112</v>
      </c>
      <c r="C62" s="60">
        <v>1</v>
      </c>
      <c r="D62" s="60">
        <v>20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21</v>
      </c>
      <c r="B63" s="60">
        <v>146</v>
      </c>
      <c r="C63" s="60">
        <v>2</v>
      </c>
      <c r="D63" s="60">
        <v>26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24</v>
      </c>
      <c r="B64" s="60">
        <v>168</v>
      </c>
      <c r="C64" s="60">
        <v>3</v>
      </c>
      <c r="D64" s="60">
        <v>29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30</v>
      </c>
      <c r="B65" s="60">
        <v>224</v>
      </c>
      <c r="C65" s="60">
        <v>4</v>
      </c>
      <c r="D65" s="60">
        <v>53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36</v>
      </c>
      <c r="B66" s="60">
        <v>248</v>
      </c>
      <c r="C66" s="60">
        <v>5</v>
      </c>
      <c r="D66" s="60">
        <v>62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42</v>
      </c>
      <c r="B67" s="60">
        <v>255</v>
      </c>
      <c r="C67" s="60">
        <v>6</v>
      </c>
      <c r="D67" s="60">
        <v>67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48</v>
      </c>
      <c r="B68" s="60">
        <v>252</v>
      </c>
      <c r="C68" s="60">
        <v>7</v>
      </c>
      <c r="D68" s="60">
        <v>65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60</v>
      </c>
      <c r="B69" s="50">
        <v>304</v>
      </c>
      <c r="C69" s="50">
        <v>8</v>
      </c>
      <c r="D69" s="50">
        <v>304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Epicéa de Sitka</v>
      </c>
      <c r="C84" s="23" t="s">
        <v>326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25</v>
      </c>
      <c r="B88" s="60">
        <v>262.89</v>
      </c>
      <c r="C88" s="60">
        <v>1</v>
      </c>
      <c r="D88" s="60">
        <v>68.009999999999991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10.515599999999999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30</v>
      </c>
      <c r="B89" s="60">
        <v>326.32</v>
      </c>
      <c r="C89" s="60">
        <v>2</v>
      </c>
      <c r="D89" s="60">
        <v>96.09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26.288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36</v>
      </c>
      <c r="B90" s="60">
        <v>383.59</v>
      </c>
      <c r="C90" s="60">
        <v>3</v>
      </c>
      <c r="D90" s="60">
        <v>95.659999999999968</v>
      </c>
      <c r="E90" s="87">
        <v>0.6</v>
      </c>
      <c r="F90" s="87">
        <v>0.2</v>
      </c>
      <c r="G90" s="87">
        <v>0.2</v>
      </c>
      <c r="H90" s="87">
        <v>0</v>
      </c>
      <c r="I90" s="53">
        <f t="shared" si="3"/>
        <v>25.56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42</v>
      </c>
      <c r="B91" s="60">
        <v>434.41</v>
      </c>
      <c r="C91" s="60">
        <v>4</v>
      </c>
      <c r="D91" s="60">
        <v>89.87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24.413333333333338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48</v>
      </c>
      <c r="B92" s="60">
        <v>482.26</v>
      </c>
      <c r="C92" s="60">
        <v>5</v>
      </c>
      <c r="D92" s="60">
        <v>100.36000000000001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22.95333333333333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55</v>
      </c>
      <c r="B93" s="60">
        <v>527.92999999999995</v>
      </c>
      <c r="C93" s="60">
        <v>6</v>
      </c>
      <c r="D93" s="60">
        <v>98.979999999999961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20.861428571428569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62</v>
      </c>
      <c r="B94" s="60">
        <v>560.57000000000005</v>
      </c>
      <c r="C94" s="60">
        <v>7</v>
      </c>
      <c r="D94" s="60">
        <v>560.57000000000005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18.802857142857153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325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Aulne glutineux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10</v>
      </c>
      <c r="B114" s="60">
        <v>7.0512820512820511</v>
      </c>
      <c r="C114" s="50">
        <v>1</v>
      </c>
      <c r="D114" s="60">
        <v>0.64102564102564097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0.70512820512820507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15</v>
      </c>
      <c r="B115" s="60">
        <v>28.205128205128204</v>
      </c>
      <c r="C115" s="50">
        <v>2</v>
      </c>
      <c r="D115" s="60">
        <v>2.5641025641025639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4.3589743589743595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20</v>
      </c>
      <c r="B116" s="60">
        <v>64.102564102564102</v>
      </c>
      <c r="C116" s="50">
        <v>3</v>
      </c>
      <c r="D116" s="60">
        <v>6.4102564102564097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7.6923076923076916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25</v>
      </c>
      <c r="B117" s="60">
        <v>88.461538461538453</v>
      </c>
      <c r="C117" s="50">
        <v>4</v>
      </c>
      <c r="D117" s="60">
        <v>13.461538461538462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4"/>
        <v>6.1538461538461515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30</v>
      </c>
      <c r="B118" s="60">
        <v>103.2051282051282</v>
      </c>
      <c r="C118" s="50">
        <v>5</v>
      </c>
      <c r="D118" s="60">
        <v>14.743589743589743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4"/>
        <v>5.6410256410256441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35</v>
      </c>
      <c r="B119" s="60">
        <v>116.02564102564102</v>
      </c>
      <c r="C119" s="50">
        <v>6</v>
      </c>
      <c r="D119" s="60">
        <v>16.025641025641026</v>
      </c>
      <c r="E119" s="51">
        <v>0</v>
      </c>
      <c r="F119" s="51">
        <v>0.25</v>
      </c>
      <c r="G119" s="51">
        <v>0.25</v>
      </c>
      <c r="H119" s="51">
        <v>0.5</v>
      </c>
      <c r="I119" s="53">
        <f t="shared" si="4"/>
        <v>5.512820512820511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40</v>
      </c>
      <c r="B120" s="60">
        <v>125</v>
      </c>
      <c r="C120" s="60">
        <v>7</v>
      </c>
      <c r="D120" s="60">
        <v>16.025641025641026</v>
      </c>
      <c r="E120" s="87">
        <v>0</v>
      </c>
      <c r="F120" s="87">
        <v>0.25</v>
      </c>
      <c r="G120" s="87">
        <v>0.25</v>
      </c>
      <c r="H120" s="87">
        <v>0.5</v>
      </c>
      <c r="I120" s="53">
        <f t="shared" si="4"/>
        <v>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45</v>
      </c>
      <c r="B121" s="60">
        <v>132.69230769230768</v>
      </c>
      <c r="C121" s="60">
        <v>8</v>
      </c>
      <c r="D121" s="60">
        <v>16.025641025641026</v>
      </c>
      <c r="E121" s="87">
        <v>0</v>
      </c>
      <c r="F121" s="87">
        <v>0.25</v>
      </c>
      <c r="G121" s="87">
        <v>0.25</v>
      </c>
      <c r="H121" s="87">
        <v>0.5</v>
      </c>
      <c r="I121" s="53">
        <f t="shared" si="4"/>
        <v>4.7435897435897401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50</v>
      </c>
      <c r="B122" s="60">
        <v>137.82051282051282</v>
      </c>
      <c r="C122" s="60">
        <v>9</v>
      </c>
      <c r="D122" s="60">
        <v>15.384615384615383</v>
      </c>
      <c r="E122" s="87">
        <v>0</v>
      </c>
      <c r="F122" s="87">
        <v>0.25</v>
      </c>
      <c r="G122" s="87">
        <v>0.25</v>
      </c>
      <c r="H122" s="87">
        <v>0.5</v>
      </c>
      <c r="I122" s="53">
        <f t="shared" si="4"/>
        <v>4.2307692307692317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55</v>
      </c>
      <c r="B123" s="60">
        <v>142.94871794871796</v>
      </c>
      <c r="C123" s="60">
        <v>10</v>
      </c>
      <c r="D123" s="60">
        <v>14.743589743589743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4.1025641025641049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60</v>
      </c>
      <c r="B124" s="60">
        <v>146.7948717948718</v>
      </c>
      <c r="C124" s="60">
        <v>11</v>
      </c>
      <c r="D124" s="60">
        <v>14.102564102564102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3.7179487179487181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65</v>
      </c>
      <c r="B125" s="60">
        <v>149.35897435897436</v>
      </c>
      <c r="C125" s="60">
        <v>12</v>
      </c>
      <c r="D125" s="60">
        <v>12.820512820512819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3.333333333333337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70</v>
      </c>
      <c r="B126" s="60">
        <v>151.92307692307691</v>
      </c>
      <c r="C126" s="60">
        <v>13</v>
      </c>
      <c r="D126" s="60">
        <v>12.179487179487179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3.0769230769230718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75</v>
      </c>
      <c r="B127" s="60">
        <v>154.48717948717947</v>
      </c>
      <c r="C127" s="60">
        <v>14</v>
      </c>
      <c r="D127" s="60">
        <v>11.538461538461538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2.9487179487179502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80</v>
      </c>
      <c r="B128" s="50">
        <v>156.41025641025641</v>
      </c>
      <c r="C128" s="50">
        <v>15</v>
      </c>
      <c r="D128" s="50">
        <v>10.256410256410255</v>
      </c>
      <c r="E128" s="54">
        <v>0.25</v>
      </c>
      <c r="F128" s="54">
        <v>0.25</v>
      </c>
      <c r="G128" s="54">
        <v>0.25</v>
      </c>
      <c r="H128" s="54">
        <v>0.25</v>
      </c>
      <c r="I128" s="53">
        <f t="shared" si="4"/>
        <v>2.6923076923076961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85</v>
      </c>
      <c r="B129" s="50">
        <v>158.33333333333331</v>
      </c>
      <c r="C129" s="50">
        <v>16</v>
      </c>
      <c r="D129" s="50">
        <v>9.615384615384615</v>
      </c>
      <c r="E129" s="54">
        <v>0.25</v>
      </c>
      <c r="F129" s="54">
        <v>0.25</v>
      </c>
      <c r="G129" s="54">
        <v>0.25</v>
      </c>
      <c r="H129" s="54">
        <v>0.25</v>
      </c>
      <c r="I129" s="53">
        <f t="shared" si="4"/>
        <v>2.4358974358974308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>
        <v>90</v>
      </c>
      <c r="B130" s="50">
        <v>160.25641025641025</v>
      </c>
      <c r="C130" s="50">
        <v>17</v>
      </c>
      <c r="D130" s="50">
        <v>160.25641025641025</v>
      </c>
      <c r="E130" s="54">
        <v>0.25</v>
      </c>
      <c r="F130" s="54">
        <v>0.25</v>
      </c>
      <c r="G130" s="54">
        <v>0.25</v>
      </c>
      <c r="H130" s="54">
        <v>0.25</v>
      </c>
      <c r="I130" s="53">
        <f t="shared" si="4"/>
        <v>2.3076923076923093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9" sqref="B9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Mélèze d'Europe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Epicéa de Sitka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Aulne glutineux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350.09239406910712</v>
      </c>
      <c r="T3" s="59">
        <f>IF('Données projet'!E9&gt;30,$R$33-$H$33,LOOKUP('Données projet'!$E$9,$A$3:$A$203,R3:R203)-LOOKUP('Données projet'!$E$9,$A$3:$A$203,$H$3:$H$203))</f>
        <v>473.30663081727369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179.4725256147085</v>
      </c>
      <c r="AO3" s="59">
        <f>IF('Données projet'!E10&gt;30,$AM$33-$H$33,LOOKUP('Données projet'!$E$10,$A$3:$A$203,AM3:AM203)-LOOKUP('Données projet'!$E$10,$A$3:$A$203,$H$3:$H$203))</f>
        <v>282.16750121151176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227.19831549982962</v>
      </c>
      <c r="BJ3" s="59">
        <f>IF('Données projet'!E11&gt;30,$BH$33-$H$33,LOOKUP('Données projet'!$E$11,$A$3:$A$203,BH3:BH203)-LOOKUP('Données projet'!$E$11,$A$3:$A$203,$H$3:$H$203))</f>
        <v>309.84543033784564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91.274378490051788</v>
      </c>
      <c r="CE3" s="59">
        <f>IF('Données projet'!E12&gt;30,$CC$33-$H$33,LOOKUP('Données projet'!$E$12,$A$3:$A$203,CC3:CC203)-LOOKUP('Données projet'!$E$12,$A$3:$A$203,$H$3:$H$203))</f>
        <v>126.60105012427914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11.245555555555555</v>
      </c>
      <c r="N4" s="13">
        <f>IF('Données projet'!$A$36&gt;35,N3+M4-V3,IF(A4&lt;'Données projet'!$A$36,$K$205^A4,IF(A4='Données projet'!$A$36,'Données projet'!$B$36,N3+M4-V3)))</f>
        <v>1.3431520832915915</v>
      </c>
      <c r="O4" s="13">
        <f>N4*VLOOKUP('Données projet'!$B$9,Paramètres!$A$1:$I$89,3,0)*VLOOKUP('Données projet'!$B$9,Paramètres!$A$1:$I$89,5,0)</f>
        <v>0.75082201455999975</v>
      </c>
      <c r="P4" s="13">
        <f>EXP(-1.0587+0.8836*LN(O4)+0.284)</f>
        <v>0.35774745774889671</v>
      </c>
      <c r="Q4" s="20">
        <f t="shared" ref="Q4:Q34" si="2">(O4+P4)*0.475*44/12</f>
        <v>1.9307584976046614</v>
      </c>
      <c r="R4" s="59">
        <f t="shared" si="0"/>
        <v>259.8196473864935</v>
      </c>
      <c r="S4" s="59">
        <f ca="1">AVERAGE(OFFSET($R$3,0,0,'Données projet'!$E$9+1,1))-AVERAGE(OFFSET($H$3,0,0,'Données projet'!$E$9+1,1))</f>
        <v>350.09239406910712</v>
      </c>
      <c r="T4" s="59">
        <f>$T$3</f>
        <v>473.30663081727369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259.96842609794822</v>
      </c>
      <c r="AN4" s="59">
        <f ca="1">AVERAGE(OFFSET($AM$3,0,0,'Données projet'!$E$10+1,1))-AVERAGE(OFFSET($H$3,0,0,'Données projet'!$E$10+1,1))</f>
        <v>179.4725256147085</v>
      </c>
      <c r="AO4" s="59">
        <f>$AO$3</f>
        <v>282.16750121151176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10.515599999999999</v>
      </c>
      <c r="BD4" s="12">
        <f>IF('Données projet'!$A$88&gt;35,BD3+BC4-BL3,IF(A4&lt;'Données projet'!$A$88,$BA$205^A4,IF(A4='Données projet'!$A$88,'Données projet'!$B$88,BD3+BC4-BL3)))</f>
        <v>1.2496573925045706</v>
      </c>
      <c r="BE4" s="13">
        <f>BD4*VLOOKUP('Données projet'!$B$11,Paramètres!$A$1:$I$89,3,0)*VLOOKUP('Données projet'!$B$11,Paramètres!$A$1:$I$89,5,0)</f>
        <v>0.58483965969213902</v>
      </c>
      <c r="BF4" s="13">
        <f>EXP(-1.0587+0.8836*LN(BE4)+0.284)</f>
        <v>0.2868836483475718</v>
      </c>
      <c r="BG4" s="20">
        <f t="shared" ref="BG4:BG67" si="7">(BE4+BF4)*0.475*44/12</f>
        <v>1.5182514281691633</v>
      </c>
      <c r="BH4" s="59">
        <f t="shared" ref="BH4:BH67" si="8">BG4+(AY4+AZ4)*44/12</f>
        <v>259.40714031705801</v>
      </c>
      <c r="BI4" s="59">
        <f ca="1">AVERAGE(OFFSET($BH$3,0,0,'Données projet'!$E$11+1,1))-AVERAGE(OFFSET($H$3,0,0,'Données projet'!$E$11+1,1))</f>
        <v>227.19831549982962</v>
      </c>
      <c r="BJ4" s="59">
        <f>$BJ$3</f>
        <v>309.84543033784564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0.70512820512820507</v>
      </c>
      <c r="BY4" s="12">
        <f>IF('Données projet'!$A$114&gt;35,BY3+BX4-CG3,IF(A4&lt;'Données projet'!$A$114,$BV$205^A4,IF(A4='Données projet'!$A$114,'Données projet'!$B$114,BY3+BX4-CG3)))</f>
        <v>1.2157010972598057</v>
      </c>
      <c r="BZ4" s="13">
        <f>BY4*VLOOKUP('Données projet'!$B$12,Paramètres!$A$1:$I$89,3,0)*VLOOKUP('Données projet'!$B$12,Paramètres!$A$1:$I$89,5,0)</f>
        <v>0.79652735892462478</v>
      </c>
      <c r="CA4" s="13">
        <f>EXP(-1.0587+0.8836*LN(BZ4)+0.284)</f>
        <v>0.37692331420583203</v>
      </c>
      <c r="CB4" s="20">
        <f t="shared" ref="CB4:CB67" si="10">(BZ4+CA4)*0.475*44/12</f>
        <v>2.0437599223688792</v>
      </c>
      <c r="CC4" s="59">
        <f t="shared" ref="CC4:CC67" si="11">CB4+(BT4+BU4)*44/12</f>
        <v>259.93264881125776</v>
      </c>
      <c r="CD4" s="59">
        <f ca="1">AVERAGE(OFFSET($CC$3,0,0,'Données projet'!$E$12+1,1))-AVERAGE(OFFSET($H$3,0,0,'Données projet'!$E$12+1,1))</f>
        <v>91.274378490051788</v>
      </c>
      <c r="CE4" s="59">
        <f>$CE$3</f>
        <v>126.60105012427914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11.245555555555555</v>
      </c>
      <c r="N5" s="13">
        <f>IF('Données projet'!$A$36&gt;35,N4+M5-V4,IF(A5&lt;'Données projet'!$A$36,$K$205^A5,IF(A5='Données projet'!$A$36,'Données projet'!$B$36,N4+M5-V4)))</f>
        <v>1.8040575188505423</v>
      </c>
      <c r="O5" s="13">
        <f>N5*VLOOKUP('Données projet'!$B$9,Paramètres!$A$1:$I$89,3,0)*VLOOKUP('Données projet'!$B$9,Paramètres!$A$1:$I$89,5,0)</f>
        <v>1.0084681530374533</v>
      </c>
      <c r="P5" s="13">
        <f t="shared" ref="P5:P68" si="33">EXP(-1.0587+0.8836*LN(O5)+0.284)</f>
        <v>0.4642885506881258</v>
      </c>
      <c r="Q5" s="20">
        <f t="shared" si="2"/>
        <v>2.5650512589887167</v>
      </c>
      <c r="R5" s="59">
        <f t="shared" si="0"/>
        <v>261.67616237009986</v>
      </c>
      <c r="S5" s="59">
        <f ca="1">AVERAGE(OFFSET($R$3,0,0,'Données projet'!$E$9+1,1))-AVERAGE(OFFSET($H$3,0,0,'Données projet'!$E$9+1,1))</f>
        <v>350.09239406910712</v>
      </c>
      <c r="T5" s="59">
        <f t="shared" ref="T5:T68" si="34">$T$3</f>
        <v>473.30663081727369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261.78784715465065</v>
      </c>
      <c r="AN5" s="59">
        <f ca="1">AVERAGE(OFFSET($AM$3,0,0,'Données projet'!$E$10+1,1))-AVERAGE(OFFSET($H$3,0,0,'Données projet'!$E$10+1,1))</f>
        <v>179.4725256147085</v>
      </c>
      <c r="AO5" s="59">
        <f t="shared" ref="AO5:AO68" si="36">$AO$3</f>
        <v>282.16750121151176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10.515599999999999</v>
      </c>
      <c r="BD5" s="12">
        <f>IF('Données projet'!$A$88&gt;35,BD4+BC5-BL4,IF(A5&lt;'Données projet'!$A$88,$BA$205^A5,IF(A5='Données projet'!$A$88,'Données projet'!$B$88,BD4+BC5-BL4)))</f>
        <v>1.5616435986413226</v>
      </c>
      <c r="BE5" s="13">
        <f>BD5*VLOOKUP('Données projet'!$B$11,Paramètres!$A$1:$I$89,3,0)*VLOOKUP('Données projet'!$B$11,Paramètres!$A$1:$I$89,5,0)</f>
        <v>0.73084920416413901</v>
      </c>
      <c r="BF5" s="13">
        <f t="shared" ref="BF5:BF68" si="37">EXP(-1.0587+0.8836*LN(BE5)+0.284)</f>
        <v>0.34932550040794685</v>
      </c>
      <c r="BG5" s="20">
        <f t="shared" si="7"/>
        <v>1.8813042771297166</v>
      </c>
      <c r="BH5" s="59">
        <f t="shared" si="8"/>
        <v>260.99241538824089</v>
      </c>
      <c r="BI5" s="59">
        <f ca="1">AVERAGE(OFFSET($BH$3,0,0,'Données projet'!$E$11+1,1))-AVERAGE(OFFSET($H$3,0,0,'Données projet'!$E$11+1,1))</f>
        <v>227.19831549982962</v>
      </c>
      <c r="BJ5" s="59">
        <f t="shared" ref="BJ5:BJ68" si="38">$BJ$3</f>
        <v>309.84543033784564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0.70512820512820507</v>
      </c>
      <c r="BY5" s="12">
        <f>IF('Données projet'!$A$114&gt;35,BY4+BX5-CG4,IF(A5&lt;'Données projet'!$A$114,$BV$205^A5,IF(A5='Données projet'!$A$114,'Données projet'!$B$114,BY4+BX5-CG4)))</f>
        <v>1.4779291578786955</v>
      </c>
      <c r="BZ5" s="13">
        <f>BY5*VLOOKUP('Données projet'!$B$12,Paramètres!$A$1:$I$89,3,0)*VLOOKUP('Données projet'!$B$12,Paramètres!$A$1:$I$89,5,0)</f>
        <v>0.96833918424212118</v>
      </c>
      <c r="CA5" s="13">
        <f t="shared" ref="CA5:CA68" si="39">EXP(-1.0587+0.8836*LN(BZ5)+0.284)</f>
        <v>0.44792568784065334</v>
      </c>
      <c r="CB5" s="20">
        <f t="shared" si="10"/>
        <v>2.4666613188774984</v>
      </c>
      <c r="CC5" s="59">
        <f t="shared" si="11"/>
        <v>261.57777242998861</v>
      </c>
      <c r="CD5" s="59">
        <f ca="1">AVERAGE(OFFSET($CC$3,0,0,'Données projet'!$E$12+1,1))-AVERAGE(OFFSET($H$3,0,0,'Données projet'!$E$12+1,1))</f>
        <v>91.274378490051788</v>
      </c>
      <c r="CE5" s="59">
        <f t="shared" ref="CE5:CE68" si="40">$CE$3</f>
        <v>126.60105012427914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11.245555555555555</v>
      </c>
      <c r="N6" s="13">
        <f>IF('Données projet'!$A$36&gt;35,N5+M6-V5,IF(A6&lt;'Données projet'!$A$36,$K$205^A6,IF(A6='Données projet'!$A$36,'Données projet'!$B$36,N5+M6-V5)))</f>
        <v>2.4231236148219657</v>
      </c>
      <c r="O6" s="13">
        <f>N6*VLOOKUP('Données projet'!$B$9,Paramètres!$A$1:$I$89,3,0)*VLOOKUP('Données projet'!$B$9,Paramètres!$A$1:$I$89,5,0)</f>
        <v>1.3545261006854787</v>
      </c>
      <c r="P6" s="13">
        <f t="shared" si="33"/>
        <v>0.60255874257360831</v>
      </c>
      <c r="Q6" s="20">
        <f t="shared" si="2"/>
        <v>3.4085894353429098</v>
      </c>
      <c r="R6" s="59">
        <f t="shared" si="0"/>
        <v>263.7419227686762</v>
      </c>
      <c r="S6" s="59">
        <f ca="1">AVERAGE(OFFSET($R$3,0,0,'Données projet'!$E$9+1,1))-AVERAGE(OFFSET($H$3,0,0,'Données projet'!$E$9+1,1))</f>
        <v>350.09239406910712</v>
      </c>
      <c r="T6" s="59">
        <f t="shared" si="34"/>
        <v>473.30663081727369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263.77946221210669</v>
      </c>
      <c r="AN6" s="59">
        <f ca="1">AVERAGE(OFFSET($AM$3,0,0,'Données projet'!$E$10+1,1))-AVERAGE(OFFSET($H$3,0,0,'Données projet'!$E$10+1,1))</f>
        <v>179.4725256147085</v>
      </c>
      <c r="AO6" s="59">
        <f t="shared" si="36"/>
        <v>282.16750121151176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10.515599999999999</v>
      </c>
      <c r="BD6" s="12">
        <f>IF('Données projet'!$A$88&gt;35,BD5+BC6-BL5,IF(A6&lt;'Données projet'!$A$88,$BA$205^A6,IF(A6='Données projet'!$A$88,'Données projet'!$B$88,BD5+BC6-BL5)))</f>
        <v>1.9515194674995695</v>
      </c>
      <c r="BE6" s="13">
        <f>BD6*VLOOKUP('Données projet'!$B$11,Paramètres!$A$1:$I$89,3,0)*VLOOKUP('Données projet'!$B$11,Paramètres!$A$1:$I$89,5,0)</f>
        <v>0.91331111078979843</v>
      </c>
      <c r="BF6" s="13">
        <f t="shared" si="37"/>
        <v>0.42535817547683991</v>
      </c>
      <c r="BG6" s="20">
        <f t="shared" si="7"/>
        <v>2.3315156735810616</v>
      </c>
      <c r="BH6" s="59">
        <f t="shared" si="8"/>
        <v>262.66484900691438</v>
      </c>
      <c r="BI6" s="59">
        <f ca="1">AVERAGE(OFFSET($BH$3,0,0,'Données projet'!$E$11+1,1))-AVERAGE(OFFSET($H$3,0,0,'Données projet'!$E$11+1,1))</f>
        <v>227.19831549982962</v>
      </c>
      <c r="BJ6" s="59">
        <f t="shared" si="38"/>
        <v>309.84543033784564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0.70512820512820507</v>
      </c>
      <c r="BY6" s="12">
        <f>IF('Données projet'!$A$114&gt;35,BY5+BX6-CG5,IF(A6&lt;'Données projet'!$A$114,$BV$205^A6,IF(A6='Données projet'!$A$114,'Données projet'!$B$114,BY5+BX6-CG5)))</f>
        <v>1.7967200989053906</v>
      </c>
      <c r="BZ6" s="13">
        <f>BY6*VLOOKUP('Données projet'!$B$12,Paramètres!$A$1:$I$89,3,0)*VLOOKUP('Données projet'!$B$12,Paramètres!$A$1:$I$89,5,0)</f>
        <v>1.177211008802812</v>
      </c>
      <c r="CA6" s="13">
        <f t="shared" si="39"/>
        <v>0.53230302893377801</v>
      </c>
      <c r="CB6" s="20">
        <f t="shared" si="10"/>
        <v>2.9774036157245614</v>
      </c>
      <c r="CC6" s="59">
        <f t="shared" si="11"/>
        <v>263.31073694905785</v>
      </c>
      <c r="CD6" s="59">
        <f ca="1">AVERAGE(OFFSET($CC$3,0,0,'Données projet'!$E$12+1,1))-AVERAGE(OFFSET($H$3,0,0,'Données projet'!$E$12+1,1))</f>
        <v>91.274378490051788</v>
      </c>
      <c r="CE6" s="59">
        <f t="shared" si="40"/>
        <v>126.60105012427914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11.245555555555555</v>
      </c>
      <c r="N7" s="13">
        <f>IF('Données projet'!$A$36&gt;35,N6+M7-V6,IF(A7&lt;'Données projet'!$A$36,$K$205^A7,IF(A7='Données projet'!$A$36,'Données projet'!$B$36,N6+M7-V6)))</f>
        <v>3.2546235313211751</v>
      </c>
      <c r="O7" s="13">
        <f>N7*VLOOKUP('Données projet'!$B$9,Paramètres!$A$1:$I$89,3,0)*VLOOKUP('Données projet'!$B$9,Paramètres!$A$1:$I$89,5,0)</f>
        <v>1.8193345540085368</v>
      </c>
      <c r="P7" s="13">
        <f t="shared" si="33"/>
        <v>0.78200730496965443</v>
      </c>
      <c r="Q7" s="20">
        <f t="shared" si="2"/>
        <v>4.5306704043870161</v>
      </c>
      <c r="R7" s="59">
        <f t="shared" si="0"/>
        <v>266.08622595994257</v>
      </c>
      <c r="S7" s="59">
        <f ca="1">AVERAGE(OFFSET($R$3,0,0,'Données projet'!$E$9+1,1))-AVERAGE(OFFSET($H$3,0,0,'Données projet'!$E$9+1,1))</f>
        <v>350.09239406910712</v>
      </c>
      <c r="T7" s="59">
        <f t="shared" si="34"/>
        <v>473.30663081727369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265.99310904251786</v>
      </c>
      <c r="AN7" s="59">
        <f ca="1">AVERAGE(OFFSET($AM$3,0,0,'Données projet'!$E$10+1,1))-AVERAGE(OFFSET($H$3,0,0,'Données projet'!$E$10+1,1))</f>
        <v>179.4725256147085</v>
      </c>
      <c r="AO7" s="59">
        <f t="shared" si="36"/>
        <v>282.16750121151176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10.515599999999999</v>
      </c>
      <c r="BD7" s="12">
        <f>IF('Données projet'!$A$88&gt;35,BD6+BC7-BL6,IF(A7&lt;'Données projet'!$A$88,$BA$205^A7,IF(A7='Données projet'!$A$88,'Données projet'!$B$88,BD6+BC7-BL6)))</f>
        <v>2.4387307291774203</v>
      </c>
      <c r="BE7" s="13">
        <f>BD7*VLOOKUP('Données projet'!$B$11,Paramètres!$A$1:$I$89,3,0)*VLOOKUP('Données projet'!$B$11,Paramètres!$A$1:$I$89,5,0)</f>
        <v>1.1413259812550327</v>
      </c>
      <c r="BF7" s="13">
        <f t="shared" si="37"/>
        <v>0.51793979321204497</v>
      </c>
      <c r="BG7" s="20">
        <f t="shared" si="7"/>
        <v>2.8898878905301597</v>
      </c>
      <c r="BH7" s="59">
        <f t="shared" si="8"/>
        <v>264.44544344608568</v>
      </c>
      <c r="BI7" s="59">
        <f ca="1">AVERAGE(OFFSET($BH$3,0,0,'Données projet'!$E$11+1,1))-AVERAGE(OFFSET($H$3,0,0,'Données projet'!$E$11+1,1))</f>
        <v>227.19831549982962</v>
      </c>
      <c r="BJ7" s="59">
        <f t="shared" si="38"/>
        <v>309.84543033784564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0.70512820512820507</v>
      </c>
      <c r="BY7" s="12">
        <f>IF('Données projet'!$A$114&gt;35,BY6+BX7-CG6,IF(A7&lt;'Données projet'!$A$114,$BV$205^A7,IF(A7='Données projet'!$A$114,'Données projet'!$B$114,BY6+BX7-CG6)))</f>
        <v>2.1842745957080298</v>
      </c>
      <c r="BZ7" s="13">
        <f>BY7*VLOOKUP('Données projet'!$B$12,Paramètres!$A$1:$I$89,3,0)*VLOOKUP('Données projet'!$B$12,Paramètres!$A$1:$I$89,5,0)</f>
        <v>1.4311367151079011</v>
      </c>
      <c r="CA7" s="13">
        <f t="shared" si="39"/>
        <v>0.6325748272621351</v>
      </c>
      <c r="CB7" s="20">
        <f t="shared" si="10"/>
        <v>3.5942976029611455</v>
      </c>
      <c r="CC7" s="59">
        <f t="shared" si="11"/>
        <v>265.14985315851669</v>
      </c>
      <c r="CD7" s="59">
        <f ca="1">AVERAGE(OFFSET($CC$3,0,0,'Données projet'!$E$12+1,1))-AVERAGE(OFFSET($H$3,0,0,'Données projet'!$E$12+1,1))</f>
        <v>91.274378490051788</v>
      </c>
      <c r="CE7" s="59">
        <f t="shared" si="40"/>
        <v>126.60105012427914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11.245555555555555</v>
      </c>
      <c r="N8" s="13">
        <f>IF('Données projet'!$A$36&gt;35,N7+M8-V7,IF(A8&lt;'Données projet'!$A$36,$K$205^A8,IF(A8='Données projet'!$A$36,'Données projet'!$B$36,N7+M8-V7)))</f>
        <v>4.3714543764238725</v>
      </c>
      <c r="O8" s="13">
        <f>N8*VLOOKUP('Données projet'!$B$9,Paramètres!$A$1:$I$89,3,0)*VLOOKUP('Données projet'!$B$9,Paramètres!$A$1:$I$89,5,0)</f>
        <v>2.443642996420945</v>
      </c>
      <c r="P8" s="13">
        <f t="shared" si="33"/>
        <v>1.0148976055246552</v>
      </c>
      <c r="Q8" s="20">
        <f t="shared" si="2"/>
        <v>6.0236248817219193</v>
      </c>
      <c r="R8" s="59">
        <f t="shared" si="0"/>
        <v>268.80140265949967</v>
      </c>
      <c r="S8" s="59">
        <f ca="1">AVERAGE(OFFSET($R$3,0,0,'Données projet'!$E$9+1,1))-AVERAGE(OFFSET($H$3,0,0,'Données projet'!$E$9+1,1))</f>
        <v>350.09239406910712</v>
      </c>
      <c r="T8" s="59">
        <f t="shared" si="34"/>
        <v>473.30663081727369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268.49310080662224</v>
      </c>
      <c r="AN8" s="59">
        <f ca="1">AVERAGE(OFFSET($AM$3,0,0,'Données projet'!$E$10+1,1))-AVERAGE(OFFSET($H$3,0,0,'Données projet'!$E$10+1,1))</f>
        <v>179.4725256147085</v>
      </c>
      <c r="AO8" s="59">
        <f t="shared" si="36"/>
        <v>282.16750121151176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10.515599999999999</v>
      </c>
      <c r="BD8" s="12">
        <f>IF('Données projet'!$A$88&gt;35,BD7+BC8-BL7,IF(A8&lt;'Données projet'!$A$88,$BA$205^A8,IF(A8='Données projet'!$A$88,'Données projet'!$B$88,BD7+BC8-BL7)))</f>
        <v>3.0475778840446255</v>
      </c>
      <c r="BE8" s="13">
        <f>BD8*VLOOKUP('Données projet'!$B$11,Paramètres!$A$1:$I$89,3,0)*VLOOKUP('Données projet'!$B$11,Paramètres!$A$1:$I$89,5,0)</f>
        <v>1.4262664497328847</v>
      </c>
      <c r="BF8" s="13">
        <f t="shared" si="37"/>
        <v>0.63067232478088897</v>
      </c>
      <c r="BG8" s="20">
        <f t="shared" si="7"/>
        <v>3.5825016989448226</v>
      </c>
      <c r="BH8" s="59">
        <f t="shared" si="8"/>
        <v>266.36027947672261</v>
      </c>
      <c r="BI8" s="59">
        <f ca="1">AVERAGE(OFFSET($BH$3,0,0,'Données projet'!$E$11+1,1))-AVERAGE(OFFSET($H$3,0,0,'Données projet'!$E$11+1,1))</f>
        <v>227.19831549982962</v>
      </c>
      <c r="BJ8" s="59">
        <f t="shared" si="38"/>
        <v>309.84543033784564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0.70512820512820507</v>
      </c>
      <c r="BY8" s="12">
        <f>IF('Données projet'!$A$114&gt;35,BY7+BX8-CG7,IF(A8&lt;'Données projet'!$A$114,$BV$205^A8,IF(A8='Données projet'!$A$114,'Données projet'!$B$114,BY7+BX8-CG7)))</f>
        <v>2.6554250227189704</v>
      </c>
      <c r="BZ8" s="13">
        <f>BY8*VLOOKUP('Données projet'!$B$12,Paramètres!$A$1:$I$89,3,0)*VLOOKUP('Données projet'!$B$12,Paramètres!$A$1:$I$89,5,0)</f>
        <v>1.7398344748854693</v>
      </c>
      <c r="CA8" s="13">
        <f t="shared" si="39"/>
        <v>0.75173517777502941</v>
      </c>
      <c r="CB8" s="20">
        <f t="shared" si="10"/>
        <v>4.3394838117170345</v>
      </c>
      <c r="CC8" s="59">
        <f t="shared" si="11"/>
        <v>267.11726158949483</v>
      </c>
      <c r="CD8" s="59">
        <f ca="1">AVERAGE(OFFSET($CC$3,0,0,'Données projet'!$E$12+1,1))-AVERAGE(OFFSET($H$3,0,0,'Données projet'!$E$12+1,1))</f>
        <v>91.274378490051788</v>
      </c>
      <c r="CE8" s="59">
        <f t="shared" si="40"/>
        <v>126.60105012427914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11.245555555555555</v>
      </c>
      <c r="N9" s="13">
        <f>IF('Données projet'!$A$36&gt;35,N8+M9-V8,IF(A9&lt;'Données projet'!$A$36,$K$205^A9,IF(A9='Données projet'!$A$36,'Données projet'!$B$36,N8+M9-V8)))</f>
        <v>5.8715280527078697</v>
      </c>
      <c r="O9" s="13">
        <f>N9*VLOOKUP('Données projet'!$B$9,Paramètres!$A$1:$I$89,3,0)*VLOOKUP('Données projet'!$B$9,Paramètres!$A$1:$I$89,5,0)</f>
        <v>3.2821841814636992</v>
      </c>
      <c r="P9" s="13">
        <f t="shared" si="33"/>
        <v>1.317145176463087</v>
      </c>
      <c r="Q9" s="20">
        <f t="shared" si="2"/>
        <v>8.010498631722486</v>
      </c>
      <c r="R9" s="59">
        <f t="shared" si="0"/>
        <v>272.0104986317225</v>
      </c>
      <c r="S9" s="59">
        <f ca="1">AVERAGE(OFFSET($R$3,0,0,'Données projet'!$E$9+1,1))-AVERAGE(OFFSET($H$3,0,0,'Données projet'!$E$9+1,1))</f>
        <v>350.09239406910712</v>
      </c>
      <c r="T9" s="59">
        <f t="shared" si="34"/>
        <v>473.30663081727369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271.36244418139751</v>
      </c>
      <c r="AN9" s="59">
        <f ca="1">AVERAGE(OFFSET($AM$3,0,0,'Données projet'!$E$10+1,1))-AVERAGE(OFFSET($H$3,0,0,'Données projet'!$E$10+1,1))</f>
        <v>179.4725256147085</v>
      </c>
      <c r="AO9" s="59">
        <f t="shared" si="36"/>
        <v>282.16750121151176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10.515599999999999</v>
      </c>
      <c r="BD9" s="12">
        <f>IF('Données projet'!$A$88&gt;35,BD8+BC9-BL8,IF(A9&lt;'Données projet'!$A$88,$BA$205^A9,IF(A9='Données projet'!$A$88,'Données projet'!$B$88,BD8+BC9-BL8)))</f>
        <v>3.8084282320298035</v>
      </c>
      <c r="BE9" s="13">
        <f>BD9*VLOOKUP('Données projet'!$B$11,Paramètres!$A$1:$I$89,3,0)*VLOOKUP('Données projet'!$B$11,Paramètres!$A$1:$I$89,5,0)</f>
        <v>1.7823444125899481</v>
      </c>
      <c r="BF9" s="13">
        <f t="shared" si="37"/>
        <v>0.76794173079049921</v>
      </c>
      <c r="BG9" s="20">
        <f t="shared" si="7"/>
        <v>4.4417483663876123</v>
      </c>
      <c r="BH9" s="59">
        <f t="shared" si="8"/>
        <v>268.44174836638763</v>
      </c>
      <c r="BI9" s="59">
        <f ca="1">AVERAGE(OFFSET($BH$3,0,0,'Données projet'!$E$11+1,1))-AVERAGE(OFFSET($H$3,0,0,'Données projet'!$E$11+1,1))</f>
        <v>227.19831549982962</v>
      </c>
      <c r="BJ9" s="59">
        <f t="shared" si="38"/>
        <v>309.84543033784564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0.70512820512820507</v>
      </c>
      <c r="BY9" s="12">
        <f>IF('Données projet'!$A$114&gt;35,BY8+BX9-CG8,IF(A9&lt;'Données projet'!$A$114,$BV$205^A9,IF(A9='Données projet'!$A$114,'Données projet'!$B$114,BY8+BX9-CG8)))</f>
        <v>3.2282031138105967</v>
      </c>
      <c r="BZ9" s="13">
        <f>BY9*VLOOKUP('Données projet'!$B$12,Paramètres!$A$1:$I$89,3,0)*VLOOKUP('Données projet'!$B$12,Paramètres!$A$1:$I$89,5,0)</f>
        <v>2.115118680168703</v>
      </c>
      <c r="CA9" s="13">
        <f t="shared" si="39"/>
        <v>0.89334218364379947</v>
      </c>
      <c r="CB9" s="20">
        <f t="shared" si="10"/>
        <v>5.2397360044734418</v>
      </c>
      <c r="CC9" s="59">
        <f t="shared" si="11"/>
        <v>269.23973600447346</v>
      </c>
      <c r="CD9" s="59">
        <f ca="1">AVERAGE(OFFSET($CC$3,0,0,'Données projet'!$E$12+1,1))-AVERAGE(OFFSET($H$3,0,0,'Données projet'!$E$12+1,1))</f>
        <v>91.274378490051788</v>
      </c>
      <c r="CE9" s="59">
        <f t="shared" si="40"/>
        <v>126.60105012427914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11.245555555555555</v>
      </c>
      <c r="N10" s="13">
        <f>IF('Données projet'!$A$36&gt;35,N9+M10-V9,IF(A10&lt;'Données projet'!$A$36,$K$205^A10,IF(A10='Données projet'!$A$36,'Données projet'!$B$36,N9+M10-V9)))</f>
        <v>7.8863551360995965</v>
      </c>
      <c r="O10" s="13">
        <f>N10*VLOOKUP('Données projet'!$B$9,Paramètres!$A$1:$I$89,3,0)*VLOOKUP('Données projet'!$B$9,Paramètres!$A$1:$I$89,5,0)</f>
        <v>4.4084725210796742</v>
      </c>
      <c r="P10" s="13">
        <f t="shared" si="33"/>
        <v>1.7094053690107271</v>
      </c>
      <c r="Q10" s="20">
        <f t="shared" si="2"/>
        <v>10.655303991907449</v>
      </c>
      <c r="R10" s="59">
        <f t="shared" si="0"/>
        <v>275.87752621412966</v>
      </c>
      <c r="S10" s="59">
        <f ca="1">AVERAGE(OFFSET($R$3,0,0,'Données projet'!$E$9+1,1))-AVERAGE(OFFSET($H$3,0,0,'Données projet'!$E$9+1,1))</f>
        <v>350.09239406910712</v>
      </c>
      <c r="T10" s="59">
        <f t="shared" si="34"/>
        <v>473.30663081727369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274.7082903478593</v>
      </c>
      <c r="AN10" s="59">
        <f ca="1">AVERAGE(OFFSET($AM$3,0,0,'Données projet'!$E$10+1,1))-AVERAGE(OFFSET($H$3,0,0,'Données projet'!$E$10+1,1))</f>
        <v>179.4725256147085</v>
      </c>
      <c r="AO10" s="59">
        <f t="shared" si="36"/>
        <v>282.16750121151176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10.515599999999999</v>
      </c>
      <c r="BD10" s="12">
        <f>IF('Données projet'!$A$88&gt;35,BD9+BC10-BL9,IF(A10&lt;'Données projet'!$A$88,$BA$205^A10,IF(A10='Données projet'!$A$88,'Données projet'!$B$88,BD9+BC10-BL9)))</f>
        <v>4.7592304939791559</v>
      </c>
      <c r="BE10" s="13">
        <f>BD10*VLOOKUP('Données projet'!$B$11,Paramètres!$A$1:$I$89,3,0)*VLOOKUP('Données projet'!$B$11,Paramètres!$A$1:$I$89,5,0)</f>
        <v>2.2273198711822451</v>
      </c>
      <c r="BF10" s="13">
        <f t="shared" si="37"/>
        <v>0.93508860103286717</v>
      </c>
      <c r="BG10" s="20">
        <f t="shared" si="7"/>
        <v>5.5078614224413203</v>
      </c>
      <c r="BH10" s="59">
        <f t="shared" si="8"/>
        <v>270.73008364466352</v>
      </c>
      <c r="BI10" s="59">
        <f ca="1">AVERAGE(OFFSET($BH$3,0,0,'Données projet'!$E$11+1,1))-AVERAGE(OFFSET($H$3,0,0,'Données projet'!$E$11+1,1))</f>
        <v>227.19831549982962</v>
      </c>
      <c r="BJ10" s="59">
        <f t="shared" si="38"/>
        <v>309.84543033784564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0.70512820512820507</v>
      </c>
      <c r="BY10" s="12">
        <f>IF('Données projet'!$A$114&gt;35,BY9+BX10-CG9,IF(A10&lt;'Données projet'!$A$114,$BV$205^A10,IF(A10='Données projet'!$A$114,'Données projet'!$B$114,BY9+BX10-CG9)))</f>
        <v>3.9245300676370634</v>
      </c>
      <c r="BZ10" s="13">
        <f>BY10*VLOOKUP('Données projet'!$B$12,Paramètres!$A$1:$I$89,3,0)*VLOOKUP('Données projet'!$B$12,Paramètres!$A$1:$I$89,5,0)</f>
        <v>2.5713521003158037</v>
      </c>
      <c r="CA10" s="13">
        <f t="shared" si="39"/>
        <v>1.0616242004791561</v>
      </c>
      <c r="CB10" s="20">
        <f t="shared" si="10"/>
        <v>6.3274337238845542</v>
      </c>
      <c r="CC10" s="59">
        <f t="shared" si="11"/>
        <v>271.54965594610678</v>
      </c>
      <c r="CD10" s="59">
        <f ca="1">AVERAGE(OFFSET($CC$3,0,0,'Données projet'!$E$12+1,1))-AVERAGE(OFFSET($H$3,0,0,'Données projet'!$E$12+1,1))</f>
        <v>91.274378490051788</v>
      </c>
      <c r="CE10" s="59">
        <f t="shared" si="40"/>
        <v>126.60105012427914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11.245555555555555</v>
      </c>
      <c r="N11" s="13">
        <f>IF('Données projet'!$A$36&gt;35,N10+M11-V10,IF(A11&lt;'Données projet'!$A$36,$K$205^A11,IF(A11='Données projet'!$A$36,'Données projet'!$B$36,N10+M11-V10)))</f>
        <v>10.592574330629516</v>
      </c>
      <c r="O11" s="13">
        <f>N11*VLOOKUP('Données projet'!$B$9,Paramètres!$A$1:$I$89,3,0)*VLOOKUP('Données projet'!$B$9,Paramètres!$A$1:$I$89,5,0)</f>
        <v>5.9212490508218991</v>
      </c>
      <c r="P11" s="13">
        <f t="shared" si="33"/>
        <v>2.2184849231648776</v>
      </c>
      <c r="Q11" s="20">
        <f t="shared" si="2"/>
        <v>14.17670333802697</v>
      </c>
      <c r="R11" s="59">
        <f t="shared" si="0"/>
        <v>280.62114778247144</v>
      </c>
      <c r="S11" s="59">
        <f ca="1">AVERAGE(OFFSET($R$3,0,0,'Données projet'!$E$9+1,1))-AVERAGE(OFFSET($H$3,0,0,'Données projet'!$E$9+1,1))</f>
        <v>350.09239406910712</v>
      </c>
      <c r="T11" s="59">
        <f t="shared" si="34"/>
        <v>473.30663081727369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278.66898016644262</v>
      </c>
      <c r="AN11" s="59">
        <f ca="1">AVERAGE(OFFSET($AM$3,0,0,'Données projet'!$E$10+1,1))-AVERAGE(OFFSET($H$3,0,0,'Données projet'!$E$10+1,1))</f>
        <v>179.4725256147085</v>
      </c>
      <c r="AO11" s="59">
        <f t="shared" si="36"/>
        <v>282.16750121151176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10.515599999999999</v>
      </c>
      <c r="BD11" s="12">
        <f>IF('Données projet'!$A$88&gt;35,BD10+BC11-BL10,IF(A11&lt;'Données projet'!$A$88,$BA$205^A11,IF(A11='Données projet'!$A$88,'Données projet'!$B$88,BD10+BC11-BL10)))</f>
        <v>5.9474075694342323</v>
      </c>
      <c r="BE11" s="13">
        <f>BD11*VLOOKUP('Données projet'!$B$11,Paramètres!$A$1:$I$89,3,0)*VLOOKUP('Données projet'!$B$11,Paramètres!$A$1:$I$89,5,0)</f>
        <v>2.783386742495221</v>
      </c>
      <c r="BF11" s="13">
        <f t="shared" si="37"/>
        <v>1.1386159349375762</v>
      </c>
      <c r="BG11" s="20">
        <f t="shared" si="7"/>
        <v>6.830821329862121</v>
      </c>
      <c r="BH11" s="59">
        <f t="shared" si="8"/>
        <v>273.2752657743066</v>
      </c>
      <c r="BI11" s="59">
        <f ca="1">AVERAGE(OFFSET($BH$3,0,0,'Données projet'!$E$11+1,1))-AVERAGE(OFFSET($H$3,0,0,'Données projet'!$E$11+1,1))</f>
        <v>227.19831549982962</v>
      </c>
      <c r="BJ11" s="59">
        <f t="shared" si="38"/>
        <v>309.84543033784564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0.70512820512820507</v>
      </c>
      <c r="BY11" s="12">
        <f>IF('Données projet'!$A$114&gt;35,BY10+BX11-CG10,IF(A11&lt;'Données projet'!$A$114,$BV$205^A11,IF(A11='Données projet'!$A$114,'Données projet'!$B$114,BY10+BX11-CG10)))</f>
        <v>4.7710555094554774</v>
      </c>
      <c r="BZ11" s="13">
        <f>BY11*VLOOKUP('Données projet'!$B$12,Paramètres!$A$1:$I$89,3,0)*VLOOKUP('Données projet'!$B$12,Paramètres!$A$1:$I$89,5,0)</f>
        <v>3.1259955697952284</v>
      </c>
      <c r="CA11" s="13">
        <f t="shared" si="39"/>
        <v>1.2616060941463305</v>
      </c>
      <c r="CB11" s="20">
        <f t="shared" si="10"/>
        <v>7.6417395646982156</v>
      </c>
      <c r="CC11" s="59">
        <f t="shared" si="11"/>
        <v>274.0861840091427</v>
      </c>
      <c r="CD11" s="59">
        <f ca="1">AVERAGE(OFFSET($CC$3,0,0,'Données projet'!$E$12+1,1))-AVERAGE(OFFSET($H$3,0,0,'Données projet'!$E$12+1,1))</f>
        <v>91.274378490051788</v>
      </c>
      <c r="CE11" s="59">
        <f t="shared" si="40"/>
        <v>126.60105012427914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11.245555555555555</v>
      </c>
      <c r="N12" s="13">
        <f>IF('Données projet'!$A$36&gt;35,N11+M12-V11,IF(A12&lt;'Données projet'!$A$36,$K$205^A12,IF(A12='Données projet'!$A$36,'Données projet'!$B$36,N11+M12-V11)))</f>
        <v>14.227438279606069</v>
      </c>
      <c r="O12" s="13">
        <f>N12*VLOOKUP('Données projet'!$B$9,Paramètres!$A$1:$I$89,3,0)*VLOOKUP('Données projet'!$B$9,Paramètres!$A$1:$I$89,5,0)</f>
        <v>7.953137998299793</v>
      </c>
      <c r="P12" s="13">
        <f t="shared" si="33"/>
        <v>2.8791739183305358</v>
      </c>
      <c r="Q12" s="20">
        <f t="shared" si="2"/>
        <v>18.866276588131154</v>
      </c>
      <c r="R12" s="59">
        <f t="shared" si="0"/>
        <v>286.53294325479783</v>
      </c>
      <c r="S12" s="59">
        <f ca="1">AVERAGE(OFFSET($R$3,0,0,'Données projet'!$E$9+1,1))-AVERAGE(OFFSET($H$3,0,0,'Données projet'!$E$9+1,1))</f>
        <v>350.09239406910712</v>
      </c>
      <c r="T12" s="59">
        <f t="shared" si="34"/>
        <v>473.30663081727369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283.42315103051425</v>
      </c>
      <c r="AN12" s="59">
        <f ca="1">AVERAGE(OFFSET($AM$3,0,0,'Données projet'!$E$10+1,1))-AVERAGE(OFFSET($H$3,0,0,'Données projet'!$E$10+1,1))</f>
        <v>179.4725256147085</v>
      </c>
      <c r="AO12" s="59">
        <f t="shared" si="36"/>
        <v>282.16750121151176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10.515599999999999</v>
      </c>
      <c r="BD12" s="12">
        <f>IF('Données projet'!$A$88&gt;35,BD11+BC12-BL11,IF(A12&lt;'Données projet'!$A$88,$BA$205^A12,IF(A12='Données projet'!$A$88,'Données projet'!$B$88,BD11+BC12-BL11)))</f>
        <v>7.4322218353811289</v>
      </c>
      <c r="BE12" s="13">
        <f>BD12*VLOOKUP('Données projet'!$B$11,Paramètres!$A$1:$I$89,3,0)*VLOOKUP('Données projet'!$B$11,Paramètres!$A$1:$I$89,5,0)</f>
        <v>3.4782798189583684</v>
      </c>
      <c r="BF12" s="13">
        <f t="shared" si="37"/>
        <v>1.3864421466177217</v>
      </c>
      <c r="BG12" s="20">
        <f t="shared" si="7"/>
        <v>8.4727240900450216</v>
      </c>
      <c r="BH12" s="59">
        <f t="shared" si="8"/>
        <v>276.13939075671169</v>
      </c>
      <c r="BI12" s="59">
        <f ca="1">AVERAGE(OFFSET($BH$3,0,0,'Données projet'!$E$11+1,1))-AVERAGE(OFFSET($H$3,0,0,'Données projet'!$E$11+1,1))</f>
        <v>227.19831549982962</v>
      </c>
      <c r="BJ12" s="59">
        <f t="shared" si="38"/>
        <v>309.84543033784564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0.70512820512820507</v>
      </c>
      <c r="BY12" s="12">
        <f>IF('Données projet'!$A$114&gt;35,BY11+BX12-CG11,IF(A12&lt;'Données projet'!$A$114,$BV$205^A12,IF(A12='Données projet'!$A$114,'Données projet'!$B$114,BY11+BX12-CG11)))</f>
        <v>5.8001774179324652</v>
      </c>
      <c r="BZ12" s="13">
        <f>BY12*VLOOKUP('Données projet'!$B$12,Paramètres!$A$1:$I$89,3,0)*VLOOKUP('Données projet'!$B$12,Paramètres!$A$1:$I$89,5,0)</f>
        <v>3.8002762442293512</v>
      </c>
      <c r="CA12" s="13">
        <f t="shared" si="39"/>
        <v>1.4992592822100139</v>
      </c>
      <c r="CB12" s="20">
        <f t="shared" si="10"/>
        <v>9.230024375215228</v>
      </c>
      <c r="CC12" s="59">
        <f t="shared" si="11"/>
        <v>276.89669104188192</v>
      </c>
      <c r="CD12" s="59">
        <f ca="1">AVERAGE(OFFSET($CC$3,0,0,'Données projet'!$E$12+1,1))-AVERAGE(OFFSET($H$3,0,0,'Données projet'!$E$12+1,1))</f>
        <v>91.274378490051788</v>
      </c>
      <c r="CE12" s="59">
        <f t="shared" si="40"/>
        <v>126.60105012427914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11.245555555555555</v>
      </c>
      <c r="N13" s="13">
        <f>IF('Données projet'!$A$36&gt;35,N12+M13-V12,IF(A13&lt;'Données projet'!$A$36,$K$205^A13,IF(A13='Données projet'!$A$36,'Données projet'!$B$36,N12+M13-V12)))</f>
        <v>19.109613365155429</v>
      </c>
      <c r="O13" s="13">
        <f>N13*VLOOKUP('Données projet'!$B$9,Paramètres!$A$1:$I$89,3,0)*VLOOKUP('Données projet'!$B$9,Paramètres!$A$1:$I$89,5,0)</f>
        <v>10.682273871121886</v>
      </c>
      <c r="P13" s="13">
        <f t="shared" si="33"/>
        <v>3.7366232988272285</v>
      </c>
      <c r="Q13" s="20">
        <f t="shared" si="2"/>
        <v>25.112912570994709</v>
      </c>
      <c r="R13" s="59">
        <f t="shared" si="0"/>
        <v>294.00180145988355</v>
      </c>
      <c r="S13" s="59">
        <f ca="1">AVERAGE(OFFSET($R$3,0,0,'Données projet'!$E$9+1,1))-AVERAGE(OFFSET($H$3,0,0,'Données projet'!$E$9+1,1))</f>
        <v>350.09239406910712</v>
      </c>
      <c r="T13" s="59">
        <f t="shared" si="34"/>
        <v>473.30663081727369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289.20151031443481</v>
      </c>
      <c r="AN13" s="59">
        <f ca="1">AVERAGE(OFFSET($AM$3,0,0,'Données projet'!$E$10+1,1))-AVERAGE(OFFSET($H$3,0,0,'Données projet'!$E$10+1,1))</f>
        <v>179.4725256147085</v>
      </c>
      <c r="AO13" s="59">
        <f t="shared" si="36"/>
        <v>282.16750121151176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10.515599999999999</v>
      </c>
      <c r="BD13" s="12">
        <f>IF('Données projet'!$A$88&gt;35,BD12+BC13-BL12,IF(A13&lt;'Données projet'!$A$88,$BA$205^A13,IF(A13='Données projet'!$A$88,'Données projet'!$B$88,BD12+BC13-BL12)))</f>
        <v>9.2877309593179156</v>
      </c>
      <c r="BE13" s="13">
        <f>BD13*VLOOKUP('Données projet'!$B$11,Paramètres!$A$1:$I$89,3,0)*VLOOKUP('Données projet'!$B$11,Paramètres!$A$1:$I$89,5,0)</f>
        <v>4.3466580889607842</v>
      </c>
      <c r="BF13" s="13">
        <f t="shared" si="37"/>
        <v>1.6882091378980575</v>
      </c>
      <c r="BG13" s="20">
        <f t="shared" si="7"/>
        <v>10.510727086779148</v>
      </c>
      <c r="BH13" s="59">
        <f t="shared" si="8"/>
        <v>279.39961597566798</v>
      </c>
      <c r="BI13" s="59">
        <f ca="1">AVERAGE(OFFSET($BH$3,0,0,'Données projet'!$E$11+1,1))-AVERAGE(OFFSET($H$3,0,0,'Données projet'!$E$11+1,1))</f>
        <v>227.19831549982962</v>
      </c>
      <c r="BJ13" s="59">
        <f t="shared" si="38"/>
        <v>309.84543033784564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7.0512820512820511</v>
      </c>
      <c r="BW13" s="12">
        <f>VLOOKUP(A13,'Données projet'!$A$113:$I$133,9,0)</f>
        <v>0.70512820512820507</v>
      </c>
      <c r="BX13" s="12">
        <f t="array" ref="BX13">INDEX(BW:BW,MIN(IF(ISNUMBER(BW13:BW209),ROW(BW13:BW209),"")))</f>
        <v>0.70512820512820507</v>
      </c>
      <c r="BY13" s="12">
        <f>IF('Données projet'!$A$114&gt;35,BY12+BX13-CG12,IF(A13&lt;'Données projet'!$A$114,$BV$205^A13,IF(A13='Données projet'!$A$114,'Données projet'!$B$114,BY12+BX13-CG12)))</f>
        <v>7.0512820512820511</v>
      </c>
      <c r="BZ13" s="13">
        <f>BY13*VLOOKUP('Données projet'!$B$12,Paramètres!$A$1:$I$89,3,0)*VLOOKUP('Données projet'!$B$12,Paramètres!$A$1:$I$89,5,0)</f>
        <v>4.62</v>
      </c>
      <c r="CA13" s="13">
        <f t="shared" si="39"/>
        <v>1.7816800392152941</v>
      </c>
      <c r="CB13" s="20">
        <f t="shared" si="10"/>
        <v>11.149592734966637</v>
      </c>
      <c r="CC13" s="59">
        <f t="shared" si="11"/>
        <v>280.03848162385549</v>
      </c>
      <c r="CD13" s="59">
        <f ca="1">AVERAGE(OFFSET($CC$3,0,0,'Données projet'!$E$12+1,1))-AVERAGE(OFFSET($H$3,0,0,'Données projet'!$E$12+1,1))</f>
        <v>91.274378490051788</v>
      </c>
      <c r="CE13" s="59">
        <f t="shared" si="40"/>
        <v>126.60105012427914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0.64102564102564097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0.1075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4.9715465122631836E-2</v>
      </c>
      <c r="CM13" s="21">
        <f>EXP(-LN(2)/2)*CM12+(1-EXP(-LN(2)/2))/(LN(2)/2)*CG13*CJ13*VLOOKUP('Données projet'!$B$12,Paramètres!$A$1:$I$89,3,0)*0.475*44/12</f>
        <v>9.9070326033565748E-2</v>
      </c>
      <c r="CN13" s="22">
        <f t="shared" si="12"/>
        <v>0.14878579115619758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11.245555555555555</v>
      </c>
      <c r="N14" s="13">
        <f>IF('Données projet'!$A$36&gt;35,N13+M14-V13,IF(A14&lt;'Données projet'!$A$36,$K$205^A14,IF(A14='Données projet'!$A$36,'Données projet'!$B$36,N13+M14-V13)))</f>
        <v>25.667117002305357</v>
      </c>
      <c r="O14" s="13">
        <f>N14*VLOOKUP('Données projet'!$B$9,Paramètres!$A$1:$I$89,3,0)*VLOOKUP('Données projet'!$B$9,Paramètres!$A$1:$I$89,5,0)</f>
        <v>14.347918404288695</v>
      </c>
      <c r="P14" s="13">
        <f t="shared" si="33"/>
        <v>4.8494304524106076</v>
      </c>
      <c r="Q14" s="20">
        <f t="shared" si="2"/>
        <v>33.435382592084615</v>
      </c>
      <c r="R14" s="59">
        <f t="shared" si="0"/>
        <v>303.54649370319578</v>
      </c>
      <c r="S14" s="59">
        <f ca="1">AVERAGE(OFFSET($R$3,0,0,'Données projet'!$E$9+1,1))-AVERAGE(OFFSET($H$3,0,0,'Données projet'!$E$9+1,1))</f>
        <v>350.09239406910712</v>
      </c>
      <c r="T14" s="59">
        <f t="shared" si="34"/>
        <v>473.30663081727369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296.30205824629246</v>
      </c>
      <c r="AN14" s="59">
        <f ca="1">AVERAGE(OFFSET($AM$3,0,0,'Données projet'!$E$10+1,1))-AVERAGE(OFFSET($H$3,0,0,'Données projet'!$E$10+1,1))</f>
        <v>179.4725256147085</v>
      </c>
      <c r="AO14" s="59">
        <f t="shared" si="36"/>
        <v>282.16750121151176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10.515599999999999</v>
      </c>
      <c r="BD14" s="12">
        <f>IF('Données projet'!$A$88&gt;35,BD13+BC14-BL13,IF(A14&lt;'Données projet'!$A$88,$BA$205^A14,IF(A14='Données projet'!$A$88,'Données projet'!$B$88,BD13+BC14-BL13)))</f>
        <v>11.606481652905202</v>
      </c>
      <c r="BE14" s="13">
        <f>BD14*VLOOKUP('Données projet'!$B$11,Paramètres!$A$1:$I$89,3,0)*VLOOKUP('Données projet'!$B$11,Paramètres!$A$1:$I$89,5,0)</f>
        <v>5.4318334135596347</v>
      </c>
      <c r="BF14" s="13">
        <f t="shared" si="37"/>
        <v>2.0556574251838118</v>
      </c>
      <c r="BG14" s="20">
        <f t="shared" si="7"/>
        <v>13.040713210811502</v>
      </c>
      <c r="BH14" s="59">
        <f t="shared" si="8"/>
        <v>283.15182432192262</v>
      </c>
      <c r="BI14" s="59">
        <f ca="1">AVERAGE(OFFSET($BH$3,0,0,'Données projet'!$E$11+1,1))-AVERAGE(OFFSET($H$3,0,0,'Données projet'!$E$11+1,1))</f>
        <v>227.19831549982962</v>
      </c>
      <c r="BJ14" s="59">
        <f t="shared" si="38"/>
        <v>309.84543033784564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4.3589743589743595</v>
      </c>
      <c r="BY14" s="12">
        <f>IF('Données projet'!$A$114&gt;35,BY13+BX14-CG13,IF(A14&lt;'Données projet'!$A$114,$BV$205^A14,IF(A14='Données projet'!$A$114,'Données projet'!$B$114,BY13+BX14-CG13)))</f>
        <v>10.76923076923077</v>
      </c>
      <c r="BZ14" s="13">
        <f>BY14*VLOOKUP('Données projet'!$B$12,Paramètres!$A$1:$I$89,3,0)*VLOOKUP('Données projet'!$B$12,Paramètres!$A$1:$I$89,5,0)</f>
        <v>7.056</v>
      </c>
      <c r="CA14" s="13">
        <f t="shared" si="39"/>
        <v>2.590230537601772</v>
      </c>
      <c r="CB14" s="20">
        <f t="shared" si="10"/>
        <v>16.800518186323085</v>
      </c>
      <c r="CC14" s="59">
        <f t="shared" si="11"/>
        <v>286.91162929743422</v>
      </c>
      <c r="CD14" s="59">
        <f ca="1">AVERAGE(OFFSET($CC$3,0,0,'Données projet'!$E$12+1,1))-AVERAGE(OFFSET($H$3,0,0,'Données projet'!$E$12+1,1))</f>
        <v>91.274378490051788</v>
      </c>
      <c r="CE14" s="59">
        <f t="shared" si="40"/>
        <v>126.60105012427914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4.8355993114430784E-2</v>
      </c>
      <c r="CM14" s="21">
        <f>EXP(-LN(2)/2)*CM13+(1-EXP(-LN(2)/2))/(LN(2)/2)*CG14*CJ14*VLOOKUP('Données projet'!$B$12,Paramètres!$A$1:$I$89,3,0)*0.475*44/12</f>
        <v>7.0053299352696496E-2</v>
      </c>
      <c r="CN14" s="22">
        <f t="shared" si="12"/>
        <v>0.11840929246712728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11.245555555555555</v>
      </c>
      <c r="N15" s="13">
        <f>IF('Données projet'!$A$36&gt;35,N14+M15-V14,IF(A15&lt;'Données projet'!$A$36,$K$205^A15,IF(A15='Données projet'!$A$36,'Données projet'!$B$36,N14+M15-V14)))</f>
        <v>34.474841673735469</v>
      </c>
      <c r="O15" s="13">
        <f>N15*VLOOKUP('Données projet'!$B$9,Paramètres!$A$1:$I$89,3,0)*VLOOKUP('Données projet'!$B$9,Paramètres!$A$1:$I$89,5,0)</f>
        <v>19.271436495618129</v>
      </c>
      <c r="P15" s="13">
        <f t="shared" si="33"/>
        <v>6.293643707715562</v>
      </c>
      <c r="Q15" s="20">
        <f t="shared" si="2"/>
        <v>44.525848020806173</v>
      </c>
      <c r="R15" s="59">
        <f t="shared" si="0"/>
        <v>315.85918135413948</v>
      </c>
      <c r="S15" s="59">
        <f ca="1">AVERAGE(OFFSET($R$3,0,0,'Données projet'!$E$9+1,1))-AVERAGE(OFFSET($H$3,0,0,'Données projet'!$E$9+1,1))</f>
        <v>350.09239406910712</v>
      </c>
      <c r="T15" s="59">
        <f t="shared" si="34"/>
        <v>473.30663081727369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305.10977338908407</v>
      </c>
      <c r="AN15" s="59">
        <f ca="1">AVERAGE(OFFSET($AM$3,0,0,'Données projet'!$E$10+1,1))-AVERAGE(OFFSET($H$3,0,0,'Données projet'!$E$10+1,1))</f>
        <v>179.4725256147085</v>
      </c>
      <c r="AO15" s="59">
        <f t="shared" si="36"/>
        <v>282.16750121151176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10.515599999999999</v>
      </c>
      <c r="BD15" s="12">
        <f>IF('Données projet'!$A$88&gt;35,BD14+BC15-BL14,IF(A15&lt;'Données projet'!$A$88,$BA$205^A15,IF(A15='Données projet'!$A$88,'Données projet'!$B$88,BD14+BC15-BL14)))</f>
        <v>14.504125598521654</v>
      </c>
      <c r="BE15" s="13">
        <f>BD15*VLOOKUP('Données projet'!$B$11,Paramètres!$A$1:$I$89,3,0)*VLOOKUP('Données projet'!$B$11,Paramètres!$A$1:$I$89,5,0)</f>
        <v>6.7879307801081339</v>
      </c>
      <c r="BF15" s="13">
        <f t="shared" si="37"/>
        <v>2.5030829148186431</v>
      </c>
      <c r="BG15" s="20">
        <f t="shared" si="7"/>
        <v>16.181848851997469</v>
      </c>
      <c r="BH15" s="59">
        <f t="shared" si="8"/>
        <v>287.51518218533079</v>
      </c>
      <c r="BI15" s="59">
        <f ca="1">AVERAGE(OFFSET($BH$3,0,0,'Données projet'!$E$11+1,1))-AVERAGE(OFFSET($H$3,0,0,'Données projet'!$E$11+1,1))</f>
        <v>227.19831549982962</v>
      </c>
      <c r="BJ15" s="59">
        <f t="shared" si="38"/>
        <v>309.84543033784564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4.3589743589743595</v>
      </c>
      <c r="BY15" s="12">
        <f>IF('Données projet'!$A$114&gt;35,BY14+BX15-CG14,IF(A15&lt;'Données projet'!$A$114,$BV$205^A15,IF(A15='Données projet'!$A$114,'Données projet'!$B$114,BY14+BX15-CG14)))</f>
        <v>15.12820512820513</v>
      </c>
      <c r="BZ15" s="13">
        <f>BY15*VLOOKUP('Données projet'!$B$12,Paramètres!$A$1:$I$89,3,0)*VLOOKUP('Données projet'!$B$12,Paramètres!$A$1:$I$89,5,0)</f>
        <v>9.9120000000000008</v>
      </c>
      <c r="CA15" s="13">
        <f t="shared" si="39"/>
        <v>3.4975198153861511</v>
      </c>
      <c r="CB15" s="20">
        <f t="shared" si="10"/>
        <v>23.354913678464214</v>
      </c>
      <c r="CC15" s="59">
        <f t="shared" si="11"/>
        <v>294.68824701179756</v>
      </c>
      <c r="CD15" s="59">
        <f ca="1">AVERAGE(OFFSET($CC$3,0,0,'Données projet'!$E$12+1,1))-AVERAGE(OFFSET($H$3,0,0,'Données projet'!$E$12+1,1))</f>
        <v>91.274378490051788</v>
      </c>
      <c r="CE15" s="59">
        <f t="shared" si="40"/>
        <v>126.60105012427914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4.7033695939785514E-2</v>
      </c>
      <c r="CM15" s="21">
        <f>EXP(-LN(2)/2)*CM14+(1-EXP(-LN(2)/2))/(LN(2)/2)*CG15*CJ15*VLOOKUP('Données projet'!$B$12,Paramètres!$A$1:$I$89,3,0)*0.475*44/12</f>
        <v>4.9535163016782874E-2</v>
      </c>
      <c r="CN15" s="22">
        <f t="shared" si="12"/>
        <v>9.6568858956568387E-2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11.245555555555555</v>
      </c>
      <c r="N16" s="13">
        <f>IF('Données projet'!$A$36&gt;35,N15+M16-V15,IF(A16&lt;'Données projet'!$A$36,$K$205^A16,IF(A16='Données projet'!$A$36,'Données projet'!$B$36,N15+M16-V15)))</f>
        <v>46.304955415225571</v>
      </c>
      <c r="O16" s="13">
        <f>N16*VLOOKUP('Données projet'!$B$9,Paramètres!$A$1:$I$89,3,0)*VLOOKUP('Données projet'!$B$9,Paramètres!$A$1:$I$89,5,0)</f>
        <v>25.884470077111093</v>
      </c>
      <c r="P16" s="13">
        <f t="shared" si="33"/>
        <v>8.1679594146933123</v>
      </c>
      <c r="Q16" s="20">
        <f t="shared" si="2"/>
        <v>59.307981364892662</v>
      </c>
      <c r="R16" s="59">
        <f t="shared" si="0"/>
        <v>331.86353692044821</v>
      </c>
      <c r="S16" s="59">
        <f ca="1">AVERAGE(OFFSET($R$3,0,0,'Données projet'!$E$9+1,1))-AVERAGE(OFFSET($H$3,0,0,'Données projet'!$E$9+1,1))</f>
        <v>350.09239406910712</v>
      </c>
      <c r="T16" s="59">
        <f t="shared" si="34"/>
        <v>473.30663081727369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316.12207219445713</v>
      </c>
      <c r="AN16" s="59">
        <f ca="1">AVERAGE(OFFSET($AM$3,0,0,'Données projet'!$E$10+1,1))-AVERAGE(OFFSET($H$3,0,0,'Données projet'!$E$10+1,1))</f>
        <v>179.4725256147085</v>
      </c>
      <c r="AO16" s="59">
        <f t="shared" si="36"/>
        <v>282.16750121151176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10.515599999999999</v>
      </c>
      <c r="BD16" s="12">
        <f>IF('Données projet'!$A$88&gt;35,BD15+BC16-BL15,IF(A16&lt;'Données projet'!$A$88,$BA$205^A16,IF(A16='Données projet'!$A$88,'Données projet'!$B$88,BD15+BC16-BL15)))</f>
        <v>18.125187776007365</v>
      </c>
      <c r="BE16" s="13">
        <f>BD16*VLOOKUP('Données projet'!$B$11,Paramètres!$A$1:$I$89,3,0)*VLOOKUP('Données projet'!$B$11,Paramètres!$A$1:$I$89,5,0)</f>
        <v>8.4825878791714473</v>
      </c>
      <c r="BF16" s="13">
        <f t="shared" si="37"/>
        <v>3.0478930981881649</v>
      </c>
      <c r="BG16" s="20">
        <f t="shared" si="7"/>
        <v>20.082254368901324</v>
      </c>
      <c r="BH16" s="59">
        <f t="shared" si="8"/>
        <v>292.63780992445686</v>
      </c>
      <c r="BI16" s="59">
        <f ca="1">AVERAGE(OFFSET($BH$3,0,0,'Données projet'!$E$11+1,1))-AVERAGE(OFFSET($H$3,0,0,'Données projet'!$E$11+1,1))</f>
        <v>227.19831549982962</v>
      </c>
      <c r="BJ16" s="59">
        <f t="shared" si="38"/>
        <v>309.84543033784564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4.3589743589743595</v>
      </c>
      <c r="BY16" s="12">
        <f>IF('Données projet'!$A$114&gt;35,BY15+BX16-CG15,IF(A16&lt;'Données projet'!$A$114,$BV$205^A16,IF(A16='Données projet'!$A$114,'Données projet'!$B$114,BY15+BX16-CG15)))</f>
        <v>19.487179487179489</v>
      </c>
      <c r="BZ16" s="13">
        <f>BY16*VLOOKUP('Données projet'!$B$12,Paramètres!$A$1:$I$89,3,0)*VLOOKUP('Données projet'!$B$12,Paramètres!$A$1:$I$89,5,0)</f>
        <v>12.768000000000002</v>
      </c>
      <c r="CA16" s="13">
        <f t="shared" si="39"/>
        <v>4.3744377058352857</v>
      </c>
      <c r="CB16" s="20">
        <f t="shared" si="10"/>
        <v>29.856412337663127</v>
      </c>
      <c r="CC16" s="59">
        <f t="shared" si="11"/>
        <v>302.41196789321867</v>
      </c>
      <c r="CD16" s="59">
        <f ca="1">AVERAGE(OFFSET($CC$3,0,0,'Données projet'!$E$12+1,1))-AVERAGE(OFFSET($H$3,0,0,'Données projet'!$E$12+1,1))</f>
        <v>91.274378490051788</v>
      </c>
      <c r="CE16" s="59">
        <f t="shared" si="40"/>
        <v>126.60105012427914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4.5747557050917508E-2</v>
      </c>
      <c r="CM16" s="21">
        <f>EXP(-LN(2)/2)*CM15+(1-EXP(-LN(2)/2))/(LN(2)/2)*CG16*CJ16*VLOOKUP('Données projet'!$B$12,Paramètres!$A$1:$I$89,3,0)*0.475*44/12</f>
        <v>3.5026649676348248E-2</v>
      </c>
      <c r="CN16" s="22">
        <f t="shared" si="12"/>
        <v>8.0774206727265763E-2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11.245555555555555</v>
      </c>
      <c r="N17" s="13">
        <f>IF('Données projet'!$A$36&gt;35,N16+M17-V16,IF(A17&lt;'Données projet'!$A$36,$K$205^A17,IF(A17='Données projet'!$A$36,'Données projet'!$B$36,N16+M17-V16)))</f>
        <v>62.194597332684488</v>
      </c>
      <c r="O17" s="13">
        <f>N17*VLOOKUP('Données projet'!$B$9,Paramètres!$A$1:$I$89,3,0)*VLOOKUP('Données projet'!$B$9,Paramètres!$A$1:$I$89,5,0)</f>
        <v>34.766779908970626</v>
      </c>
      <c r="P17" s="13">
        <f t="shared" si="33"/>
        <v>10.600466772259221</v>
      </c>
      <c r="Q17" s="20">
        <f t="shared" si="2"/>
        <v>79.014621303141979</v>
      </c>
      <c r="R17" s="59">
        <f t="shared" si="0"/>
        <v>352.79239908091972</v>
      </c>
      <c r="S17" s="59">
        <f ca="1">AVERAGE(OFFSET($R$3,0,0,'Données projet'!$E$9+1,1))-AVERAGE(OFFSET($H$3,0,0,'Données projet'!$E$9+1,1))</f>
        <v>350.09239406910712</v>
      </c>
      <c r="T17" s="59">
        <f t="shared" si="34"/>
        <v>473.30663081727369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329.98174036840106</v>
      </c>
      <c r="AN17" s="59">
        <f ca="1">AVERAGE(OFFSET($AM$3,0,0,'Données projet'!$E$10+1,1))-AVERAGE(OFFSET($H$3,0,0,'Données projet'!$E$10+1,1))</f>
        <v>179.4725256147085</v>
      </c>
      <c r="AO17" s="59">
        <f t="shared" si="36"/>
        <v>282.16750121151176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10.515599999999999</v>
      </c>
      <c r="BD17" s="12">
        <f>IF('Données projet'!$A$88&gt;35,BD16+BC17-BL16,IF(A17&lt;'Données projet'!$A$88,$BA$205^A17,IF(A17='Données projet'!$A$88,'Données projet'!$B$88,BD16+BC17-BL16)))</f>
        <v>22.650274894821084</v>
      </c>
      <c r="BE17" s="13">
        <f>BD17*VLOOKUP('Données projet'!$B$11,Paramètres!$A$1:$I$89,3,0)*VLOOKUP('Données projet'!$B$11,Paramètres!$A$1:$I$89,5,0)</f>
        <v>10.600328650776268</v>
      </c>
      <c r="BF17" s="13">
        <f t="shared" si="37"/>
        <v>3.7112843058401515</v>
      </c>
      <c r="BG17" s="20">
        <f t="shared" si="7"/>
        <v>24.926059232773596</v>
      </c>
      <c r="BH17" s="59">
        <f t="shared" si="8"/>
        <v>298.70383701055135</v>
      </c>
      <c r="BI17" s="59">
        <f ca="1">AVERAGE(OFFSET($BH$3,0,0,'Données projet'!$E$11+1,1))-AVERAGE(OFFSET($H$3,0,0,'Données projet'!$E$11+1,1))</f>
        <v>227.19831549982962</v>
      </c>
      <c r="BJ17" s="59">
        <f t="shared" si="38"/>
        <v>309.84543033784564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4.3589743589743595</v>
      </c>
      <c r="BY17" s="12">
        <f>IF('Données projet'!$A$114&gt;35,BY16+BX17-CG16,IF(A17&lt;'Données projet'!$A$114,$BV$205^A17,IF(A17='Données projet'!$A$114,'Données projet'!$B$114,BY16+BX17-CG16)))</f>
        <v>23.846153846153847</v>
      </c>
      <c r="BZ17" s="13">
        <f>BY17*VLOOKUP('Données projet'!$B$12,Paramètres!$A$1:$I$89,3,0)*VLOOKUP('Données projet'!$B$12,Paramètres!$A$1:$I$89,5,0)</f>
        <v>15.624000000000001</v>
      </c>
      <c r="CA17" s="13">
        <f t="shared" si="39"/>
        <v>5.2286175891674</v>
      </c>
      <c r="CB17" s="20">
        <f t="shared" si="10"/>
        <v>36.318308967799886</v>
      </c>
      <c r="CC17" s="59">
        <f t="shared" si="11"/>
        <v>310.09608674557768</v>
      </c>
      <c r="CD17" s="59">
        <f ca="1">AVERAGE(OFFSET($CC$3,0,0,'Données projet'!$E$12+1,1))-AVERAGE(OFFSET($H$3,0,0,'Données projet'!$E$12+1,1))</f>
        <v>91.274378490051788</v>
      </c>
      <c r="CE17" s="59">
        <f t="shared" si="40"/>
        <v>126.60105012427914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4.4496587697600704E-2</v>
      </c>
      <c r="CM17" s="21">
        <f>EXP(-LN(2)/2)*CM16+(1-EXP(-LN(2)/2))/(LN(2)/2)*CG17*CJ17*VLOOKUP('Données projet'!$B$12,Paramètres!$A$1:$I$89,3,0)*0.475*44/12</f>
        <v>2.4767581508391437E-2</v>
      </c>
      <c r="CN17" s="22">
        <f t="shared" si="12"/>
        <v>6.926416920599214E-2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11.245555555555555</v>
      </c>
      <c r="N18" s="13">
        <f>IF('Données projet'!$A$36&gt;35,N17+M18-V17,IF(A18&lt;'Données projet'!$A$36,$K$205^A18,IF(A18='Données projet'!$A$36,'Données projet'!$B$36,N17+M18-V17)))</f>
        <v>83.536802976876828</v>
      </c>
      <c r="O18" s="13">
        <f>N18*VLOOKUP('Données projet'!$B$9,Paramètres!$A$1:$I$89,3,0)*VLOOKUP('Données projet'!$B$9,Paramètres!$A$1:$I$89,5,0)</f>
        <v>46.697072864074151</v>
      </c>
      <c r="P18" s="13">
        <f t="shared" si="33"/>
        <v>13.757401339143543</v>
      </c>
      <c r="Q18" s="20">
        <f t="shared" si="2"/>
        <v>105.29154257060414</v>
      </c>
      <c r="R18" s="59">
        <f t="shared" si="0"/>
        <v>380.29154257060412</v>
      </c>
      <c r="S18" s="59">
        <f ca="1">AVERAGE(OFFSET($R$3,0,0,'Données projet'!$E$9+1,1))-AVERAGE(OFFSET($H$3,0,0,'Données projet'!$E$9+1,1))</f>
        <v>350.09239406910712</v>
      </c>
      <c r="T18" s="59">
        <f t="shared" si="34"/>
        <v>473.30663081727369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347.51953406586381</v>
      </c>
      <c r="AN18" s="59">
        <f ca="1">AVERAGE(OFFSET($AM$3,0,0,'Données projet'!$E$10+1,1))-AVERAGE(OFFSET($H$3,0,0,'Données projet'!$E$10+1,1))</f>
        <v>179.4725256147085</v>
      </c>
      <c r="AO18" s="59">
        <f t="shared" si="36"/>
        <v>282.16750121151176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10.515599999999999</v>
      </c>
      <c r="BD18" s="12">
        <f>IF('Données projet'!$A$88&gt;35,BD17+BC18-BL17,IF(A18&lt;'Données projet'!$A$88,$BA$205^A18,IF(A18='Données projet'!$A$88,'Données projet'!$B$88,BD17+BC18-BL17)))</f>
        <v>28.305083464573851</v>
      </c>
      <c r="BE18" s="13">
        <f>BD18*VLOOKUP('Données projet'!$B$11,Paramètres!$A$1:$I$89,3,0)*VLOOKUP('Données projet'!$B$11,Paramètres!$A$1:$I$89,5,0)</f>
        <v>13.246779061420563</v>
      </c>
      <c r="BF18" s="13">
        <f t="shared" si="37"/>
        <v>4.5190663698025437</v>
      </c>
      <c r="BG18" s="20">
        <f t="shared" si="7"/>
        <v>30.942180792713575</v>
      </c>
      <c r="BH18" s="59">
        <f t="shared" si="8"/>
        <v>305.9421807927136</v>
      </c>
      <c r="BI18" s="59">
        <f ca="1">AVERAGE(OFFSET($BH$3,0,0,'Données projet'!$E$11+1,1))-AVERAGE(OFFSET($H$3,0,0,'Données projet'!$E$11+1,1))</f>
        <v>227.19831549982962</v>
      </c>
      <c r="BJ18" s="59">
        <f t="shared" si="38"/>
        <v>309.84543033784564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28.205128205128204</v>
      </c>
      <c r="BW18" s="12">
        <f>VLOOKUP(A18,'Données projet'!$A$113:$I$133,9,0)</f>
        <v>4.3589743589743595</v>
      </c>
      <c r="BX18" s="12">
        <f t="array" ref="BX18">INDEX(BW:BW,MIN(IF(ISNUMBER(BW18:BW214),ROW(BW18:BW214),"")))</f>
        <v>4.3589743589743595</v>
      </c>
      <c r="BY18" s="12">
        <f>IF('Données projet'!$A$114&gt;35,BY17+BX18-CG17,IF(A18&lt;'Données projet'!$A$114,$BV$205^A18,IF(A18='Données projet'!$A$114,'Données projet'!$B$114,BY17+BX18-CG17)))</f>
        <v>28.205128205128204</v>
      </c>
      <c r="BZ18" s="13">
        <f>BY18*VLOOKUP('Données projet'!$B$12,Paramètres!$A$1:$I$89,3,0)*VLOOKUP('Données projet'!$B$12,Paramètres!$A$1:$I$89,5,0)</f>
        <v>18.48</v>
      </c>
      <c r="CA18" s="13">
        <f t="shared" si="39"/>
        <v>6.0647083806458761</v>
      </c>
      <c r="CB18" s="20">
        <f t="shared" si="10"/>
        <v>42.748700429624904</v>
      </c>
      <c r="CC18" s="59">
        <f t="shared" si="11"/>
        <v>317.74870042962493</v>
      </c>
      <c r="CD18" s="59">
        <f ca="1">AVERAGE(OFFSET($CC$3,0,0,'Données projet'!$E$12+1,1))-AVERAGE(OFFSET($H$3,0,0,'Données projet'!$E$12+1,1))</f>
        <v>91.274378490051788</v>
      </c>
      <c r="CE18" s="59">
        <f t="shared" si="40"/>
        <v>126.60105012427914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2.5641025641025639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0.2421416866575633</v>
      </c>
      <c r="CM18" s="21">
        <f>EXP(-LN(2)/2)*CM17+(1-EXP(-LN(2)/2))/(LN(2)/2)*CG18*CJ18*VLOOKUP('Données projet'!$B$12,Paramètres!$A$1:$I$89,3,0)*0.475*44/12</f>
        <v>0.41379462897243713</v>
      </c>
      <c r="CN18" s="22">
        <f t="shared" si="12"/>
        <v>0.65593631563000043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11.245555555555555</v>
      </c>
      <c r="N19" s="13">
        <f>IF('Données projet'!$A$36&gt;35,N18+M19-V18,IF(A19&lt;'Données projet'!$A$36,$K$205^A19,IF(A19='Données projet'!$A$36,'Données projet'!$B$36,N18+M19-V18)))</f>
        <v>112.20263094991134</v>
      </c>
      <c r="O19" s="13">
        <f>N19*VLOOKUP('Données projet'!$B$9,Paramètres!$A$1:$I$89,3,0)*VLOOKUP('Données projet'!$B$9,Paramètres!$A$1:$I$89,5,0)</f>
        <v>62.721270701000442</v>
      </c>
      <c r="P19" s="13">
        <f t="shared" si="33"/>
        <v>17.854505435700844</v>
      </c>
      <c r="Q19" s="20">
        <f t="shared" si="2"/>
        <v>140.33614343808804</v>
      </c>
      <c r="R19" s="59">
        <f t="shared" si="0"/>
        <v>416.5583656603103</v>
      </c>
      <c r="S19" s="59">
        <f ca="1">AVERAGE(OFFSET($R$3,0,0,'Données projet'!$E$9+1,1))-AVERAGE(OFFSET($H$3,0,0,'Données projet'!$E$9+1,1))</f>
        <v>350.09239406910712</v>
      </c>
      <c r="T19" s="59">
        <f t="shared" si="34"/>
        <v>473.30663081727369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369.80929691782018</v>
      </c>
      <c r="AN19" s="59">
        <f ca="1">AVERAGE(OFFSET($AM$3,0,0,'Données projet'!$E$10+1,1))-AVERAGE(OFFSET($H$3,0,0,'Données projet'!$E$10+1,1))</f>
        <v>179.4725256147085</v>
      </c>
      <c r="AO19" s="59">
        <f t="shared" si="36"/>
        <v>282.16750121151176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10.515599999999999</v>
      </c>
      <c r="BD19" s="12">
        <f>IF('Données projet'!$A$88&gt;35,BD18+BC19-BL18,IF(A19&lt;'Données projet'!$A$88,$BA$205^A19,IF(A19='Données projet'!$A$88,'Données projet'!$B$88,BD18+BC19-BL18)))</f>
        <v>35.371656796963606</v>
      </c>
      <c r="BE19" s="13">
        <f>BD19*VLOOKUP('Données projet'!$B$11,Paramètres!$A$1:$I$89,3,0)*VLOOKUP('Données projet'!$B$11,Paramètres!$A$1:$I$89,5,0)</f>
        <v>16.553935380978967</v>
      </c>
      <c r="BF19" s="13">
        <f t="shared" si="37"/>
        <v>5.5026667783289804</v>
      </c>
      <c r="BG19" s="20">
        <f t="shared" si="7"/>
        <v>38.415248760794668</v>
      </c>
      <c r="BH19" s="59">
        <f t="shared" si="8"/>
        <v>314.6374709830169</v>
      </c>
      <c r="BI19" s="59">
        <f ca="1">AVERAGE(OFFSET($BH$3,0,0,'Données projet'!$E$11+1,1))-AVERAGE(OFFSET($H$3,0,0,'Données projet'!$E$11+1,1))</f>
        <v>227.19831549982962</v>
      </c>
      <c r="BJ19" s="59">
        <f t="shared" si="38"/>
        <v>309.84543033784564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7.6923076923076916</v>
      </c>
      <c r="BY19" s="12">
        <f>IF('Données projet'!$A$114&gt;35,BY18+BX19-CG18,IF(A19&lt;'Données projet'!$A$114,$BV$205^A19,IF(A19='Données projet'!$A$114,'Données projet'!$B$114,BY18+BX19-CG18)))</f>
        <v>33.333333333333336</v>
      </c>
      <c r="BZ19" s="13">
        <f>BY19*VLOOKUP('Données projet'!$B$12,Paramètres!$A$1:$I$89,3,0)*VLOOKUP('Données projet'!$B$12,Paramètres!$A$1:$I$89,5,0)</f>
        <v>21.84</v>
      </c>
      <c r="CA19" s="13">
        <f t="shared" si="39"/>
        <v>7.0293584875852613</v>
      </c>
      <c r="CB19" s="20">
        <f t="shared" si="10"/>
        <v>50.280799365877662</v>
      </c>
      <c r="CC19" s="59">
        <f t="shared" si="11"/>
        <v>326.5030215880999</v>
      </c>
      <c r="CD19" s="59">
        <f ca="1">AVERAGE(OFFSET($CC$3,0,0,'Données projet'!$E$12+1,1))-AVERAGE(OFFSET($H$3,0,0,'Données projet'!$E$12+1,1))</f>
        <v>91.274378490051788</v>
      </c>
      <c r="CE19" s="59">
        <f t="shared" si="40"/>
        <v>126.60105012427914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0.23552030950223435</v>
      </c>
      <c r="CM19" s="21">
        <f>EXP(-LN(2)/2)*CM18+(1-EXP(-LN(2)/2))/(LN(2)/2)*CG19*CJ19*VLOOKUP('Données projet'!$B$12,Paramètres!$A$1:$I$89,3,0)*0.475*44/12</f>
        <v>0.29259698816498175</v>
      </c>
      <c r="CN19" s="22">
        <f t="shared" si="12"/>
        <v>0.52811729766721616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11.245555555555555</v>
      </c>
      <c r="N20" s="13">
        <f>IF('Données projet'!$A$36&gt;35,N19+M20-V19,IF(A20&lt;'Données projet'!$A$36,$K$205^A20,IF(A20='Données projet'!$A$36,'Données projet'!$B$36,N19+M20-V19)))</f>
        <v>150.70519751117101</v>
      </c>
      <c r="O20" s="13">
        <f>N20*VLOOKUP('Données projet'!$B$9,Paramètres!$A$1:$I$89,3,0)*VLOOKUP('Données projet'!$B$9,Paramètres!$A$1:$I$89,5,0)</f>
        <v>84.244205408744605</v>
      </c>
      <c r="P20" s="13">
        <f t="shared" si="33"/>
        <v>23.171771797224942</v>
      </c>
      <c r="Q20" s="20">
        <f t="shared" si="2"/>
        <v>187.08282696706362</v>
      </c>
      <c r="R20" s="59">
        <f t="shared" si="0"/>
        <v>464.52727141150808</v>
      </c>
      <c r="S20" s="59">
        <f ca="1">AVERAGE(OFFSET($R$3,0,0,'Données projet'!$E$9+1,1))-AVERAGE(OFFSET($H$3,0,0,'Données projet'!$E$9+1,1))</f>
        <v>350.09239406910712</v>
      </c>
      <c r="T20" s="59">
        <f t="shared" si="34"/>
        <v>473.30663081727369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398.23927827863503</v>
      </c>
      <c r="AN20" s="59">
        <f ca="1">AVERAGE(OFFSET($AM$3,0,0,'Données projet'!$E$10+1,1))-AVERAGE(OFFSET($H$3,0,0,'Données projet'!$E$10+1,1))</f>
        <v>179.4725256147085</v>
      </c>
      <c r="AO20" s="59">
        <f t="shared" si="36"/>
        <v>282.16750121151176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10.515599999999999</v>
      </c>
      <c r="BD20" s="12">
        <f>IF('Données projet'!$A$88&gt;35,BD19+BC20-BL19,IF(A20&lt;'Données projet'!$A$88,$BA$205^A20,IF(A20='Données projet'!$A$88,'Données projet'!$B$88,BD19+BC20-BL19)))</f>
        <v>44.202452401460114</v>
      </c>
      <c r="BE20" s="13">
        <f>BD20*VLOOKUP('Données projet'!$B$11,Paramètres!$A$1:$I$89,3,0)*VLOOKUP('Données projet'!$B$11,Paramètres!$A$1:$I$89,5,0)</f>
        <v>20.686747723883332</v>
      </c>
      <c r="BF20" s="13">
        <f t="shared" si="37"/>
        <v>6.7003533906160557</v>
      </c>
      <c r="BG20" s="20">
        <f t="shared" si="7"/>
        <v>47.699201107753105</v>
      </c>
      <c r="BH20" s="59">
        <f t="shared" si="8"/>
        <v>325.14364555219754</v>
      </c>
      <c r="BI20" s="59">
        <f ca="1">AVERAGE(OFFSET($BH$3,0,0,'Données projet'!$E$11+1,1))-AVERAGE(OFFSET($H$3,0,0,'Données projet'!$E$11+1,1))</f>
        <v>227.19831549982962</v>
      </c>
      <c r="BJ20" s="59">
        <f t="shared" si="38"/>
        <v>309.84543033784564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7.6923076923076916</v>
      </c>
      <c r="BY20" s="12">
        <f>IF('Données projet'!$A$114&gt;35,BY19+BX20-CG19,IF(A20&lt;'Données projet'!$A$114,$BV$205^A20,IF(A20='Données projet'!$A$114,'Données projet'!$B$114,BY19+BX20-CG19)))</f>
        <v>41.025641025641029</v>
      </c>
      <c r="BZ20" s="13">
        <f>BY20*VLOOKUP('Données projet'!$B$12,Paramètres!$A$1:$I$89,3,0)*VLOOKUP('Données projet'!$B$12,Paramètres!$A$1:$I$89,5,0)</f>
        <v>26.88</v>
      </c>
      <c r="CA20" s="13">
        <f t="shared" si="39"/>
        <v>8.4449243379774988</v>
      </c>
      <c r="CB20" s="20">
        <f t="shared" si="10"/>
        <v>61.524243221977478</v>
      </c>
      <c r="CC20" s="59">
        <f t="shared" si="11"/>
        <v>338.96868766642194</v>
      </c>
      <c r="CD20" s="59">
        <f ca="1">AVERAGE(OFFSET($CC$3,0,0,'Données projet'!$E$12+1,1))-AVERAGE(OFFSET($H$3,0,0,'Données projet'!$E$12+1,1))</f>
        <v>91.274378490051788</v>
      </c>
      <c r="CE20" s="59">
        <f t="shared" si="40"/>
        <v>126.60105012427914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0.22907999425342096</v>
      </c>
      <c r="CM20" s="21">
        <f>EXP(-LN(2)/2)*CM19+(1-EXP(-LN(2)/2))/(LN(2)/2)*CG20*CJ20*VLOOKUP('Données projet'!$B$12,Paramètres!$A$1:$I$89,3,0)*0.475*44/12</f>
        <v>0.20689731448621859</v>
      </c>
      <c r="CN20" s="22">
        <f t="shared" si="12"/>
        <v>0.43597730873963958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202.42</v>
      </c>
      <c r="L21" s="12">
        <f>VLOOKUP(A21,'Données projet'!$A$35:$I$55,9,0)</f>
        <v>11.245555555555555</v>
      </c>
      <c r="M21" s="12">
        <f t="array" ref="M21">INDEX(L:L,MIN(IF(ISNUMBER(L21:L217),ROW(L21:L217),"")))</f>
        <v>11.245555555555555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528.1174986001804</v>
      </c>
      <c r="S21" s="59">
        <f ca="1">AVERAGE(OFFSET($R$3,0,0,'Données projet'!$E$9+1,1))-AVERAGE(OFFSET($H$3,0,0,'Données projet'!$E$9+1,1))</f>
        <v>350.09239406910712</v>
      </c>
      <c r="T21" s="59">
        <f t="shared" si="34"/>
        <v>473.30663081727369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74.829999999999984</v>
      </c>
      <c r="W21" s="16">
        <f>IF(ISNA(VLOOKUP(A21,'Données projet'!$A$35:$I$55,5,0)),0%,VLOOKUP(A21,'Données projet'!$A$35:$I$55,5,0)*VLOOKUP('Données projet'!$B$9,Paramètres!$A$1:$I$89,7,0))</f>
        <v>0.13750000000000001</v>
      </c>
      <c r="X21" s="16">
        <f>IF(ISNA(VLOOKUP(A21,'Données projet'!$A$35:$I$55,6,0)),0%,VLOOKUP(A21,'Données projet'!$A$35:$I$55,6,0)*VLOOKUP('Données projet'!$B$9,Paramètres!$A$1:$I$89,7,0))</f>
        <v>0.20350000000000001</v>
      </c>
      <c r="Y21" s="16">
        <f>IF(ISNA(VLOOKUP(A21,'Données projet'!$A$35:$I$55,7,0)),0%,VLOOKUP(A21,'Données projet'!$A$35:$I$55,7,0))</f>
        <v>0.38</v>
      </c>
      <c r="Z21" s="21">
        <f>EXP(-LN(2)/35)*Z20+(1-EXP(-LN(2)/35))/(LN(2)/35)*V21*W21*VLOOKUP('Données projet'!$B$9,Paramètres!$A$1:$I$89,3,0)*0.475*44/12</f>
        <v>7.6298958139390658</v>
      </c>
      <c r="AA21" s="21">
        <f>EXP(-LN(2)/25)*AA20+(1-EXP(-LN(2)/25))/(LN(2)/25)*Calculateur!V21*Calculateur!X21*VLOOKUP('Données projet'!$B$9,Paramètres!$A$1:$I$89,3,0)*0.475*44/12</f>
        <v>11.247783930214013</v>
      </c>
      <c r="AB21" s="21">
        <f>EXP(-LN(2)/2)*AB20+(1-EXP(-LN(2)/2))/(LN(2)/2)*V21*Y21*VLOOKUP('Données projet'!$B$9,Paramètres!$A$1:$I$89,3,0)*0.475*44/12</f>
        <v>17.997272354653987</v>
      </c>
      <c r="AC21" s="22">
        <f t="shared" si="3"/>
        <v>36.874952098807064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434.60442549487129</v>
      </c>
      <c r="AN21" s="59">
        <f ca="1">AVERAGE(OFFSET($AM$3,0,0,'Données projet'!$E$10+1,1))-AVERAGE(OFFSET($H$3,0,0,'Données projet'!$E$10+1,1))</f>
        <v>179.4725256147085</v>
      </c>
      <c r="AO21" s="59">
        <f t="shared" si="36"/>
        <v>282.16750121151176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0.15</v>
      </c>
      <c r="AS21" s="16">
        <f>IF(ISNA(VLOOKUP(A21,'Données projet'!$A$61:$I$81,6,0)),0%,VLOOKUP(A21,'Données projet'!$A$61:$I$81,6,0)*VLOOKUP('Données projet'!$B$10,Paramètres!$A$1:$I$89,7,0))</f>
        <v>0.222</v>
      </c>
      <c r="AT21" s="16">
        <f>IF(ISNA(VLOOKUP(A21,'Données projet'!$A$61:$I$81,7,0)),0%,VLOOKUP(A21,'Données projet'!$A$61:$I$81,7,0))</f>
        <v>0.38</v>
      </c>
      <c r="AU21" s="21">
        <f>EXP(-LN(2)/35)*AU20+(1-EXP(-LN(2)/35))/(LN(2)/35)*AQ21*AR21*VLOOKUP('Données projet'!$B$10,Paramètres!$A$1:$I$89,3,0)*0.475*44/12</f>
        <v>2.4833286605828189</v>
      </c>
      <c r="AV21" s="21">
        <f>EXP(-LN(2)/25)*AV20+(1-EXP(-LN(2)/25))/(LN(2)/25)*Calculateur!AQ21*Calculateur!AS21*VLOOKUP('Données projet'!$B$10,Paramètres!$A$1:$I$89,3,0)*0.475*44/12</f>
        <v>3.6608552571470789</v>
      </c>
      <c r="AW21" s="21">
        <f>EXP(-LN(2)/2)*AW20+(1-EXP(-LN(2)/2))/(LN(2)/2)*AQ21*AT21*VLOOKUP('Données projet'!$B$10,Paramètres!$A$1:$I$89,3,0)*0.475*44/12</f>
        <v>5.3694984477895114</v>
      </c>
      <c r="AX21" s="21">
        <f t="shared" si="6"/>
        <v>11.513682365519408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10.515599999999999</v>
      </c>
      <c r="BD21" s="12">
        <f>IF('Données projet'!$A$88&gt;35,BD20+BC21-BL20,IF(A21&lt;'Données projet'!$A$88,$BA$205^A21,IF(A21='Données projet'!$A$88,'Données projet'!$B$88,BD20+BC21-BL20)))</f>
        <v>55.237921410316048</v>
      </c>
      <c r="BE21" s="13">
        <f>BD21*VLOOKUP('Données projet'!$B$11,Paramètres!$A$1:$I$89,3,0)*VLOOKUP('Données projet'!$B$11,Paramètres!$A$1:$I$89,5,0)</f>
        <v>25.851347220027911</v>
      </c>
      <c r="BF21" s="13">
        <f t="shared" si="37"/>
        <v>8.1587232823088396</v>
      </c>
      <c r="BG21" s="20">
        <f t="shared" si="7"/>
        <v>59.234206124903181</v>
      </c>
      <c r="BH21" s="59">
        <f t="shared" si="8"/>
        <v>337.9008727915699</v>
      </c>
      <c r="BI21" s="59">
        <f ca="1">AVERAGE(OFFSET($BH$3,0,0,'Données projet'!$E$11+1,1))-AVERAGE(OFFSET($H$3,0,0,'Données projet'!$E$11+1,1))</f>
        <v>227.19831549982962</v>
      </c>
      <c r="BJ21" s="59">
        <f t="shared" si="38"/>
        <v>309.84543033784564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7.6923076923076916</v>
      </c>
      <c r="BY21" s="12">
        <f>IF('Données projet'!$A$114&gt;35,BY20+BX21-CG20,IF(A21&lt;'Données projet'!$A$114,$BV$205^A21,IF(A21='Données projet'!$A$114,'Données projet'!$B$114,BY20+BX21-CG20)))</f>
        <v>48.717948717948723</v>
      </c>
      <c r="BZ21" s="13">
        <f>BY21*VLOOKUP('Données projet'!$B$12,Paramètres!$A$1:$I$89,3,0)*VLOOKUP('Données projet'!$B$12,Paramètres!$A$1:$I$89,5,0)</f>
        <v>31.920000000000005</v>
      </c>
      <c r="CA21" s="13">
        <f t="shared" si="39"/>
        <v>9.8297399379525086</v>
      </c>
      <c r="CB21" s="20">
        <f t="shared" si="10"/>
        <v>72.714130391933963</v>
      </c>
      <c r="CC21" s="59">
        <f t="shared" si="11"/>
        <v>351.38079705860065</v>
      </c>
      <c r="CD21" s="59">
        <f ca="1">AVERAGE(OFFSET($CC$3,0,0,'Données projet'!$E$12+1,1))-AVERAGE(OFFSET($H$3,0,0,'Données projet'!$E$12+1,1))</f>
        <v>91.274378490051788</v>
      </c>
      <c r="CE21" s="59">
        <f t="shared" si="40"/>
        <v>126.60105012427914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0.22281578976376784</v>
      </c>
      <c r="CM21" s="21">
        <f>EXP(-LN(2)/2)*CM20+(1-EXP(-LN(2)/2))/(LN(2)/2)*CG21*CJ21*VLOOKUP('Données projet'!$B$12,Paramètres!$A$1:$I$89,3,0)*0.475*44/12</f>
        <v>0.14629849408249088</v>
      </c>
      <c r="CN21" s="22">
        <f t="shared" si="12"/>
        <v>0.36911428384625872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26.928333333333338</v>
      </c>
      <c r="N22" s="13">
        <f>IF('Données projet'!$A$36&gt;35,N21+M22-V21,IF(A22&lt;'Données projet'!$A$36,$K$205^A22,IF(A22='Données projet'!$A$36,'Données projet'!$B$36,N21+M22-V21)))</f>
        <v>154.51833333333335</v>
      </c>
      <c r="O22" s="13">
        <f>N22*VLOOKUP('Données projet'!$B$9,Paramètres!$A$1:$I$89,3,0)*VLOOKUP('Données projet'!$B$9,Paramètres!$A$1:$I$89,5,0)</f>
        <v>86.375748333333348</v>
      </c>
      <c r="P22" s="13">
        <f t="shared" si="33"/>
        <v>23.689062822194892</v>
      </c>
      <c r="Q22" s="20">
        <f t="shared" si="2"/>
        <v>191.696212762545</v>
      </c>
      <c r="R22" s="59">
        <f t="shared" si="0"/>
        <v>471.58510165143389</v>
      </c>
      <c r="S22" s="59">
        <f ca="1">AVERAGE(OFFSET($R$3,0,0,'Données projet'!$E$9+1,1))-AVERAGE(OFFSET($H$3,0,0,'Données projet'!$E$9+1,1))</f>
        <v>350.09239406910712</v>
      </c>
      <c r="T22" s="59">
        <f t="shared" si="34"/>
        <v>473.30663081727369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7.4802782108046451</v>
      </c>
      <c r="AA22" s="21">
        <f>EXP(-LN(2)/25)*AA21+(1-EXP(-LN(2)/25))/(LN(2)/25)*Calculateur!V22*Calculateur!X22*VLOOKUP('Données projet'!$B$9,Paramètres!$A$1:$I$89,3,0)*0.475*44/12</f>
        <v>10.94021268714706</v>
      </c>
      <c r="AB22" s="21">
        <f>EXP(-LN(2)/2)*AB21+(1-EXP(-LN(2)/2))/(LN(2)/2)*V22*Y22*VLOOKUP('Données projet'!$B$9,Paramètres!$A$1:$I$89,3,0)*0.475*44/12</f>
        <v>12.725993324837019</v>
      </c>
      <c r="AC22" s="22">
        <f t="shared" si="3"/>
        <v>31.146484222788722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433.11260075503719</v>
      </c>
      <c r="AN22" s="59">
        <f ca="1">AVERAGE(OFFSET($AM$3,0,0,'Données projet'!$E$10+1,1))-AVERAGE(OFFSET($H$3,0,0,'Données projet'!$E$10+1,1))</f>
        <v>179.4725256147085</v>
      </c>
      <c r="AO22" s="59">
        <f t="shared" si="36"/>
        <v>282.16750121151176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2.4346321002297104</v>
      </c>
      <c r="AV22" s="21">
        <f>EXP(-LN(2)/25)*AV21+(1-EXP(-LN(2)/25))/(LN(2)/25)*Calculateur!AQ22*Calculateur!AS22*VLOOKUP('Données projet'!$B$10,Paramètres!$A$1:$I$89,3,0)*0.475*44/12</f>
        <v>3.5607489776243813</v>
      </c>
      <c r="AW22" s="21">
        <f>EXP(-LN(2)/2)*AW21+(1-EXP(-LN(2)/2))/(LN(2)/2)*AQ22*AT22*VLOOKUP('Données projet'!$B$10,Paramètres!$A$1:$I$89,3,0)*0.475*44/12</f>
        <v>3.7968087640026047</v>
      </c>
      <c r="AX22" s="21">
        <f t="shared" si="6"/>
        <v>9.7921898418566968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10.515599999999999</v>
      </c>
      <c r="BD22" s="12">
        <f>IF('Données projet'!$A$88&gt;35,BD21+BC22-BL21,IF(A22&lt;'Données projet'!$A$88,$BA$205^A22,IF(A22='Données projet'!$A$88,'Données projet'!$B$88,BD21+BC22-BL21)))</f>
        <v>69.028476836987949</v>
      </c>
      <c r="BE22" s="13">
        <f>BD22*VLOOKUP('Données projet'!$B$11,Paramètres!$A$1:$I$89,3,0)*VLOOKUP('Données projet'!$B$11,Paramètres!$A$1:$I$89,5,0)</f>
        <v>32.305327159710359</v>
      </c>
      <c r="BF22" s="13">
        <f t="shared" si="37"/>
        <v>9.9345156466692206</v>
      </c>
      <c r="BG22" s="20">
        <f t="shared" si="7"/>
        <v>73.567726221111101</v>
      </c>
      <c r="BH22" s="59">
        <f t="shared" si="8"/>
        <v>353.45661510999997</v>
      </c>
      <c r="BI22" s="59">
        <f ca="1">AVERAGE(OFFSET($BH$3,0,0,'Données projet'!$E$11+1,1))-AVERAGE(OFFSET($H$3,0,0,'Données projet'!$E$11+1,1))</f>
        <v>227.19831549982962</v>
      </c>
      <c r="BJ22" s="59">
        <f t="shared" si="38"/>
        <v>309.84543033784564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7.6923076923076916</v>
      </c>
      <c r="BY22" s="12">
        <f>IF('Données projet'!$A$114&gt;35,BY21+BX22-CG21,IF(A22&lt;'Données projet'!$A$114,$BV$205^A22,IF(A22='Données projet'!$A$114,'Données projet'!$B$114,BY21+BX22-CG21)))</f>
        <v>56.410256410256416</v>
      </c>
      <c r="BZ22" s="13">
        <f>BY22*VLOOKUP('Données projet'!$B$12,Paramètres!$A$1:$I$89,3,0)*VLOOKUP('Données projet'!$B$12,Paramètres!$A$1:$I$89,5,0)</f>
        <v>36.96</v>
      </c>
      <c r="CA22" s="13">
        <f t="shared" si="39"/>
        <v>11.189225514592357</v>
      </c>
      <c r="CB22" s="20">
        <f t="shared" si="10"/>
        <v>83.859901104581681</v>
      </c>
      <c r="CC22" s="59">
        <f t="shared" si="11"/>
        <v>363.74878999347055</v>
      </c>
      <c r="CD22" s="59">
        <f ca="1">AVERAGE(OFFSET($CC$3,0,0,'Données projet'!$E$12+1,1))-AVERAGE(OFFSET($H$3,0,0,'Données projet'!$E$12+1,1))</f>
        <v>91.274378490051788</v>
      </c>
      <c r="CE22" s="59">
        <f t="shared" si="40"/>
        <v>126.60105012427914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0.21672288027530448</v>
      </c>
      <c r="CM22" s="21">
        <f>EXP(-LN(2)/2)*CM21+(1-EXP(-LN(2)/2))/(LN(2)/2)*CG22*CJ22*VLOOKUP('Données projet'!$B$12,Paramètres!$A$1:$I$89,3,0)*0.475*44/12</f>
        <v>0.1034486572431093</v>
      </c>
      <c r="CN22" s="22">
        <f t="shared" si="12"/>
        <v>0.32017153751841376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26.928333333333338</v>
      </c>
      <c r="N23" s="13">
        <f>IF('Données projet'!$A$36&gt;35,N22+M23-V22,IF(A23&lt;'Données projet'!$A$36,$K$205^A23,IF(A23='Données projet'!$A$36,'Données projet'!$B$36,N22+M23-V22)))</f>
        <v>181.44666666666669</v>
      </c>
      <c r="O23" s="13">
        <f>N23*VLOOKUP('Données projet'!$B$9,Paramètres!$A$1:$I$89,3,0)*VLOOKUP('Données projet'!$B$9,Paramètres!$A$1:$I$89,5,0)</f>
        <v>101.42868666666668</v>
      </c>
      <c r="P23" s="13">
        <f t="shared" si="33"/>
        <v>27.30208092704186</v>
      </c>
      <c r="Q23" s="20">
        <f t="shared" si="2"/>
        <v>224.20608689237574</v>
      </c>
      <c r="R23" s="59">
        <f t="shared" si="0"/>
        <v>505.31719800348685</v>
      </c>
      <c r="S23" s="59">
        <f ca="1">AVERAGE(OFFSET($R$3,0,0,'Données projet'!$E$9+1,1))-AVERAGE(OFFSET($H$3,0,0,'Données projet'!$E$9+1,1))</f>
        <v>350.09239406910712</v>
      </c>
      <c r="T23" s="59">
        <f t="shared" si="34"/>
        <v>473.30663081727369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7.3335945176099635</v>
      </c>
      <c r="AA23" s="21">
        <f>EXP(-LN(2)/25)*AA22+(1-EXP(-LN(2)/25))/(LN(2)/25)*Calculateur!V23*Calculateur!X23*VLOOKUP('Données projet'!$B$9,Paramètres!$A$1:$I$89,3,0)*0.475*44/12</f>
        <v>10.641051995896243</v>
      </c>
      <c r="AB23" s="21">
        <f>EXP(-LN(2)/2)*AB22+(1-EXP(-LN(2)/2))/(LN(2)/2)*V23*Y23*VLOOKUP('Données projet'!$B$9,Paramètres!$A$1:$I$89,3,0)*0.475*44/12</f>
        <v>8.9986361773269952</v>
      </c>
      <c r="AC23" s="22">
        <f t="shared" si="3"/>
        <v>26.973282690833202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458.72259336405608</v>
      </c>
      <c r="AN23" s="59">
        <f ca="1">AVERAGE(OFFSET($AM$3,0,0,'Données projet'!$E$10+1,1))-AVERAGE(OFFSET($H$3,0,0,'Données projet'!$E$10+1,1))</f>
        <v>179.4725256147085</v>
      </c>
      <c r="AO23" s="59">
        <f t="shared" si="36"/>
        <v>282.16750121151176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2.3868904497231576</v>
      </c>
      <c r="AV23" s="21">
        <f>EXP(-LN(2)/25)*AV22+(1-EXP(-LN(2)/25))/(LN(2)/25)*Calculateur!AQ23*Calculateur!AS23*VLOOKUP('Données projet'!$B$10,Paramètres!$A$1:$I$89,3,0)*0.475*44/12</f>
        <v>3.463380109579592</v>
      </c>
      <c r="AW23" s="21">
        <f>EXP(-LN(2)/2)*AW22+(1-EXP(-LN(2)/2))/(LN(2)/2)*AQ23*AT23*VLOOKUP('Données projet'!$B$10,Paramètres!$A$1:$I$89,3,0)*0.475*44/12</f>
        <v>2.6847492238947561</v>
      </c>
      <c r="AX23" s="21">
        <f t="shared" si="6"/>
        <v>8.5350197831975052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10.515599999999999</v>
      </c>
      <c r="BD23" s="12">
        <f>IF('Données projet'!$A$88&gt;35,BD22+BC23-BL22,IF(A23&lt;'Données projet'!$A$88,$BA$205^A23,IF(A23='Données projet'!$A$88,'Données projet'!$B$88,BD22+BC23-BL22)))</f>
        <v>86.261946372672512</v>
      </c>
      <c r="BE23" s="13">
        <f>BD23*VLOOKUP('Données projet'!$B$11,Paramètres!$A$1:$I$89,3,0)*VLOOKUP('Données projet'!$B$11,Paramètres!$A$1:$I$89,5,0)</f>
        <v>40.370590902410733</v>
      </c>
      <c r="BF23" s="13">
        <f t="shared" si="37"/>
        <v>12.096819283958599</v>
      </c>
      <c r="BG23" s="20">
        <f t="shared" si="7"/>
        <v>91.380739407926583</v>
      </c>
      <c r="BH23" s="59">
        <f t="shared" si="8"/>
        <v>372.49185051903771</v>
      </c>
      <c r="BI23" s="59">
        <f ca="1">AVERAGE(OFFSET($BH$3,0,0,'Données projet'!$E$11+1,1))-AVERAGE(OFFSET($H$3,0,0,'Données projet'!$E$11+1,1))</f>
        <v>227.19831549982962</v>
      </c>
      <c r="BJ23" s="59">
        <f t="shared" si="38"/>
        <v>309.84543033784564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64.102564102564102</v>
      </c>
      <c r="BW23" s="12">
        <f>VLOOKUP(A23,'Données projet'!$A$113:$I$133,9,0)</f>
        <v>7.6923076923076916</v>
      </c>
      <c r="BX23" s="12">
        <f t="array" ref="BX23">INDEX(BW:BW,MIN(IF(ISNUMBER(BW23:BW219),ROW(BW23:BW219),"")))</f>
        <v>7.6923076923076916</v>
      </c>
      <c r="BY23" s="12">
        <f>IF('Données projet'!$A$114&gt;35,BY22+BX23-CG22,IF(A23&lt;'Données projet'!$A$114,$BV$205^A23,IF(A23='Données projet'!$A$114,'Données projet'!$B$114,BY22+BX23-CG22)))</f>
        <v>64.102564102564102</v>
      </c>
      <c r="BZ23" s="13">
        <f>BY23*VLOOKUP('Données projet'!$B$12,Paramètres!$A$1:$I$89,3,0)*VLOOKUP('Données projet'!$B$12,Paramètres!$A$1:$I$89,5,0)</f>
        <v>42</v>
      </c>
      <c r="CA23" s="13">
        <f t="shared" si="39"/>
        <v>12.527232501437741</v>
      </c>
      <c r="CB23" s="20">
        <f t="shared" si="10"/>
        <v>94.968263273337399</v>
      </c>
      <c r="CC23" s="59">
        <f t="shared" si="11"/>
        <v>376.07937438444856</v>
      </c>
      <c r="CD23" s="59">
        <f ca="1">AVERAGE(OFFSET($CC$3,0,0,'Données projet'!$E$12+1,1))-AVERAGE(OFFSET($H$3,0,0,'Données projet'!$E$12+1,1))</f>
        <v>91.274378490051788</v>
      </c>
      <c r="CE23" s="59">
        <f t="shared" si="40"/>
        <v>126.60105012427914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6.4102564102564097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0.70795123294353368</v>
      </c>
      <c r="CM23" s="21">
        <f>EXP(-LN(2)/2)*CM22+(1-EXP(-LN(2)/2))/(LN(2)/2)*CG23*CJ23*VLOOKUP('Données projet'!$B$12,Paramètres!$A$1:$I$89,3,0)*0.475*44/12</f>
        <v>1.063852507376903</v>
      </c>
      <c r="CN23" s="22">
        <f t="shared" si="12"/>
        <v>1.7718037403204367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26.928333333333338</v>
      </c>
      <c r="N24" s="13">
        <f>IF('Données projet'!$A$36&gt;35,N23+M24-V23,IF(A24&lt;'Données projet'!$A$36,$K$205^A24,IF(A24='Données projet'!$A$36,'Données projet'!$B$36,N23+M24-V23)))</f>
        <v>208.37500000000003</v>
      </c>
      <c r="O24" s="13">
        <f>N24*VLOOKUP('Données projet'!$B$9,Paramètres!$A$1:$I$89,3,0)*VLOOKUP('Données projet'!$B$9,Paramètres!$A$1:$I$89,5,0)</f>
        <v>116.48162500000001</v>
      </c>
      <c r="P24" s="13">
        <f t="shared" si="33"/>
        <v>30.852980296833646</v>
      </c>
      <c r="Q24" s="20">
        <f t="shared" si="2"/>
        <v>256.60777089198524</v>
      </c>
      <c r="R24" s="59">
        <f t="shared" si="0"/>
        <v>538.94110422531855</v>
      </c>
      <c r="S24" s="59">
        <f ca="1">AVERAGE(OFFSET($R$3,0,0,'Données projet'!$E$9+1,1))-AVERAGE(OFFSET($H$3,0,0,'Données projet'!$E$9+1,1))</f>
        <v>350.09239406910712</v>
      </c>
      <c r="T24" s="59">
        <f t="shared" si="34"/>
        <v>473.30663081727369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7.1897872021706108</v>
      </c>
      <c r="AA24" s="21">
        <f>EXP(-LN(2)/25)*AA23+(1-EXP(-LN(2)/25))/(LN(2)/25)*Calculateur!V24*Calculateur!X24*VLOOKUP('Données projet'!$B$9,Paramètres!$A$1:$I$89,3,0)*0.475*44/12</f>
        <v>10.350071869479857</v>
      </c>
      <c r="AB24" s="21">
        <f>EXP(-LN(2)/2)*AB23+(1-EXP(-LN(2)/2))/(LN(2)/2)*V24*Y24*VLOOKUP('Données projet'!$B$9,Paramètres!$A$1:$I$89,3,0)*0.475*44/12</f>
        <v>6.3629966624185101</v>
      </c>
      <c r="AC24" s="22">
        <f t="shared" si="3"/>
        <v>23.902855734068979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484.25397035669954</v>
      </c>
      <c r="AN24" s="59">
        <f ca="1">AVERAGE(OFFSET($AM$3,0,0,'Données projet'!$E$10+1,1))-AVERAGE(OFFSET($H$3,0,0,'Données projet'!$E$10+1,1))</f>
        <v>179.4725256147085</v>
      </c>
      <c r="AO24" s="59">
        <f t="shared" si="36"/>
        <v>282.16750121151176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0.15</v>
      </c>
      <c r="AS24" s="16">
        <f>IF(ISNA(VLOOKUP(A24,'Données projet'!$A$61:$I$81,6,0)),0%,VLOOKUP(A24,'Données projet'!$A$61:$I$81,6,0)*VLOOKUP('Données projet'!$B$10,Paramètres!$A$1:$I$89,7,0))</f>
        <v>0.222</v>
      </c>
      <c r="AT24" s="16">
        <f>IF(ISNA(VLOOKUP(A24,'Données projet'!$A$61:$I$81,7,0)),0%,VLOOKUP(A24,'Données projet'!$A$61:$I$81,7,0))</f>
        <v>0.38</v>
      </c>
      <c r="AU24" s="21">
        <f>EXP(-LN(2)/35)*AU23+(1-EXP(-LN(2)/35))/(LN(2)/35)*AQ24*AR24*VLOOKUP('Données projet'!$B$10,Paramètres!$A$1:$I$89,3,0)*0.475*44/12</f>
        <v>5.5684122426211715</v>
      </c>
      <c r="AV24" s="21">
        <f>EXP(-LN(2)/25)*AV23+(1-EXP(-LN(2)/25))/(LN(2)/25)*Calculateur!AQ24*Calculateur!AS24*VLOOKUP('Données projet'!$B$10,Paramètres!$A$1:$I$89,3,0)*0.475*44/12</f>
        <v>8.1277856326430964</v>
      </c>
      <c r="AW24" s="21">
        <f>EXP(-LN(2)/2)*AW23+(1-EXP(-LN(2)/2))/(LN(2)/2)*AQ24*AT24*VLOOKUP('Données projet'!$B$10,Paramètres!$A$1:$I$89,3,0)*0.475*44/12</f>
        <v>8.8787523641276671</v>
      </c>
      <c r="AX24" s="21">
        <f t="shared" si="6"/>
        <v>22.574950239391935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10.515599999999999</v>
      </c>
      <c r="BD24" s="12">
        <f>IF('Données projet'!$A$88&gt;35,BD23+BC24-BL23,IF(A24&lt;'Données projet'!$A$88,$BA$205^A24,IF(A24='Données projet'!$A$88,'Données projet'!$B$88,BD23+BC24-BL23)))</f>
        <v>107.79787897644304</v>
      </c>
      <c r="BE24" s="13">
        <f>BD24*VLOOKUP('Données projet'!$B$11,Paramètres!$A$1:$I$89,3,0)*VLOOKUP('Données projet'!$B$11,Paramètres!$A$1:$I$89,5,0)</f>
        <v>50.449407360975343</v>
      </c>
      <c r="BF24" s="13">
        <f t="shared" si="37"/>
        <v>14.729760563396377</v>
      </c>
      <c r="BG24" s="20">
        <f t="shared" si="7"/>
        <v>113.52038413494741</v>
      </c>
      <c r="BH24" s="59">
        <f t="shared" si="8"/>
        <v>395.85371746828071</v>
      </c>
      <c r="BI24" s="59">
        <f ca="1">AVERAGE(OFFSET($BH$3,0,0,'Données projet'!$E$11+1,1))-AVERAGE(OFFSET($H$3,0,0,'Données projet'!$E$11+1,1))</f>
        <v>227.19831549982962</v>
      </c>
      <c r="BJ24" s="59">
        <f t="shared" si="38"/>
        <v>309.84543033784564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6.1538461538461515</v>
      </c>
      <c r="BY24" s="12">
        <f>IF('Données projet'!$A$114&gt;35,BY23+BX24-CG23,IF(A24&lt;'Données projet'!$A$114,$BV$205^A24,IF(A24='Données projet'!$A$114,'Données projet'!$B$114,BY23+BX24-CG23)))</f>
        <v>63.84615384615384</v>
      </c>
      <c r="BZ24" s="13">
        <f>BY24*VLOOKUP('Données projet'!$B$12,Paramètres!$A$1:$I$89,3,0)*VLOOKUP('Données projet'!$B$12,Paramètres!$A$1:$I$89,5,0)</f>
        <v>41.831999999999994</v>
      </c>
      <c r="CA24" s="13">
        <f t="shared" si="39"/>
        <v>12.482945927997903</v>
      </c>
      <c r="CB24" s="20">
        <f t="shared" si="10"/>
        <v>94.598530824596324</v>
      </c>
      <c r="CC24" s="59">
        <f t="shared" si="11"/>
        <v>376.93186415792962</v>
      </c>
      <c r="CD24" s="59">
        <f ca="1">AVERAGE(OFFSET($CC$3,0,0,'Données projet'!$E$12+1,1))-AVERAGE(OFFSET($H$3,0,0,'Données projet'!$E$12+1,1))</f>
        <v>91.274378490051788</v>
      </c>
      <c r="CE24" s="59">
        <f t="shared" si="40"/>
        <v>126.60105012427914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0.68859226924915551</v>
      </c>
      <c r="CM24" s="21">
        <f>EXP(-LN(2)/2)*CM23+(1-EXP(-LN(2)/2))/(LN(2)/2)*CG24*CJ24*VLOOKUP('Données projet'!$B$12,Paramètres!$A$1:$I$89,3,0)*0.475*44/12</f>
        <v>0.7522573221485197</v>
      </c>
      <c r="CN24" s="22">
        <f t="shared" si="12"/>
        <v>1.4408495913976753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26.928333333333338</v>
      </c>
      <c r="N25" s="13">
        <f>IF('Données projet'!$A$36&gt;35,N24+M25-V24,IF(A25&lt;'Données projet'!$A$36,$K$205^A25,IF(A25='Données projet'!$A$36,'Données projet'!$B$36,N24+M25-V24)))</f>
        <v>235.30333333333337</v>
      </c>
      <c r="O25" s="13">
        <f>N25*VLOOKUP('Données projet'!$B$9,Paramètres!$A$1:$I$89,3,0)*VLOOKUP('Données projet'!$B$9,Paramètres!$A$1:$I$89,5,0)</f>
        <v>131.53456333333335</v>
      </c>
      <c r="P25" s="13">
        <f t="shared" si="33"/>
        <v>34.350709316889393</v>
      </c>
      <c r="Q25" s="20">
        <f t="shared" si="2"/>
        <v>288.91684986580464</v>
      </c>
      <c r="R25" s="59">
        <f t="shared" si="0"/>
        <v>572.47240542136024</v>
      </c>
      <c r="S25" s="59">
        <f ca="1">AVERAGE(OFFSET($R$3,0,0,'Données projet'!$E$9+1,1))-AVERAGE(OFFSET($H$3,0,0,'Données projet'!$E$9+1,1))</f>
        <v>350.09239406910712</v>
      </c>
      <c r="T25" s="59">
        <f t="shared" si="34"/>
        <v>473.30663081727369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7.0487998604732223</v>
      </c>
      <c r="AA25" s="21">
        <f>EXP(-LN(2)/25)*AA24+(1-EXP(-LN(2)/25))/(LN(2)/25)*Calculateur!V25*Calculateur!X25*VLOOKUP('Données projet'!$B$9,Paramètres!$A$1:$I$89,3,0)*0.475*44/12</f>
        <v>10.067048609922306</v>
      </c>
      <c r="AB25" s="21">
        <f>EXP(-LN(2)/2)*AB24+(1-EXP(-LN(2)/2))/(LN(2)/2)*V25*Y25*VLOOKUP('Données projet'!$B$9,Paramètres!$A$1:$I$89,3,0)*0.475*44/12</f>
        <v>4.4993180886634976</v>
      </c>
      <c r="AC25" s="22">
        <f t="shared" si="3"/>
        <v>21.615166559059023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471.98010009918994</v>
      </c>
      <c r="AN25" s="59">
        <f ca="1">AVERAGE(OFFSET($AM$3,0,0,'Données projet'!$E$10+1,1))-AVERAGE(OFFSET($H$3,0,0,'Données projet'!$E$10+1,1))</f>
        <v>179.4725256147085</v>
      </c>
      <c r="AO25" s="59">
        <f t="shared" si="36"/>
        <v>282.16750121151176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5.4592190749394724</v>
      </c>
      <c r="AV25" s="21">
        <f>EXP(-LN(2)/25)*AV24+(1-EXP(-LN(2)/25))/(LN(2)/25)*Calculateur!AQ25*Calculateur!AS25*VLOOKUP('Données projet'!$B$10,Paramètres!$A$1:$I$89,3,0)*0.475*44/12</f>
        <v>7.905530907096801</v>
      </c>
      <c r="AW25" s="21">
        <f>EXP(-LN(2)/2)*AW24+(1-EXP(-LN(2)/2))/(LN(2)/2)*AQ25*AT25*VLOOKUP('Données projet'!$B$10,Paramètres!$A$1:$I$89,3,0)*0.475*44/12</f>
        <v>6.2782260051507643</v>
      </c>
      <c r="AX25" s="21">
        <f t="shared" si="6"/>
        <v>19.642975987187036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10.515599999999999</v>
      </c>
      <c r="BD25" s="12">
        <f>IF('Données projet'!$A$88&gt;35,BD24+BC25-BL24,IF(A25&lt;'Données projet'!$A$88,$BA$205^A25,IF(A25='Données projet'!$A$88,'Données projet'!$B$88,BD24+BC25-BL24)))</f>
        <v>134.71041635922509</v>
      </c>
      <c r="BE25" s="13">
        <f>BD25*VLOOKUP('Données projet'!$B$11,Paramètres!$A$1:$I$89,3,0)*VLOOKUP('Données projet'!$B$11,Paramètres!$A$1:$I$89,5,0)</f>
        <v>63.044474856117347</v>
      </c>
      <c r="BF25" s="13">
        <f t="shared" si="37"/>
        <v>17.935776435273556</v>
      </c>
      <c r="BG25" s="20">
        <f t="shared" si="7"/>
        <v>141.04060433250581</v>
      </c>
      <c r="BH25" s="59">
        <f t="shared" si="8"/>
        <v>424.59615988806138</v>
      </c>
      <c r="BI25" s="59">
        <f ca="1">AVERAGE(OFFSET($BH$3,0,0,'Données projet'!$E$11+1,1))-AVERAGE(OFFSET($H$3,0,0,'Données projet'!$E$11+1,1))</f>
        <v>227.19831549982962</v>
      </c>
      <c r="BJ25" s="59">
        <f t="shared" si="38"/>
        <v>309.84543033784564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6.1538461538461515</v>
      </c>
      <c r="BY25" s="12">
        <f>IF('Données projet'!$A$114&gt;35,BY24+BX25-CG24,IF(A25&lt;'Données projet'!$A$114,$BV$205^A25,IF(A25='Données projet'!$A$114,'Données projet'!$B$114,BY24+BX25-CG24)))</f>
        <v>69.999999999999986</v>
      </c>
      <c r="BZ25" s="13">
        <f>BY25*VLOOKUP('Données projet'!$B$12,Paramètres!$A$1:$I$89,3,0)*VLOOKUP('Données projet'!$B$12,Paramètres!$A$1:$I$89,5,0)</f>
        <v>45.86399999999999</v>
      </c>
      <c r="CA25" s="13">
        <f t="shared" si="39"/>
        <v>13.540311673175395</v>
      </c>
      <c r="CB25" s="20">
        <f t="shared" si="10"/>
        <v>103.46250949744713</v>
      </c>
      <c r="CC25" s="59">
        <f t="shared" si="11"/>
        <v>387.01806505300266</v>
      </c>
      <c r="CD25" s="59">
        <f ca="1">AVERAGE(OFFSET($CC$3,0,0,'Données projet'!$E$12+1,1))-AVERAGE(OFFSET($H$3,0,0,'Données projet'!$E$12+1,1))</f>
        <v>91.274378490051788</v>
      </c>
      <c r="CE25" s="59">
        <f t="shared" si="40"/>
        <v>126.60105012427914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0.6697626774350437</v>
      </c>
      <c r="CM25" s="21">
        <f>EXP(-LN(2)/2)*CM24+(1-EXP(-LN(2)/2))/(LN(2)/2)*CG25*CJ25*VLOOKUP('Données projet'!$B$12,Paramètres!$A$1:$I$89,3,0)*0.475*44/12</f>
        <v>0.53192625368845159</v>
      </c>
      <c r="CN25" s="22">
        <f t="shared" si="12"/>
        <v>1.2016889311234953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26.928333333333338</v>
      </c>
      <c r="N26" s="13">
        <f>IF('Données projet'!$A$36&gt;35,N25+M26-V25,IF(A26&lt;'Données projet'!$A$36,$K$205^A26,IF(A26='Données projet'!$A$36,'Données projet'!$B$36,N25+M26-V25)))</f>
        <v>262.23166666666668</v>
      </c>
      <c r="O26" s="13">
        <f>N26*VLOOKUP('Données projet'!$B$9,Paramètres!$A$1:$I$89,3,0)*VLOOKUP('Données projet'!$B$9,Paramètres!$A$1:$I$89,5,0)</f>
        <v>146.58750166666667</v>
      </c>
      <c r="P26" s="13">
        <f t="shared" si="33"/>
        <v>37.802047526651918</v>
      </c>
      <c r="Q26" s="20">
        <f t="shared" si="2"/>
        <v>321.14513151169655</v>
      </c>
      <c r="R26" s="59">
        <f t="shared" si="0"/>
        <v>605.92290928947432</v>
      </c>
      <c r="S26" s="59">
        <f ca="1">AVERAGE(OFFSET($R$3,0,0,'Données projet'!$E$9+1,1))-AVERAGE(OFFSET($H$3,0,0,'Données projet'!$E$9+1,1))</f>
        <v>350.09239406910712</v>
      </c>
      <c r="T26" s="59">
        <f t="shared" si="34"/>
        <v>473.30663081727369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6.9105771945527321</v>
      </c>
      <c r="AA26" s="21">
        <f>EXP(-LN(2)/25)*AA25+(1-EXP(-LN(2)/25))/(LN(2)/25)*Calculateur!V26*Calculateur!X26*VLOOKUP('Données projet'!$B$9,Paramètres!$A$1:$I$89,3,0)*0.475*44/12</f>
        <v>9.7917646362809023</v>
      </c>
      <c r="AB26" s="21">
        <f>EXP(-LN(2)/2)*AB25+(1-EXP(-LN(2)/2))/(LN(2)/2)*V26*Y26*VLOOKUP('Données projet'!$B$9,Paramètres!$A$1:$I$89,3,0)*0.475*44/12</f>
        <v>3.1814983312092551</v>
      </c>
      <c r="AC26" s="22">
        <f t="shared" si="3"/>
        <v>19.88384016204289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494.78594457907184</v>
      </c>
      <c r="AN26" s="59">
        <f ca="1">AVERAGE(OFFSET($AM$3,0,0,'Données projet'!$E$10+1,1))-AVERAGE(OFFSET($H$3,0,0,'Données projet'!$E$10+1,1))</f>
        <v>179.4725256147085</v>
      </c>
      <c r="AO26" s="59">
        <f t="shared" si="36"/>
        <v>282.16750121151176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5.352167118674755</v>
      </c>
      <c r="AV26" s="21">
        <f>EXP(-LN(2)/25)*AV25+(1-EXP(-LN(2)/25))/(LN(2)/25)*Calculateur!AQ26*Calculateur!AS26*VLOOKUP('Données projet'!$B$10,Paramètres!$A$1:$I$89,3,0)*0.475*44/12</f>
        <v>7.6893537487084371</v>
      </c>
      <c r="AW26" s="21">
        <f>EXP(-LN(2)/2)*AW25+(1-EXP(-LN(2)/2))/(LN(2)/2)*AQ26*AT26*VLOOKUP('Données projet'!$B$10,Paramètres!$A$1:$I$89,3,0)*0.475*44/12</f>
        <v>4.4393761820638344</v>
      </c>
      <c r="AX26" s="21">
        <f t="shared" si="6"/>
        <v>17.480897049447027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10.515599999999999</v>
      </c>
      <c r="BD26" s="12">
        <f>IF('Données projet'!$A$88&gt;35,BD25+BC26-BL25,IF(A26&lt;'Données projet'!$A$88,$BA$205^A26,IF(A26='Données projet'!$A$88,'Données projet'!$B$88,BD25+BC26-BL25)))</f>
        <v>168.34186765067426</v>
      </c>
      <c r="BE26" s="13">
        <f>BD26*VLOOKUP('Données projet'!$B$11,Paramètres!$A$1:$I$89,3,0)*VLOOKUP('Données projet'!$B$11,Paramètres!$A$1:$I$89,5,0)</f>
        <v>78.783994060515553</v>
      </c>
      <c r="BF26" s="13">
        <f t="shared" si="37"/>
        <v>21.839599832703477</v>
      </c>
      <c r="BG26" s="20">
        <f t="shared" si="7"/>
        <v>175.25275936402315</v>
      </c>
      <c r="BH26" s="59">
        <f t="shared" si="8"/>
        <v>460.03053714180089</v>
      </c>
      <c r="BI26" s="59">
        <f ca="1">AVERAGE(OFFSET($BH$3,0,0,'Données projet'!$E$11+1,1))-AVERAGE(OFFSET($H$3,0,0,'Données projet'!$E$11+1,1))</f>
        <v>227.19831549982962</v>
      </c>
      <c r="BJ26" s="59">
        <f t="shared" si="38"/>
        <v>309.84543033784564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6.1538461538461515</v>
      </c>
      <c r="BY26" s="12">
        <f>IF('Données projet'!$A$114&gt;35,BY25+BX26-CG25,IF(A26&lt;'Données projet'!$A$114,$BV$205^A26,IF(A26='Données projet'!$A$114,'Données projet'!$B$114,BY25+BX26-CG25)))</f>
        <v>76.153846153846132</v>
      </c>
      <c r="BZ26" s="13">
        <f>BY26*VLOOKUP('Données projet'!$B$12,Paramètres!$A$1:$I$89,3,0)*VLOOKUP('Données projet'!$B$12,Paramètres!$A$1:$I$89,5,0)</f>
        <v>49.895999999999987</v>
      </c>
      <c r="CA26" s="13">
        <f t="shared" si="39"/>
        <v>14.586897956037035</v>
      </c>
      <c r="CB26" s="20">
        <f t="shared" si="10"/>
        <v>112.3077139400978</v>
      </c>
      <c r="CC26" s="59">
        <f t="shared" si="11"/>
        <v>397.08549171787558</v>
      </c>
      <c r="CD26" s="59">
        <f ca="1">AVERAGE(OFFSET($CC$3,0,0,'Données projet'!$E$12+1,1))-AVERAGE(OFFSET($H$3,0,0,'Données projet'!$E$12+1,1))</f>
        <v>91.274378490051788</v>
      </c>
      <c r="CE26" s="59">
        <f t="shared" si="40"/>
        <v>126.60105012427914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0.65144798179929397</v>
      </c>
      <c r="CM26" s="21">
        <f>EXP(-LN(2)/2)*CM25+(1-EXP(-LN(2)/2))/(LN(2)/2)*CG26*CJ26*VLOOKUP('Données projet'!$B$12,Paramètres!$A$1:$I$89,3,0)*0.475*44/12</f>
        <v>0.37612866107425991</v>
      </c>
      <c r="CN26" s="22">
        <f t="shared" si="12"/>
        <v>1.0275766428735538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289.16000000000003</v>
      </c>
      <c r="L27" s="12">
        <f>VLOOKUP(A27,'Données projet'!$A$35:$I$55,9,0)</f>
        <v>26.928333333333338</v>
      </c>
      <c r="M27" s="12">
        <f t="array" ref="M27">INDEX(L:L,MIN(IF(ISNUMBER(L27:L223),ROW(L27:L223),"")))</f>
        <v>26.928333333333338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639.30185772822506</v>
      </c>
      <c r="S27" s="59">
        <f ca="1">AVERAGE(OFFSET($R$3,0,0,'Données projet'!$E$9+1,1))-AVERAGE(OFFSET($H$3,0,0,'Données projet'!$E$9+1,1))</f>
        <v>350.09239406910712</v>
      </c>
      <c r="T27" s="59">
        <f t="shared" si="34"/>
        <v>473.30663081727369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51.400000000000034</v>
      </c>
      <c r="W27" s="16">
        <f>IF(ISNA(VLOOKUP(A27,'Données projet'!$A$35:$I$55,5,0)),0%,VLOOKUP(A27,'Données projet'!$A$35:$I$55,5,0)*VLOOKUP('Données projet'!$B$9,Paramètres!$A$1:$I$89,7,0))</f>
        <v>0.13750000000000001</v>
      </c>
      <c r="X27" s="16">
        <f>IF(ISNA(VLOOKUP(A27,'Données projet'!$A$35:$I$55,6,0)),0%,VLOOKUP(A27,'Données projet'!$A$35:$I$55,6,0)*VLOOKUP('Données projet'!$B$9,Paramètres!$A$1:$I$89,7,0))</f>
        <v>0.20350000000000001</v>
      </c>
      <c r="Y27" s="16">
        <f>IF(ISNA(VLOOKUP(A27,'Données projet'!$A$35:$I$55,7,0)),0%,VLOOKUP(A27,'Données projet'!$A$35:$I$55,7,0))</f>
        <v>0.38</v>
      </c>
      <c r="Z27" s="21">
        <f>EXP(-LN(2)/35)*Z26+(1-EXP(-LN(2)/35))/(LN(2)/35)*V27*W27*VLOOKUP('Données projet'!$B$9,Paramètres!$A$1:$I$89,3,0)*0.475*44/12</f>
        <v>12.01596629825324</v>
      </c>
      <c r="AA27" s="21">
        <f>EXP(-LN(2)/25)*AA26+(1-EXP(-LN(2)/25))/(LN(2)/25)*Calculateur!V27*Calculateur!X27*VLOOKUP('Données projet'!$B$9,Paramètres!$A$1:$I$89,3,0)*0.475*44/12</f>
        <v>17.250001822827645</v>
      </c>
      <c r="AB27" s="21">
        <f>EXP(-LN(2)/2)*AB26+(1-EXP(-LN(2)/2))/(LN(2)/2)*V27*Y27*VLOOKUP('Données projet'!$B$9,Paramètres!$A$1:$I$89,3,0)*0.475*44/12</f>
        <v>14.611810574857151</v>
      </c>
      <c r="AC27" s="22">
        <f t="shared" si="3"/>
        <v>43.877778695938034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517.54060536306486</v>
      </c>
      <c r="AN27" s="59">
        <f ca="1">AVERAGE(OFFSET($AM$3,0,0,'Données projet'!$E$10+1,1))-AVERAGE(OFFSET($H$3,0,0,'Données projet'!$E$10+1,1))</f>
        <v>179.4725256147085</v>
      </c>
      <c r="AO27" s="59">
        <f t="shared" si="36"/>
        <v>282.16750121151176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0.15</v>
      </c>
      <c r="AS27" s="16">
        <f>IF(ISNA(VLOOKUP(A27,'Données projet'!$A$61:$I$81,6,0)),0%,VLOOKUP(A27,'Données projet'!$A$61:$I$81,6,0)*VLOOKUP('Données projet'!$B$10,Paramètres!$A$1:$I$89,7,0))</f>
        <v>0.222</v>
      </c>
      <c r="AT27" s="16">
        <f>IF(ISNA(VLOOKUP(A27,'Données projet'!$A$61:$I$81,7,0)),0%,VLOOKUP(A27,'Données projet'!$A$61:$I$81,7,0))</f>
        <v>0.38</v>
      </c>
      <c r="AU27" s="21">
        <f>EXP(-LN(2)/35)*AU26+(1-EXP(-LN(2)/35))/(LN(2)/35)*AQ27*AR27*VLOOKUP('Données projet'!$B$10,Paramètres!$A$1:$I$89,3,0)*0.475*44/12</f>
        <v>8.8480409438222303</v>
      </c>
      <c r="AV27" s="21">
        <f>EXP(-LN(2)/25)*AV26+(1-EXP(-LN(2)/25))/(LN(2)/25)*Calculateur!AQ27*Calculateur!AS27*VLOOKUP('Données projet'!$B$10,Paramètres!$A$1:$I$89,3,0)*0.475*44/12</f>
        <v>12.787328088947731</v>
      </c>
      <c r="AW27" s="21">
        <f>EXP(-LN(2)/2)*AW26+(1-EXP(-LN(2)/2))/(LN(2)/2)*AQ27*AT27*VLOOKUP('Données projet'!$B$10,Paramètres!$A$1:$I$89,3,0)*0.475*44/12</f>
        <v>10.924885751870173</v>
      </c>
      <c r="AX27" s="21">
        <f t="shared" si="6"/>
        <v>32.560254784640136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10.515599999999999</v>
      </c>
      <c r="BD27" s="12">
        <f>IF('Données projet'!$A$88&gt;35,BD26+BC27-BL26,IF(A27&lt;'Données projet'!$A$88,$BA$205^A27,IF(A27='Données projet'!$A$88,'Données projet'!$B$88,BD26+BC27-BL26)))</f>
        <v>210.36965937769116</v>
      </c>
      <c r="BE27" s="13">
        <f>BD27*VLOOKUP('Données projet'!$B$11,Paramètres!$A$1:$I$89,3,0)*VLOOKUP('Données projet'!$B$11,Paramètres!$A$1:$I$89,5,0)</f>
        <v>98.453000588759465</v>
      </c>
      <c r="BF27" s="13">
        <f t="shared" si="37"/>
        <v>26.593112518652308</v>
      </c>
      <c r="BG27" s="20">
        <f t="shared" si="7"/>
        <v>217.78864699540884</v>
      </c>
      <c r="BH27" s="59">
        <f t="shared" si="8"/>
        <v>503.78864699540884</v>
      </c>
      <c r="BI27" s="59">
        <f ca="1">AVERAGE(OFFSET($BH$3,0,0,'Données projet'!$E$11+1,1))-AVERAGE(OFFSET($H$3,0,0,'Données projet'!$E$11+1,1))</f>
        <v>227.19831549982962</v>
      </c>
      <c r="BJ27" s="59">
        <f t="shared" si="38"/>
        <v>309.84543033784564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6.1538461538461515</v>
      </c>
      <c r="BY27" s="12">
        <f>IF('Données projet'!$A$114&gt;35,BY26+BX27-CG26,IF(A27&lt;'Données projet'!$A$114,$BV$205^A27,IF(A27='Données projet'!$A$114,'Données projet'!$B$114,BY26+BX27-CG26)))</f>
        <v>82.307692307692278</v>
      </c>
      <c r="BZ27" s="13">
        <f>BY27*VLOOKUP('Données projet'!$B$12,Paramètres!$A$1:$I$89,3,0)*VLOOKUP('Données projet'!$B$12,Paramètres!$A$1:$I$89,5,0)</f>
        <v>53.927999999999983</v>
      </c>
      <c r="CA27" s="13">
        <f t="shared" si="39"/>
        <v>15.623674875995565</v>
      </c>
      <c r="CB27" s="20">
        <f t="shared" si="10"/>
        <v>121.1358337423589</v>
      </c>
      <c r="CC27" s="59">
        <f t="shared" si="11"/>
        <v>407.1358337423589</v>
      </c>
      <c r="CD27" s="59">
        <f ca="1">AVERAGE(OFFSET($CC$3,0,0,'Données projet'!$E$12+1,1))-AVERAGE(OFFSET($H$3,0,0,'Données projet'!$E$12+1,1))</f>
        <v>91.274378490051788</v>
      </c>
      <c r="CE27" s="59">
        <f t="shared" si="40"/>
        <v>126.60105012427914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0.63363410247883178</v>
      </c>
      <c r="CM27" s="21">
        <f>EXP(-LN(2)/2)*CM26+(1-EXP(-LN(2)/2))/(LN(2)/2)*CG27*CJ27*VLOOKUP('Données projet'!$B$12,Paramètres!$A$1:$I$89,3,0)*0.475*44/12</f>
        <v>0.26596312684422579</v>
      </c>
      <c r="CN27" s="22">
        <f t="shared" si="12"/>
        <v>0.89959722932305763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28.821666666666669</v>
      </c>
      <c r="N28" s="13">
        <f>IF('Données projet'!$A$36&gt;35,N27+M28-V27,IF(A28&lt;'Données projet'!$A$36,$K$205^A28,IF(A28='Données projet'!$A$36,'Données projet'!$B$36,N27+M28-V27)))</f>
        <v>266.58166666666665</v>
      </c>
      <c r="O28" s="13">
        <f>N28*VLOOKUP('Données projet'!$B$9,Paramètres!$A$1:$I$89,3,0)*VLOOKUP('Données projet'!$B$9,Paramètres!$A$1:$I$89,5,0)</f>
        <v>149.01915166666666</v>
      </c>
      <c r="P28" s="13">
        <f t="shared" si="33"/>
        <v>38.355599280963794</v>
      </c>
      <c r="Q28" s="20">
        <f t="shared" si="2"/>
        <v>326.34435790045637</v>
      </c>
      <c r="R28" s="59">
        <f t="shared" si="0"/>
        <v>613.5665801226786</v>
      </c>
      <c r="S28" s="59">
        <f ca="1">AVERAGE(OFFSET($R$3,0,0,'Données projet'!$E$9+1,1))-AVERAGE(OFFSET($H$3,0,0,'Données projet'!$E$9+1,1))</f>
        <v>350.09239406910712</v>
      </c>
      <c r="T28" s="59">
        <f t="shared" si="34"/>
        <v>473.30663081727369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11.780340528160256</v>
      </c>
      <c r="AA28" s="21">
        <f>EXP(-LN(2)/25)*AA27+(1-EXP(-LN(2)/25))/(LN(2)/25)*Calculateur!V28*Calculateur!X28*VLOOKUP('Données projet'!$B$9,Paramètres!$A$1:$I$89,3,0)*0.475*44/12</f>
        <v>16.778299615844254</v>
      </c>
      <c r="AB28" s="21">
        <f>EXP(-LN(2)/2)*AB27+(1-EXP(-LN(2)/2))/(LN(2)/2)*V28*Y28*VLOOKUP('Données projet'!$B$9,Paramètres!$A$1:$I$89,3,0)*0.475*44/12</f>
        <v>10.332110342894797</v>
      </c>
      <c r="AC28" s="22">
        <f t="shared" si="3"/>
        <v>38.890750486899307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498.80212015119753</v>
      </c>
      <c r="AN28" s="59">
        <f ca="1">AVERAGE(OFFSET($AM$3,0,0,'Données projet'!$E$10+1,1))-AVERAGE(OFFSET($H$3,0,0,'Données projet'!$E$10+1,1))</f>
        <v>179.4725256147085</v>
      </c>
      <c r="AO28" s="59">
        <f t="shared" si="36"/>
        <v>282.16750121151176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8.6745362576859648</v>
      </c>
      <c r="AV28" s="21">
        <f>EXP(-LN(2)/25)*AV27+(1-EXP(-LN(2)/25))/(LN(2)/25)*Calculateur!AQ28*Calculateur!AS28*VLOOKUP('Données projet'!$B$10,Paramètres!$A$1:$I$89,3,0)*0.475*44/12</f>
        <v>12.437657929899098</v>
      </c>
      <c r="AW28" s="21">
        <f>EXP(-LN(2)/2)*AW27+(1-EXP(-LN(2)/2))/(LN(2)/2)*AQ28*AT28*VLOOKUP('Données projet'!$B$10,Paramètres!$A$1:$I$89,3,0)*0.475*44/12</f>
        <v>7.7250607988356936</v>
      </c>
      <c r="AX28" s="21">
        <f t="shared" si="6"/>
        <v>28.837254986420753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262.89</v>
      </c>
      <c r="BB28" s="12">
        <f>VLOOKUP(A28,'Données projet'!$A$87:$I$107,9,0)</f>
        <v>10.515599999999999</v>
      </c>
      <c r="BC28" s="12">
        <f t="array" ref="BC28">INDEX(BB:BB,MIN(IF(ISNUMBER(BB28:BB224),ROW(BB28:BB224),"")))</f>
        <v>10.515599999999999</v>
      </c>
      <c r="BD28" s="12">
        <f>IF('Données projet'!$A$88&gt;35,BD27+BC28-BL27,IF(A28&lt;'Données projet'!$A$88,$BA$205^A28,IF(A28='Données projet'!$A$88,'Données projet'!$B$88,BD27+BC28-BL27)))</f>
        <v>262.89</v>
      </c>
      <c r="BE28" s="13">
        <f>BD28*VLOOKUP('Données projet'!$B$11,Paramètres!$A$1:$I$89,3,0)*VLOOKUP('Données projet'!$B$11,Paramètres!$A$1:$I$89,5,0)</f>
        <v>123.03251999999999</v>
      </c>
      <c r="BF28" s="13">
        <f t="shared" si="37"/>
        <v>32.381254182630265</v>
      </c>
      <c r="BG28" s="20">
        <f t="shared" si="7"/>
        <v>270.67899003474764</v>
      </c>
      <c r="BH28" s="59">
        <f t="shared" si="8"/>
        <v>557.90121225696987</v>
      </c>
      <c r="BI28" s="59">
        <f ca="1">AVERAGE(OFFSET($BH$3,0,0,'Données projet'!$E$11+1,1))-AVERAGE(OFFSET($H$3,0,0,'Données projet'!$E$11+1,1))</f>
        <v>227.19831549982962</v>
      </c>
      <c r="BJ28" s="59">
        <f t="shared" si="38"/>
        <v>309.84543033784564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68.009999999999991</v>
      </c>
      <c r="BM28" s="16">
        <f>IF(ISNA(VLOOKUP(A28,'Données projet'!$A$87:$I$107,5,0)),0%,VLOOKUP(A28,'Données projet'!$A$87:$I$107,5,0)*VLOOKUP('Données projet'!$B$11,Paramètres!$A$1:$I$89,7,0))</f>
        <v>0.13750000000000001</v>
      </c>
      <c r="BN28" s="16">
        <f>IF(ISNA(VLOOKUP(A28,'Données projet'!$A$87:$I$107,6,0)),0%,VLOOKUP(A28,'Données projet'!$A$87:$I$107,6,0)*VLOOKUP('Données projet'!$B$11,Paramètres!$A$1:$I$89,7,0))</f>
        <v>0.20350000000000001</v>
      </c>
      <c r="BO28" s="16">
        <f>IF(ISNA(VLOOKUP(A28,'Données projet'!$A$87:$I$107,7,0)),0%,VLOOKUP(A28,'Données projet'!$A$87:$I$107,7,0))</f>
        <v>0.38</v>
      </c>
      <c r="BP28" s="21">
        <f>EXP(-LN(2)/35)*BP27+(1-EXP(-LN(2)/35))/(LN(2)/35)*BL28*BM28*VLOOKUP('Données projet'!$B$11,Paramètres!$A$1:$I$89,3,0)*0.475*44/12</f>
        <v>5.8056343883394144</v>
      </c>
      <c r="BQ28" s="21">
        <f>EXP(-LN(2)/25)*BQ27+(1-EXP(-LN(2)/25))/(LN(2)/25)*Calculateur!BL28*Calculateur!BN28*VLOOKUP('Données projet'!$B$11,Paramètres!$A$1:$I$89,3,0)*0.475*44/12</f>
        <v>8.5585075825759418</v>
      </c>
      <c r="BR28" s="21">
        <f>EXP(-LN(2)/2)*BR27+(1-EXP(-LN(2)/2))/(LN(2)/2)*BL28*BO28*VLOOKUP('Données projet'!$B$11,Paramètres!$A$1:$I$89,3,0)*0.475*44/12</f>
        <v>13.694234603781174</v>
      </c>
      <c r="BS28" s="22">
        <f t="shared" si="9"/>
        <v>28.058376574696531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88.461538461538453</v>
      </c>
      <c r="BW28" s="12">
        <f>VLOOKUP(A28,'Données projet'!$A$113:$I$133,9,0)</f>
        <v>6.1538461538461515</v>
      </c>
      <c r="BX28" s="12">
        <f t="array" ref="BX28">INDEX(BW:BW,MIN(IF(ISNUMBER(BW28:BW224),ROW(BW28:BW224),"")))</f>
        <v>6.1538461538461515</v>
      </c>
      <c r="BY28" s="12">
        <f>IF('Données projet'!$A$114&gt;35,BY27+BX28-CG27,IF(A28&lt;'Données projet'!$A$114,$BV$205^A28,IF(A28='Données projet'!$A$114,'Données projet'!$B$114,BY27+BX28-CG27)))</f>
        <v>88.461538461538424</v>
      </c>
      <c r="BZ28" s="13">
        <f>BY28*VLOOKUP('Données projet'!$B$12,Paramètres!$A$1:$I$89,3,0)*VLOOKUP('Données projet'!$B$12,Paramètres!$A$1:$I$89,5,0)</f>
        <v>57.95999999999998</v>
      </c>
      <c r="CA28" s="13">
        <f t="shared" si="39"/>
        <v>16.651459239215004</v>
      </c>
      <c r="CB28" s="20">
        <f t="shared" si="10"/>
        <v>129.94829150829943</v>
      </c>
      <c r="CC28" s="59">
        <f t="shared" si="11"/>
        <v>417.17051373052163</v>
      </c>
      <c r="CD28" s="59">
        <f ca="1">AVERAGE(OFFSET($CC$3,0,0,'Données projet'!$E$12+1,1))-AVERAGE(OFFSET($H$3,0,0,'Données projet'!$E$12+1,1))</f>
        <v>91.274378490051788</v>
      </c>
      <c r="CE28" s="59">
        <f t="shared" si="40"/>
        <v>126.60105012427914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13.461538461538462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1.6603321122004475</v>
      </c>
      <c r="CM28" s="21">
        <f>EXP(-LN(2)/2)*CM27+(1-EXP(-LN(2)/2))/(LN(2)/2)*CG28*CJ28*VLOOKUP('Données projet'!$B$12,Paramètres!$A$1:$I$89,3,0)*0.475*44/12</f>
        <v>2.2685411772420108</v>
      </c>
      <c r="CN28" s="22">
        <f t="shared" si="12"/>
        <v>3.9288732894424583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28.821666666666669</v>
      </c>
      <c r="N29" s="13">
        <f>IF('Données projet'!$A$36&gt;35,N28+M29-V28,IF(A29&lt;'Données projet'!$A$36,$K$205^A29,IF(A29='Données projet'!$A$36,'Données projet'!$B$36,N28+M29-V28)))</f>
        <v>295.40333333333331</v>
      </c>
      <c r="O29" s="13">
        <f>N29*VLOOKUP('Données projet'!$B$9,Paramètres!$A$1:$I$89,3,0)*VLOOKUP('Données projet'!$B$9,Paramètres!$A$1:$I$89,5,0)</f>
        <v>165.13046333333332</v>
      </c>
      <c r="P29" s="13">
        <f t="shared" si="33"/>
        <v>41.997571517265513</v>
      </c>
      <c r="Q29" s="20">
        <f t="shared" si="2"/>
        <v>360.74799403145965</v>
      </c>
      <c r="R29" s="59">
        <f t="shared" si="0"/>
        <v>649.19243847590405</v>
      </c>
      <c r="S29" s="59">
        <f ca="1">AVERAGE(OFFSET($R$3,0,0,'Données projet'!$E$9+1,1))-AVERAGE(OFFSET($H$3,0,0,'Données projet'!$E$9+1,1))</f>
        <v>350.09239406910712</v>
      </c>
      <c r="T29" s="59">
        <f t="shared" si="34"/>
        <v>473.30663081727369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11.549335235701266</v>
      </c>
      <c r="AA29" s="21">
        <f>EXP(-LN(2)/25)*AA28+(1-EXP(-LN(2)/25))/(LN(2)/25)*Calculateur!V29*Calculateur!X29*VLOOKUP('Données projet'!$B$9,Paramètres!$A$1:$I$89,3,0)*0.475*44/12</f>
        <v>16.319496130516562</v>
      </c>
      <c r="AB29" s="21">
        <f>EXP(-LN(2)/2)*AB28+(1-EXP(-LN(2)/2))/(LN(2)/2)*V29*Y29*VLOOKUP('Données projet'!$B$9,Paramètres!$A$1:$I$89,3,0)*0.475*44/12</f>
        <v>7.3059052874285761</v>
      </c>
      <c r="AC29" s="22">
        <f t="shared" si="3"/>
        <v>35.174736653646406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519.0888122046473</v>
      </c>
      <c r="AN29" s="59">
        <f ca="1">AVERAGE(OFFSET($AM$3,0,0,'Données projet'!$E$10+1,1))-AVERAGE(OFFSET($H$3,0,0,'Données projet'!$E$10+1,1))</f>
        <v>179.4725256147085</v>
      </c>
      <c r="AO29" s="59">
        <f t="shared" si="36"/>
        <v>282.16750121151176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8.5044338926174223</v>
      </c>
      <c r="AV29" s="21">
        <f>EXP(-LN(2)/25)*AV28+(1-EXP(-LN(2)/25))/(LN(2)/25)*Calculateur!AQ29*Calculateur!AS29*VLOOKUP('Données projet'!$B$10,Paramètres!$A$1:$I$89,3,0)*0.475*44/12</f>
        <v>12.097549519738003</v>
      </c>
      <c r="AW29" s="21">
        <f>EXP(-LN(2)/2)*AW28+(1-EXP(-LN(2)/2))/(LN(2)/2)*AQ29*AT29*VLOOKUP('Données projet'!$B$10,Paramètres!$A$1:$I$89,3,0)*0.475*44/12</f>
        <v>5.4624428759350874</v>
      </c>
      <c r="AX29" s="21">
        <f t="shared" si="6"/>
        <v>26.064426288290512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26.288</v>
      </c>
      <c r="BD29" s="12">
        <f>IF('Données projet'!$A$88&gt;35,BD28+BC29-BL28,IF(A29&lt;'Données projet'!$A$88,$BA$205^A29,IF(A29='Données projet'!$A$88,'Données projet'!$B$88,BD28+BC29-BL28)))</f>
        <v>221.16800000000001</v>
      </c>
      <c r="BE29" s="13">
        <f>BD29*VLOOKUP('Données projet'!$B$11,Paramètres!$A$1:$I$89,3,0)*VLOOKUP('Données projet'!$B$11,Paramètres!$A$1:$I$89,5,0)</f>
        <v>103.506624</v>
      </c>
      <c r="BF29" s="13">
        <f t="shared" si="37"/>
        <v>27.795719265289321</v>
      </c>
      <c r="BG29" s="20">
        <f t="shared" si="7"/>
        <v>228.6849145203789</v>
      </c>
      <c r="BH29" s="59">
        <f t="shared" si="8"/>
        <v>517.12935896482338</v>
      </c>
      <c r="BI29" s="59">
        <f ca="1">AVERAGE(OFFSET($BH$3,0,0,'Données projet'!$E$11+1,1))-AVERAGE(OFFSET($H$3,0,0,'Données projet'!$E$11+1,1))</f>
        <v>227.19831549982962</v>
      </c>
      <c r="BJ29" s="59">
        <f t="shared" si="38"/>
        <v>309.84543033784564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5.6917894390714023</v>
      </c>
      <c r="BQ29" s="21">
        <f>EXP(-LN(2)/25)*BQ28+(1-EXP(-LN(2)/25))/(LN(2)/25)*Calculateur!BL29*Calculateur!BN29*VLOOKUP('Données projet'!$B$11,Paramètres!$A$1:$I$89,3,0)*0.475*44/12</f>
        <v>8.3244747426580492</v>
      </c>
      <c r="BR29" s="21">
        <f>EXP(-LN(2)/2)*BR28+(1-EXP(-LN(2)/2))/(LN(2)/2)*BL29*BO29*VLOOKUP('Données projet'!$B$11,Paramètres!$A$1:$I$89,3,0)*0.475*44/12</f>
        <v>9.6832861514931423</v>
      </c>
      <c r="BS29" s="22">
        <f t="shared" si="9"/>
        <v>23.699550333222593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5.6410256410256441</v>
      </c>
      <c r="BY29" s="12">
        <f>IF('Données projet'!$A$114&gt;35,BY28+BX29-CG28,IF(A29&lt;'Données projet'!$A$114,$BV$205^A29,IF(A29='Données projet'!$A$114,'Données projet'!$B$114,BY28+BX29-CG28)))</f>
        <v>80.641025641025607</v>
      </c>
      <c r="BZ29" s="13">
        <f>BY29*VLOOKUP('Données projet'!$B$12,Paramètres!$A$1:$I$89,3,0)*VLOOKUP('Données projet'!$B$12,Paramètres!$A$1:$I$89,5,0)</f>
        <v>52.835999999999977</v>
      </c>
      <c r="CA29" s="13">
        <f t="shared" si="39"/>
        <v>15.343800824338855</v>
      </c>
      <c r="CB29" s="20">
        <f t="shared" si="10"/>
        <v>118.74648643572345</v>
      </c>
      <c r="CC29" s="59">
        <f t="shared" si="11"/>
        <v>407.19093088016791</v>
      </c>
      <c r="CD29" s="59">
        <f ca="1">AVERAGE(OFFSET($CC$3,0,0,'Données projet'!$E$12+1,1))-AVERAGE(OFFSET($H$3,0,0,'Données projet'!$E$12+1,1))</f>
        <v>91.274378490051788</v>
      </c>
      <c r="CE29" s="59">
        <f t="shared" si="40"/>
        <v>126.60105012427914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1.6149302432792552</v>
      </c>
      <c r="CM29" s="21">
        <f>EXP(-LN(2)/2)*CM28+(1-EXP(-LN(2)/2))/(LN(2)/2)*CG29*CJ29*VLOOKUP('Données projet'!$B$12,Paramètres!$A$1:$I$89,3,0)*0.475*44/12</f>
        <v>1.6041008498287395</v>
      </c>
      <c r="CN29" s="22">
        <f t="shared" si="12"/>
        <v>3.2190310931079944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28.821666666666669</v>
      </c>
      <c r="N30" s="13">
        <f>IF('Données projet'!$A$36&gt;35,N29+M30-V29,IF(A30&lt;'Données projet'!$A$36,$K$205^A30,IF(A30='Données projet'!$A$36,'Données projet'!$B$36,N29+M30-V29)))</f>
        <v>324.22499999999997</v>
      </c>
      <c r="O30" s="13">
        <f>N30*VLOOKUP('Données projet'!$B$9,Paramètres!$A$1:$I$89,3,0)*VLOOKUP('Données projet'!$B$9,Paramètres!$A$1:$I$89,5,0)</f>
        <v>181.24177499999999</v>
      </c>
      <c r="P30" s="13">
        <f t="shared" si="33"/>
        <v>45.598347584220761</v>
      </c>
      <c r="Q30" s="20">
        <f t="shared" si="2"/>
        <v>395.07988016751779</v>
      </c>
      <c r="R30" s="59">
        <f t="shared" si="0"/>
        <v>684.74654683418453</v>
      </c>
      <c r="S30" s="59">
        <f ca="1">AVERAGE(OFFSET($R$3,0,0,'Données projet'!$E$9+1,1))-AVERAGE(OFFSET($H$3,0,0,'Données projet'!$E$9+1,1))</f>
        <v>350.09239406910712</v>
      </c>
      <c r="T30" s="59">
        <f t="shared" si="34"/>
        <v>473.30663081727369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11.322859816128082</v>
      </c>
      <c r="AA30" s="21">
        <f>EXP(-LN(2)/25)*AA29+(1-EXP(-LN(2)/25))/(LN(2)/25)*Calculateur!V30*Calculateur!X30*VLOOKUP('Données projet'!$B$9,Paramètres!$A$1:$I$89,3,0)*0.475*44/12</f>
        <v>15.873238650622584</v>
      </c>
      <c r="AB30" s="21">
        <f>EXP(-LN(2)/2)*AB29+(1-EXP(-LN(2)/2))/(LN(2)/2)*V30*Y30*VLOOKUP('Données projet'!$B$9,Paramètres!$A$1:$I$89,3,0)*0.475*44/12</f>
        <v>5.1660551714473995</v>
      </c>
      <c r="AC30" s="22">
        <f t="shared" si="3"/>
        <v>32.362153638198066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539.33948845205202</v>
      </c>
      <c r="AN30" s="59">
        <f ca="1">AVERAGE(OFFSET($AM$3,0,0,'Données projet'!$E$10+1,1))-AVERAGE(OFFSET($H$3,0,0,'Données projet'!$E$10+1,1))</f>
        <v>179.4725256147085</v>
      </c>
      <c r="AO30" s="59">
        <f t="shared" si="36"/>
        <v>282.16750121151176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8.3376671311756763</v>
      </c>
      <c r="AV30" s="21">
        <f>EXP(-LN(2)/25)*AV29+(1-EXP(-LN(2)/25))/(LN(2)/25)*Calculateur!AQ30*Calculateur!AS30*VLOOKUP('Données projet'!$B$10,Paramètres!$A$1:$I$89,3,0)*0.475*44/12</f>
        <v>11.766741391938288</v>
      </c>
      <c r="AW30" s="21">
        <f>EXP(-LN(2)/2)*AW29+(1-EXP(-LN(2)/2))/(LN(2)/2)*AQ30*AT30*VLOOKUP('Données projet'!$B$10,Paramètres!$A$1:$I$89,3,0)*0.475*44/12</f>
        <v>3.8625303994178473</v>
      </c>
      <c r="AX30" s="21">
        <f t="shared" si="6"/>
        <v>23.96693892253181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26.288</v>
      </c>
      <c r="BD30" s="12">
        <f>IF('Données projet'!$A$88&gt;35,BD29+BC30-BL29,IF(A30&lt;'Données projet'!$A$88,$BA$205^A30,IF(A30='Données projet'!$A$88,'Données projet'!$B$88,BD29+BC30-BL29)))</f>
        <v>247.45600000000002</v>
      </c>
      <c r="BE30" s="13">
        <f>BD30*VLOOKUP('Données projet'!$B$11,Paramètres!$A$1:$I$89,3,0)*VLOOKUP('Données projet'!$B$11,Paramètres!$A$1:$I$89,5,0)</f>
        <v>115.809408</v>
      </c>
      <c r="BF30" s="13">
        <f t="shared" si="37"/>
        <v>30.695599747438091</v>
      </c>
      <c r="BG30" s="20">
        <f t="shared" si="7"/>
        <v>255.16288849345469</v>
      </c>
      <c r="BH30" s="59">
        <f t="shared" si="8"/>
        <v>544.82955516012134</v>
      </c>
      <c r="BI30" s="59">
        <f ca="1">AVERAGE(OFFSET($BH$3,0,0,'Données projet'!$E$11+1,1))-AVERAGE(OFFSET($H$3,0,0,'Données projet'!$E$11+1,1))</f>
        <v>227.19831549982962</v>
      </c>
      <c r="BJ30" s="59">
        <f t="shared" si="38"/>
        <v>309.84543033784564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5.5801769198199729</v>
      </c>
      <c r="BQ30" s="21">
        <f>EXP(-LN(2)/25)*BQ29+(1-EXP(-LN(2)/25))/(LN(2)/25)*Calculateur!BL30*Calculateur!BN30*VLOOKUP('Données projet'!$B$11,Paramètres!$A$1:$I$89,3,0)*0.475*44/12</f>
        <v>8.0968415430549641</v>
      </c>
      <c r="BR30" s="21">
        <f>EXP(-LN(2)/2)*BR29+(1-EXP(-LN(2)/2))/(LN(2)/2)*BL30*BO30*VLOOKUP('Données projet'!$B$11,Paramètres!$A$1:$I$89,3,0)*0.475*44/12</f>
        <v>6.847117301890588</v>
      </c>
      <c r="BS30" s="22">
        <f t="shared" si="9"/>
        <v>20.524135764765525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5.6410256410256441</v>
      </c>
      <c r="BY30" s="12">
        <f>IF('Données projet'!$A$114&gt;35,BY29+BX30-CG29,IF(A30&lt;'Données projet'!$A$114,$BV$205^A30,IF(A30='Données projet'!$A$114,'Données projet'!$B$114,BY29+BX30-CG29)))</f>
        <v>86.282051282051256</v>
      </c>
      <c r="BZ30" s="13">
        <f>BY30*VLOOKUP('Données projet'!$B$12,Paramètres!$A$1:$I$89,3,0)*VLOOKUP('Données projet'!$B$12,Paramètres!$A$1:$I$89,5,0)</f>
        <v>56.531999999999989</v>
      </c>
      <c r="CA30" s="13">
        <f t="shared" si="39"/>
        <v>16.288434762741495</v>
      </c>
      <c r="CB30" s="20">
        <f t="shared" si="10"/>
        <v>126.8289238784414</v>
      </c>
      <c r="CC30" s="59">
        <f t="shared" si="11"/>
        <v>416.49559054510809</v>
      </c>
      <c r="CD30" s="59">
        <f ca="1">AVERAGE(OFFSET($CC$3,0,0,'Données projet'!$E$12+1,1))-AVERAGE(OFFSET($H$3,0,0,'Données projet'!$E$12+1,1))</f>
        <v>91.274378490051788</v>
      </c>
      <c r="CE30" s="59">
        <f t="shared" si="40"/>
        <v>126.60105012427914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1.5707698908512935</v>
      </c>
      <c r="CM30" s="21">
        <f>EXP(-LN(2)/2)*CM29+(1-EXP(-LN(2)/2))/(LN(2)/2)*CG30*CJ30*VLOOKUP('Données projet'!$B$12,Paramètres!$A$1:$I$89,3,0)*0.475*44/12</f>
        <v>1.1342705886210054</v>
      </c>
      <c r="CN30" s="22">
        <f t="shared" si="12"/>
        <v>2.7050404794722986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28.821666666666669</v>
      </c>
      <c r="N31" s="13">
        <f>IF('Données projet'!$A$36&gt;35,N30+M31-V30,IF(A31&lt;'Données projet'!$A$36,$K$205^A31,IF(A31='Données projet'!$A$36,'Données projet'!$B$36,N30+M31-V30)))</f>
        <v>353.04666666666662</v>
      </c>
      <c r="O31" s="13">
        <f>N31*VLOOKUP('Données projet'!$B$9,Paramètres!$A$1:$I$89,3,0)*VLOOKUP('Données projet'!$B$9,Paramètres!$A$1:$I$89,5,0)</f>
        <v>197.35308666666666</v>
      </c>
      <c r="P31" s="13">
        <f t="shared" si="33"/>
        <v>49.162006002236403</v>
      </c>
      <c r="Q31" s="20">
        <f t="shared" si="2"/>
        <v>429.34711973167282</v>
      </c>
      <c r="R31" s="59">
        <f t="shared" si="0"/>
        <v>720.23600862056173</v>
      </c>
      <c r="S31" s="59">
        <f ca="1">AVERAGE(OFFSET($R$3,0,0,'Données projet'!$E$9+1,1))-AVERAGE(OFFSET($H$3,0,0,'Données projet'!$E$9+1,1))</f>
        <v>350.09239406910712</v>
      </c>
      <c r="T31" s="59">
        <f t="shared" si="34"/>
        <v>473.30663081727369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11.100825441396362</v>
      </c>
      <c r="AA31" s="21">
        <f>EXP(-LN(2)/25)*AA30+(1-EXP(-LN(2)/25))/(LN(2)/25)*Calculateur!V31*Calculateur!X31*VLOOKUP('Données projet'!$B$9,Paramètres!$A$1:$I$89,3,0)*0.475*44/12</f>
        <v>15.439184104983967</v>
      </c>
      <c r="AB31" s="21">
        <f>EXP(-LN(2)/2)*AB30+(1-EXP(-LN(2)/2))/(LN(2)/2)*V31*Y31*VLOOKUP('Données projet'!$B$9,Paramètres!$A$1:$I$89,3,0)*0.475*44/12</f>
        <v>3.652952643714289</v>
      </c>
      <c r="AC31" s="22">
        <f t="shared" si="3"/>
        <v>30.192962190094619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559.55727965877031</v>
      </c>
      <c r="AN31" s="59">
        <f ca="1">AVERAGE(OFFSET($AM$3,0,0,'Données projet'!$E$10+1,1))-AVERAGE(OFFSET($H$3,0,0,'Données projet'!$E$10+1,1))</f>
        <v>179.4725256147085</v>
      </c>
      <c r="AO31" s="59">
        <f t="shared" si="36"/>
        <v>282.16750121151176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8.1741705642081222</v>
      </c>
      <c r="AV31" s="21">
        <f>EXP(-LN(2)/25)*AV30+(1-EXP(-LN(2)/25))/(LN(2)/25)*Calculateur!AQ31*Calculateur!AS31*VLOOKUP('Données projet'!$B$10,Paramètres!$A$1:$I$89,3,0)*0.475*44/12</f>
        <v>11.444979229789698</v>
      </c>
      <c r="AW31" s="21">
        <f>EXP(-LN(2)/2)*AW30+(1-EXP(-LN(2)/2))/(LN(2)/2)*AQ31*AT31*VLOOKUP('Données projet'!$B$10,Paramètres!$A$1:$I$89,3,0)*0.475*44/12</f>
        <v>2.7312214379675441</v>
      </c>
      <c r="AX31" s="21">
        <f t="shared" si="6"/>
        <v>22.350371231965365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26.288</v>
      </c>
      <c r="BD31" s="12">
        <f>IF('Données projet'!$A$88&gt;35,BD30+BC31-BL30,IF(A31&lt;'Données projet'!$A$88,$BA$205^A31,IF(A31='Données projet'!$A$88,'Données projet'!$B$88,BD30+BC31-BL30)))</f>
        <v>273.74400000000003</v>
      </c>
      <c r="BE31" s="13">
        <f>BD31*VLOOKUP('Données projet'!$B$11,Paramètres!$A$1:$I$89,3,0)*VLOOKUP('Données projet'!$B$11,Paramètres!$A$1:$I$89,5,0)</f>
        <v>128.11219200000002</v>
      </c>
      <c r="BF31" s="13">
        <f t="shared" si="37"/>
        <v>33.559771651312261</v>
      </c>
      <c r="BG31" s="20">
        <f t="shared" si="7"/>
        <v>281.57867002603558</v>
      </c>
      <c r="BH31" s="59">
        <f t="shared" si="8"/>
        <v>572.46755891492444</v>
      </c>
      <c r="BI31" s="59">
        <f ca="1">AVERAGE(OFFSET($BH$3,0,0,'Données projet'!$E$11+1,1))-AVERAGE(OFFSET($H$3,0,0,'Données projet'!$E$11+1,1))</f>
        <v>227.19831549982962</v>
      </c>
      <c r="BJ31" s="59">
        <f t="shared" si="38"/>
        <v>309.84543033784564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5.4707530539941498</v>
      </c>
      <c r="BQ31" s="21">
        <f>EXP(-LN(2)/25)*BQ30+(1-EXP(-LN(2)/25))/(LN(2)/25)*Calculateur!BL31*Calculateur!BN31*VLOOKUP('Données projet'!$B$11,Paramètres!$A$1:$I$89,3,0)*0.475*44/12</f>
        <v>7.8754329852657348</v>
      </c>
      <c r="BR31" s="21">
        <f>EXP(-LN(2)/2)*BR30+(1-EXP(-LN(2)/2))/(LN(2)/2)*BL31*BO31*VLOOKUP('Données projet'!$B$11,Paramètres!$A$1:$I$89,3,0)*0.475*44/12</f>
        <v>4.841643075746572</v>
      </c>
      <c r="BS31" s="22">
        <f t="shared" si="9"/>
        <v>18.187829115006455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5.6410256410256441</v>
      </c>
      <c r="BY31" s="12">
        <f>IF('Données projet'!$A$114&gt;35,BY30+BX31-CG30,IF(A31&lt;'Données projet'!$A$114,$BV$205^A31,IF(A31='Données projet'!$A$114,'Données projet'!$B$114,BY30+BX31-CG30)))</f>
        <v>91.923076923076906</v>
      </c>
      <c r="BZ31" s="13">
        <f>BY31*VLOOKUP('Données projet'!$B$12,Paramètres!$A$1:$I$89,3,0)*VLOOKUP('Données projet'!$B$12,Paramètres!$A$1:$I$89,5,0)</f>
        <v>60.227999999999987</v>
      </c>
      <c r="CA31" s="13">
        <f t="shared" si="39"/>
        <v>17.225901835096707</v>
      </c>
      <c r="CB31" s="20">
        <f t="shared" si="10"/>
        <v>134.89887902946009</v>
      </c>
      <c r="CC31" s="59">
        <f t="shared" si="11"/>
        <v>425.78776791834895</v>
      </c>
      <c r="CD31" s="59">
        <f ca="1">AVERAGE(OFFSET($CC$3,0,0,'Données projet'!$E$12+1,1))-AVERAGE(OFFSET($H$3,0,0,'Données projet'!$E$12+1,1))</f>
        <v>91.274378490051788</v>
      </c>
      <c r="CE31" s="59">
        <f t="shared" si="40"/>
        <v>126.60105012427914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1.5278171055827663</v>
      </c>
      <c r="CM31" s="21">
        <f>EXP(-LN(2)/2)*CM30+(1-EXP(-LN(2)/2))/(LN(2)/2)*CG31*CJ31*VLOOKUP('Données projet'!$B$12,Paramètres!$A$1:$I$89,3,0)*0.475*44/12</f>
        <v>0.80205042491436973</v>
      </c>
      <c r="CN31" s="22">
        <f t="shared" si="12"/>
        <v>2.3298675304971361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28.821666666666669</v>
      </c>
      <c r="N32" s="13">
        <f>IF('Données projet'!$A$36&gt;35,N31+M32-V31,IF(A32&lt;'Données projet'!$A$36,$K$205^A32,IF(A32='Données projet'!$A$36,'Données projet'!$B$36,N31+M32-V31)))</f>
        <v>381.86833333333328</v>
      </c>
      <c r="O32" s="13">
        <f>N32*VLOOKUP('Données projet'!$B$9,Paramètres!$A$1:$I$89,3,0)*VLOOKUP('Données projet'!$B$9,Paramètres!$A$1:$I$89,5,0)</f>
        <v>213.46439833333329</v>
      </c>
      <c r="P32" s="13">
        <f t="shared" si="33"/>
        <v>52.691921444214742</v>
      </c>
      <c r="Q32" s="20">
        <f t="shared" si="2"/>
        <v>463.55559027922953</v>
      </c>
      <c r="R32" s="59">
        <f t="shared" si="0"/>
        <v>755.66670139034068</v>
      </c>
      <c r="S32" s="59">
        <f ca="1">AVERAGE(OFFSET($R$3,0,0,'Données projet'!$E$9+1,1))-AVERAGE(OFFSET($H$3,0,0,'Données projet'!$E$9+1,1))</f>
        <v>350.09239406910712</v>
      </c>
      <c r="T32" s="59">
        <f t="shared" si="34"/>
        <v>473.30663081727369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10.883145025325534</v>
      </c>
      <c r="AA32" s="21">
        <f>EXP(-LN(2)/25)*AA31+(1-EXP(-LN(2)/25))/(LN(2)/25)*Calculateur!V32*Calculateur!X32*VLOOKUP('Données projet'!$B$9,Paramètres!$A$1:$I$89,3,0)*0.475*44/12</f>
        <v>15.016998803721775</v>
      </c>
      <c r="AB32" s="21">
        <f>EXP(-LN(2)/2)*AB31+(1-EXP(-LN(2)/2))/(LN(2)/2)*V32*Y32*VLOOKUP('Données projet'!$B$9,Paramètres!$A$1:$I$89,3,0)*0.475*44/12</f>
        <v>2.5830275857237002</v>
      </c>
      <c r="AC32" s="22">
        <f t="shared" si="3"/>
        <v>28.483171414771007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579.74483754368748</v>
      </c>
      <c r="AN32" s="59">
        <f ca="1">AVERAGE(OFFSET($AM$3,0,0,'Données projet'!$E$10+1,1))-AVERAGE(OFFSET($H$3,0,0,'Données projet'!$E$10+1,1))</f>
        <v>179.4725256147085</v>
      </c>
      <c r="AO32" s="59">
        <f t="shared" si="36"/>
        <v>282.16750121151176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8.0138800651957425</v>
      </c>
      <c r="AV32" s="21">
        <f>EXP(-LN(2)/25)*AV31+(1-EXP(-LN(2)/25))/(LN(2)/25)*Calculateur!AQ32*Calculateur!AS32*VLOOKUP('Données projet'!$B$10,Paramètres!$A$1:$I$89,3,0)*0.475*44/12</f>
        <v>11.132015670885799</v>
      </c>
      <c r="AW32" s="21">
        <f>EXP(-LN(2)/2)*AW31+(1-EXP(-LN(2)/2))/(LN(2)/2)*AQ32*AT32*VLOOKUP('Données projet'!$B$10,Paramètres!$A$1:$I$89,3,0)*0.475*44/12</f>
        <v>1.9312651997089241</v>
      </c>
      <c r="AX32" s="21">
        <f t="shared" si="6"/>
        <v>21.077160935790467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26.288</v>
      </c>
      <c r="BD32" s="12">
        <f>IF('Données projet'!$A$88&gt;35,BD31+BC32-BL31,IF(A32&lt;'Données projet'!$A$88,$BA$205^A32,IF(A32='Données projet'!$A$88,'Données projet'!$B$88,BD31+BC32-BL31)))</f>
        <v>300.03200000000004</v>
      </c>
      <c r="BE32" s="13">
        <f>BD32*VLOOKUP('Données projet'!$B$11,Paramètres!$A$1:$I$89,3,0)*VLOOKUP('Données projet'!$B$11,Paramètres!$A$1:$I$89,5,0)</f>
        <v>140.41497600000002</v>
      </c>
      <c r="BF32" s="13">
        <f t="shared" si="37"/>
        <v>36.392054287553755</v>
      </c>
      <c r="BG32" s="20">
        <f t="shared" si="7"/>
        <v>307.93891108415613</v>
      </c>
      <c r="BH32" s="59">
        <f t="shared" si="8"/>
        <v>600.05002219526727</v>
      </c>
      <c r="BI32" s="59">
        <f ca="1">AVERAGE(OFFSET($BH$3,0,0,'Données projet'!$E$11+1,1))-AVERAGE(OFFSET($H$3,0,0,'Données projet'!$E$11+1,1))</f>
        <v>227.19831549982962</v>
      </c>
      <c r="BJ32" s="59">
        <f t="shared" si="38"/>
        <v>309.84543033784564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5.363474923435203</v>
      </c>
      <c r="BQ32" s="21">
        <f>EXP(-LN(2)/25)*BQ31+(1-EXP(-LN(2)/25))/(LN(2)/25)*Calculateur!BL32*Calculateur!BN32*VLOOKUP('Données projet'!$B$11,Paramètres!$A$1:$I$89,3,0)*0.475*44/12</f>
        <v>7.6600788561326221</v>
      </c>
      <c r="BR32" s="21">
        <f>EXP(-LN(2)/2)*BR31+(1-EXP(-LN(2)/2))/(LN(2)/2)*BL32*BO32*VLOOKUP('Données projet'!$B$11,Paramètres!$A$1:$I$89,3,0)*0.475*44/12</f>
        <v>3.4235586509452944</v>
      </c>
      <c r="BS32" s="22">
        <f t="shared" si="9"/>
        <v>16.447112430513119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5.6410256410256441</v>
      </c>
      <c r="BY32" s="12">
        <f>IF('Données projet'!$A$114&gt;35,BY31+BX32-CG31,IF(A32&lt;'Données projet'!$A$114,$BV$205^A32,IF(A32='Données projet'!$A$114,'Données projet'!$B$114,BY31+BX32-CG31)))</f>
        <v>97.564102564102555</v>
      </c>
      <c r="BZ32" s="13">
        <f>BY32*VLOOKUP('Données projet'!$B$12,Paramètres!$A$1:$I$89,3,0)*VLOOKUP('Données projet'!$B$12,Paramètres!$A$1:$I$89,5,0)</f>
        <v>63.923999999999992</v>
      </c>
      <c r="CA32" s="13">
        <f t="shared" si="39"/>
        <v>18.156691926755421</v>
      </c>
      <c r="CB32" s="20">
        <f t="shared" si="10"/>
        <v>142.95720510576567</v>
      </c>
      <c r="CC32" s="59">
        <f t="shared" si="11"/>
        <v>435.06831621687684</v>
      </c>
      <c r="CD32" s="59">
        <f ca="1">AVERAGE(OFFSET($CC$3,0,0,'Données projet'!$E$12+1,1))-AVERAGE(OFFSET($H$3,0,0,'Données projet'!$E$12+1,1))</f>
        <v>91.274378490051788</v>
      </c>
      <c r="CE32" s="59">
        <f t="shared" si="40"/>
        <v>126.60105012427914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1.4860388664861959</v>
      </c>
      <c r="CM32" s="21">
        <f>EXP(-LN(2)/2)*CM31+(1-EXP(-LN(2)/2))/(LN(2)/2)*CG32*CJ32*VLOOKUP('Données projet'!$B$12,Paramètres!$A$1:$I$89,3,0)*0.475*44/12</f>
        <v>0.56713529431050269</v>
      </c>
      <c r="CN32" s="22">
        <f t="shared" si="12"/>
        <v>2.0531741607966985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28.821666666666669</v>
      </c>
      <c r="M33" s="12">
        <f t="array" ref="M33">INDEX(L:L,MIN(IF(ISNUMBER(L33:L229),ROW(L33:L229),"")))</f>
        <v>28.821666666666669</v>
      </c>
      <c r="N33" s="13">
        <f>IF('Données projet'!$A$36&gt;35,N32+M33-V32,IF(A33&lt;'Données projet'!$A$36,$K$205^A33,IF(A33='Données projet'!$A$36,'Données projet'!$B$36,N32+M33-V32)))</f>
        <v>410.68999999999994</v>
      </c>
      <c r="O33" s="13">
        <f>N33*VLOOKUP('Données projet'!$B$9,Paramètres!$A$1:$I$89,3,0)*VLOOKUP('Données projet'!$B$9,Paramètres!$A$1:$I$89,5,0)</f>
        <v>229.57570999999996</v>
      </c>
      <c r="P33" s="13">
        <f t="shared" si="33"/>
        <v>56.190930256761952</v>
      </c>
      <c r="Q33" s="20">
        <f t="shared" si="2"/>
        <v>497.71023178052695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350.09239406910712</v>
      </c>
      <c r="T33" s="59">
        <f t="shared" si="34"/>
        <v>473.30663081727369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80.990000000000009</v>
      </c>
      <c r="W33" s="16">
        <f>IF(ISNA(VLOOKUP(A33,'Données projet'!$A$35:$I$55,5,0)),0%,VLOOKUP(A33,'Données projet'!$A$35:$I$55,5,0)*VLOOKUP('Données projet'!$B$9,Paramètres!$A$1:$I$89,7,0))</f>
        <v>0.33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30.488905028680456</v>
      </c>
      <c r="AA33" s="21">
        <f>EXP(-LN(2)/25)*AA32+(1-EXP(-LN(2)/25))/(LN(2)/25)*Calculateur!V33*Calculateur!X33*VLOOKUP('Données projet'!$B$9,Paramètres!$A$1:$I$89,3,0)*0.475*44/12</f>
        <v>21.186736917728005</v>
      </c>
      <c r="AB33" s="21">
        <f>EXP(-LN(2)/2)*AB32+(1-EXP(-LN(2)/2))/(LN(2)/2)*V33*Y33*VLOOKUP('Données projet'!$B$9,Paramètres!$A$1:$I$89,3,0)*0.475*44/12</f>
        <v>12.07847972608868</v>
      </c>
      <c r="AC33" s="22">
        <f t="shared" si="3"/>
        <v>63.754121672497142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179.4725256147085</v>
      </c>
      <c r="AO33" s="59">
        <f t="shared" si="36"/>
        <v>282.16750121151176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0.36</v>
      </c>
      <c r="AS33" s="16">
        <f>IF(ISNA(VLOOKUP(A33,'Données projet'!$A$61:$I$81,6,0)),0%,VLOOKUP(A33,'Données projet'!$A$61:$I$81,6,0)*VLOOKUP('Données projet'!$B$10,Paramètres!$A$1:$I$89,7,0))</f>
        <v>0.12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23.650703046408172</v>
      </c>
      <c r="AV33" s="21">
        <f>EXP(-LN(2)/25)*AV32+(1-EXP(-LN(2)/25))/(LN(2)/25)*Calculateur!AQ33*Calculateur!AS33*VLOOKUP('Données projet'!$B$10,Paramètres!$A$1:$I$89,3,0)*0.475*44/12</f>
        <v>16.071537917736414</v>
      </c>
      <c r="AW33" s="21">
        <f>EXP(-LN(2)/2)*AW32+(1-EXP(-LN(2)/2))/(LN(2)/2)*AQ33*AT33*VLOOKUP('Données projet'!$B$10,Paramètres!$A$1:$I$89,3,0)*0.475*44/12</f>
        <v>8.8546480277428277</v>
      </c>
      <c r="AX33" s="21">
        <f t="shared" si="6"/>
        <v>48.576888991887415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326.32</v>
      </c>
      <c r="BB33" s="12">
        <f>VLOOKUP(A33,'Données projet'!$A$87:$I$107,9,0)</f>
        <v>26.288</v>
      </c>
      <c r="BC33" s="12">
        <f t="array" ref="BC33">INDEX(BB:BB,MIN(IF(ISNUMBER(BB33:BB229),ROW(BB33:BB229),"")))</f>
        <v>26.288</v>
      </c>
      <c r="BD33" s="12">
        <f>IF('Données projet'!$A$88&gt;35,BD32+BC33-BL32,IF(A33&lt;'Données projet'!$A$88,$BA$205^A33,IF(A33='Données projet'!$A$88,'Données projet'!$B$88,BD32+BC33-BL32)))</f>
        <v>326.32000000000005</v>
      </c>
      <c r="BE33" s="13">
        <f>BD33*VLOOKUP('Données projet'!$B$11,Paramètres!$A$1:$I$89,3,0)*VLOOKUP('Données projet'!$B$11,Paramètres!$A$1:$I$89,5,0)</f>
        <v>152.71776000000003</v>
      </c>
      <c r="BF33" s="13">
        <f t="shared" si="37"/>
        <v>39.195559407329498</v>
      </c>
      <c r="BG33" s="20">
        <f t="shared" si="7"/>
        <v>334.24903130109891</v>
      </c>
      <c r="BH33" s="59">
        <f t="shared" si="8"/>
        <v>627.58236463443222</v>
      </c>
      <c r="BI33" s="59">
        <f ca="1">AVERAGE(OFFSET($BH$3,0,0,'Données projet'!$E$11+1,1))-AVERAGE(OFFSET($H$3,0,0,'Données projet'!$E$11+1,1))</f>
        <v>227.19831549982962</v>
      </c>
      <c r="BJ33" s="59">
        <f t="shared" si="38"/>
        <v>309.84543033784564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96.09</v>
      </c>
      <c r="BM33" s="16">
        <f>IF(ISNA(VLOOKUP(A33,'Données projet'!$A$87:$I$107,5,0)),0%,VLOOKUP(A33,'Données projet'!$A$87:$I$107,5,0)*VLOOKUP('Données projet'!$B$11,Paramètres!$A$1:$I$89,7,0))</f>
        <v>0.13750000000000001</v>
      </c>
      <c r="BN33" s="16">
        <f>IF(ISNA(VLOOKUP(A33,'Données projet'!$A$87:$I$107,6,0)),0%,VLOOKUP(A33,'Données projet'!$A$87:$I$107,6,0)*VLOOKUP('Données projet'!$B$11,Paramètres!$A$1:$I$89,7,0))</f>
        <v>0.20350000000000001</v>
      </c>
      <c r="BO33" s="16">
        <f>IF(ISNA(VLOOKUP(A33,'Données projet'!$A$87:$I$107,7,0)),0%,VLOOKUP(A33,'Données projet'!$A$87:$I$107,7,0))</f>
        <v>0.38</v>
      </c>
      <c r="BP33" s="21">
        <f>EXP(-LN(2)/35)*BP32+(1-EXP(-LN(2)/35))/(LN(2)/35)*BL33*BM33*VLOOKUP('Données projet'!$B$11,Paramètres!$A$1:$I$89,3,0)*0.475*44/12</f>
        <v>13.460967829550301</v>
      </c>
      <c r="BQ33" s="21">
        <f>EXP(-LN(2)/25)*BQ32+(1-EXP(-LN(2)/25))/(LN(2)/25)*Calculateur!BL33*Calculateur!BN33*VLOOKUP('Données projet'!$B$11,Paramètres!$A$1:$I$89,3,0)*0.475*44/12</f>
        <v>19.542761716522797</v>
      </c>
      <c r="BR33" s="21">
        <f>EXP(-LN(2)/2)*BR32+(1-EXP(-LN(2)/2))/(LN(2)/2)*BL33*BO33*VLOOKUP('Données projet'!$B$11,Paramètres!$A$1:$I$89,3,0)*0.475*44/12</f>
        <v>21.769138007176817</v>
      </c>
      <c r="BS33" s="22">
        <f t="shared" si="9"/>
        <v>54.77286755324991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103.2051282051282</v>
      </c>
      <c r="BW33" s="12">
        <f>VLOOKUP(A33,'Données projet'!$A$113:$I$133,9,0)</f>
        <v>5.6410256410256441</v>
      </c>
      <c r="BX33" s="12">
        <f t="array" ref="BX33">INDEX(BW:BW,MIN(IF(ISNUMBER(BW33:BW229),ROW(BW33:BW229),"")))</f>
        <v>5.6410256410256441</v>
      </c>
      <c r="BY33" s="12">
        <f>IF('Données projet'!$A$114&gt;35,BY32+BX33-CG32,IF(A33&lt;'Données projet'!$A$114,$BV$205^A33,IF(A33='Données projet'!$A$114,'Données projet'!$B$114,BY32+BX33-CG32)))</f>
        <v>103.2051282051282</v>
      </c>
      <c r="BZ33" s="13">
        <f>BY33*VLOOKUP('Données projet'!$B$12,Paramètres!$A$1:$I$89,3,0)*VLOOKUP('Données projet'!$B$12,Paramètres!$A$1:$I$89,5,0)</f>
        <v>67.62</v>
      </c>
      <c r="CA33" s="13">
        <f t="shared" si="39"/>
        <v>19.081235074181311</v>
      </c>
      <c r="CB33" s="20">
        <f t="shared" si="10"/>
        <v>151.00465108753244</v>
      </c>
      <c r="CC33" s="59">
        <f t="shared" si="11"/>
        <v>444.33798442086572</v>
      </c>
      <c r="CD33" s="59">
        <f ca="1">AVERAGE(OFFSET($CC$3,0,0,'Données projet'!$E$12+1,1))-AVERAGE(OFFSET($H$3,0,0,'Données projet'!$E$12+1,1))</f>
        <v>91.274378490051788</v>
      </c>
      <c r="CE33" s="59">
        <f t="shared" si="40"/>
        <v>126.60105012427914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14.743589743589743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2.5888587533552752</v>
      </c>
      <c r="CM33" s="21">
        <f>EXP(-LN(2)/2)*CM32+(1-EXP(-LN(2)/2))/(LN(2)/2)*CG33*CJ33*VLOOKUP('Données projet'!$B$12,Paramètres!$A$1:$I$89,3,0)*0.475*44/12</f>
        <v>2.6796427112291967</v>
      </c>
      <c r="CN33" s="22">
        <f t="shared" si="12"/>
        <v>5.2685014645844719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28.665000000000003</v>
      </c>
      <c r="N34" s="13">
        <f>IF('Données projet'!$A$36&gt;35,N33+M34-V33,IF(A34&lt;'Données projet'!$A$36,$K$205^A34,IF(A34='Données projet'!$A$36,'Données projet'!$B$36,N33+M34-V33)))</f>
        <v>358.36499999999995</v>
      </c>
      <c r="O34" s="13">
        <f>N34*VLOOKUP('Données projet'!$B$9,Paramètres!$A$1:$I$89,3,0)*VLOOKUP('Données projet'!$B$9,Paramètres!$A$1:$I$89,5,0)</f>
        <v>200.32603499999996</v>
      </c>
      <c r="P34" s="13">
        <f t="shared" si="33"/>
        <v>49.815813556278101</v>
      </c>
      <c r="Q34" s="20">
        <f t="shared" si="2"/>
        <v>435.66371956885092</v>
      </c>
      <c r="R34" s="59">
        <f t="shared" si="0"/>
        <v>728.99705290218424</v>
      </c>
      <c r="S34" s="59">
        <f ca="1">AVERAGE(OFFSET($R$3,0,0,'Données projet'!$E$9+1,1))-AVERAGE(OFFSET($H$3,0,0,'Données projet'!$E$9+1,1))</f>
        <v>350.09239406910712</v>
      </c>
      <c r="T34" s="59">
        <f t="shared" si="34"/>
        <v>473.30663081727369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29.891036197463858</v>
      </c>
      <c r="AA34" s="21">
        <f>EXP(-LN(2)/25)*AA33+(1-EXP(-LN(2)/25))/(LN(2)/25)*Calculateur!V34*Calculateur!X34*VLOOKUP('Données projet'!$B$9,Paramètres!$A$1:$I$89,3,0)*0.475*44/12</f>
        <v>20.60738448255066</v>
      </c>
      <c r="AB34" s="21">
        <f>EXP(-LN(2)/2)*AB33+(1-EXP(-LN(2)/2))/(LN(2)/2)*V34*Y34*VLOOKUP('Données projet'!$B$9,Paramètres!$A$1:$I$89,3,0)*0.475*44/12</f>
        <v>8.5407749207415389</v>
      </c>
      <c r="AC34" s="22">
        <f t="shared" si="3"/>
        <v>59.039195600756059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179.4725256147085</v>
      </c>
      <c r="AO34" s="59">
        <f t="shared" si="36"/>
        <v>282.16750121151176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23.186927185172564</v>
      </c>
      <c r="AV34" s="21">
        <f>EXP(-LN(2)/25)*AV33+(1-EXP(-LN(2)/25))/(LN(2)/25)*Calculateur!AQ34*Calculateur!AS34*VLOOKUP('Données projet'!$B$10,Paramètres!$A$1:$I$89,3,0)*0.475*44/12</f>
        <v>15.632060868210464</v>
      </c>
      <c r="AW34" s="21">
        <f>EXP(-LN(2)/2)*AW33+(1-EXP(-LN(2)/2))/(LN(2)/2)*AQ34*AT34*VLOOKUP('Données projet'!$B$10,Paramètres!$A$1:$I$89,3,0)*0.475*44/12</f>
        <v>6.2611816654370429</v>
      </c>
      <c r="AX34" s="21">
        <f t="shared" si="6"/>
        <v>45.080169718820073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25.56</v>
      </c>
      <c r="BD34" s="12">
        <f>IF('Données projet'!$A$88&gt;35,BD33+BC34-BL33,IF(A34&lt;'Données projet'!$A$88,$BA$205^A34,IF(A34='Données projet'!$A$88,'Données projet'!$B$88,BD33+BC34-BL33)))</f>
        <v>255.79000000000005</v>
      </c>
      <c r="BE34" s="13">
        <f>BD34*VLOOKUP('Données projet'!$B$11,Paramètres!$A$1:$I$89,3,0)*VLOOKUP('Données projet'!$B$11,Paramètres!$A$1:$I$89,5,0)</f>
        <v>119.70972000000002</v>
      </c>
      <c r="BF34" s="13">
        <f t="shared" si="37"/>
        <v>31.607286710843464</v>
      </c>
      <c r="BG34" s="20">
        <f t="shared" si="7"/>
        <v>263.54378668805236</v>
      </c>
      <c r="BH34" s="59">
        <f t="shared" si="8"/>
        <v>556.87712002138574</v>
      </c>
      <c r="BI34" s="59">
        <f ca="1">AVERAGE(OFFSET($BH$3,0,0,'Données projet'!$E$11+1,1))-AVERAGE(OFFSET($H$3,0,0,'Données projet'!$E$11+1,1))</f>
        <v>227.19831549982962</v>
      </c>
      <c r="BJ34" s="59">
        <f t="shared" si="38"/>
        <v>309.84543033784564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13.197006460792487</v>
      </c>
      <c r="BQ34" s="21">
        <f>EXP(-LN(2)/25)*BQ33+(1-EXP(-LN(2)/25))/(LN(2)/25)*Calculateur!BL34*Calculateur!BN34*VLOOKUP('Données projet'!$B$11,Paramètres!$A$1:$I$89,3,0)*0.475*44/12</f>
        <v>19.008363869675307</v>
      </c>
      <c r="BR34" s="21">
        <f>EXP(-LN(2)/2)*BR33+(1-EXP(-LN(2)/2))/(LN(2)/2)*BL34*BO34*VLOOKUP('Données projet'!$B$11,Paramètres!$A$1:$I$89,3,0)*0.475*44/12</f>
        <v>15.393105105460535</v>
      </c>
      <c r="BS34" s="22">
        <f t="shared" si="9"/>
        <v>47.598475435928329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5.512820512820511</v>
      </c>
      <c r="BY34" s="12">
        <f>IF('Données projet'!$A$114&gt;35,BY33+BX34-CG33,IF(A34&lt;'Données projet'!$A$114,$BV$205^A34,IF(A34='Données projet'!$A$114,'Données projet'!$B$114,BY33+BX34-CG33)))</f>
        <v>93.974358974358978</v>
      </c>
      <c r="BZ34" s="13">
        <f>BY34*VLOOKUP('Données projet'!$B$12,Paramètres!$A$1:$I$89,3,0)*VLOOKUP('Données projet'!$B$12,Paramètres!$A$1:$I$89,5,0)</f>
        <v>61.572000000000003</v>
      </c>
      <c r="CA34" s="13">
        <f t="shared" si="39"/>
        <v>17.565119713235489</v>
      </c>
      <c r="CB34" s="20">
        <f t="shared" si="10"/>
        <v>137.83048350055182</v>
      </c>
      <c r="CC34" s="59">
        <f t="shared" si="11"/>
        <v>431.16381683388511</v>
      </c>
      <c r="CD34" s="59">
        <f ca="1">AVERAGE(OFFSET($CC$3,0,0,'Données projet'!$E$12+1,1))-AVERAGE(OFFSET($H$3,0,0,'Données projet'!$E$12+1,1))</f>
        <v>91.274378490051788</v>
      </c>
      <c r="CE34" s="59">
        <f t="shared" si="40"/>
        <v>126.60105012427914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2.5180662746026101</v>
      </c>
      <c r="CM34" s="21">
        <f>EXP(-LN(2)/2)*CM33+(1-EXP(-LN(2)/2))/(LN(2)/2)*CG34*CJ34*VLOOKUP('Données projet'!$B$12,Paramètres!$A$1:$I$89,3,0)*0.475*44/12</f>
        <v>1.8947935322672707</v>
      </c>
      <c r="CN34" s="22">
        <f t="shared" si="12"/>
        <v>4.4128598068698803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28.665000000000003</v>
      </c>
      <c r="N35" s="13">
        <f>IF('Données projet'!$A$36&gt;35,N34+M35-V34,IF(A35&lt;'Données projet'!$A$36,$K$205^A35,IF(A35='Données projet'!$A$36,'Données projet'!$B$36,N34+M35-V34)))</f>
        <v>387.03</v>
      </c>
      <c r="O35" s="13">
        <f>N35*VLOOKUP('Données projet'!$B$9,Paramètres!$A$1:$I$89,3,0)*VLOOKUP('Données projet'!$B$9,Paramètres!$A$1:$I$89,5,0)</f>
        <v>216.34977000000001</v>
      </c>
      <c r="P35" s="13">
        <f t="shared" si="33"/>
        <v>53.320755383985038</v>
      </c>
      <c r="Q35" s="20">
        <f t="shared" ref="Q35:Q66" si="53">(O35+P35)*0.475*44/12</f>
        <v>469.67616504377384</v>
      </c>
      <c r="R35" s="59">
        <f t="shared" si="0"/>
        <v>763.00949837710709</v>
      </c>
      <c r="S35" s="59">
        <f ca="1">AVERAGE(OFFSET($R$3,0,0,'Données projet'!$E$9+1,1))-AVERAGE(OFFSET($H$3,0,0,'Données projet'!$E$9+1,1))</f>
        <v>350.09239406910712</v>
      </c>
      <c r="T35" s="59">
        <f t="shared" si="34"/>
        <v>473.30663081727369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29.30489120936344</v>
      </c>
      <c r="AA35" s="21">
        <f>EXP(-LN(2)/25)*AA34+(1-EXP(-LN(2)/25))/(LN(2)/25)*Calculateur!V35*Calculateur!X35*VLOOKUP('Données projet'!$B$9,Paramètres!$A$1:$I$89,3,0)*0.475*44/12</f>
        <v>20.043874470180061</v>
      </c>
      <c r="AB35" s="21">
        <f>EXP(-LN(2)/2)*AB34+(1-EXP(-LN(2)/2))/(LN(2)/2)*V35*Y35*VLOOKUP('Données projet'!$B$9,Paramètres!$A$1:$I$89,3,0)*0.475*44/12</f>
        <v>6.0392398630443402</v>
      </c>
      <c r="AC35" s="22">
        <f t="shared" si="3"/>
        <v>55.388005542587848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179.4725256147085</v>
      </c>
      <c r="AO35" s="59">
        <f t="shared" si="36"/>
        <v>282.16750121151176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22.732245685700445</v>
      </c>
      <c r="AV35" s="21">
        <f>EXP(-LN(2)/25)*AV34+(1-EXP(-LN(2)/25))/(LN(2)/25)*Calculateur!AQ35*Calculateur!AS35*VLOOKUP('Données projet'!$B$10,Paramètres!$A$1:$I$89,3,0)*0.475*44/12</f>
        <v>15.204601341714897</v>
      </c>
      <c r="AW35" s="21">
        <f>EXP(-LN(2)/2)*AW34+(1-EXP(-LN(2)/2))/(LN(2)/2)*AQ35*AT35*VLOOKUP('Données projet'!$B$10,Paramètres!$A$1:$I$89,3,0)*0.475*44/12</f>
        <v>4.4273240138714147</v>
      </c>
      <c r="AX35" s="21">
        <f t="shared" si="6"/>
        <v>42.364171041286752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25.56</v>
      </c>
      <c r="BD35" s="12">
        <f>IF('Données projet'!$A$88&gt;35,BD34+BC35-BL34,IF(A35&lt;'Données projet'!$A$88,$BA$205^A35,IF(A35='Données projet'!$A$88,'Données projet'!$B$88,BD34+BC35-BL34)))</f>
        <v>281.35000000000002</v>
      </c>
      <c r="BE35" s="13">
        <f>BD35*VLOOKUP('Données projet'!$B$11,Paramètres!$A$1:$I$89,3,0)*VLOOKUP('Données projet'!$B$11,Paramètres!$A$1:$I$89,5,0)</f>
        <v>131.67180000000002</v>
      </c>
      <c r="BF35" s="13">
        <f t="shared" si="37"/>
        <v>34.382375471501319</v>
      </c>
      <c r="BG35" s="20">
        <f t="shared" si="7"/>
        <v>289.21102227953151</v>
      </c>
      <c r="BH35" s="59">
        <f t="shared" si="8"/>
        <v>582.54435561286482</v>
      </c>
      <c r="BI35" s="59">
        <f ca="1">AVERAGE(OFFSET($BH$3,0,0,'Données projet'!$E$11+1,1))-AVERAGE(OFFSET($H$3,0,0,'Données projet'!$E$11+1,1))</f>
        <v>227.19831549982962</v>
      </c>
      <c r="BJ35" s="59">
        <f t="shared" si="38"/>
        <v>309.84543033784564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12.938221213475478</v>
      </c>
      <c r="BQ35" s="21">
        <f>EXP(-LN(2)/25)*BQ34+(1-EXP(-LN(2)/25))/(LN(2)/25)*Calculateur!BL35*Calculateur!BN35*VLOOKUP('Données projet'!$B$11,Paramètres!$A$1:$I$89,3,0)*0.475*44/12</f>
        <v>18.488579160052623</v>
      </c>
      <c r="BR35" s="21">
        <f>EXP(-LN(2)/2)*BR34+(1-EXP(-LN(2)/2))/(LN(2)/2)*BL35*BO35*VLOOKUP('Données projet'!$B$11,Paramètres!$A$1:$I$89,3,0)*0.475*44/12</f>
        <v>10.88456900358841</v>
      </c>
      <c r="BS35" s="22">
        <f t="shared" si="9"/>
        <v>42.311369377116513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5.512820512820511</v>
      </c>
      <c r="BY35" s="12">
        <f>IF('Données projet'!$A$114&gt;35,BY34+BX35-CG34,IF(A35&lt;'Données projet'!$A$114,$BV$205^A35,IF(A35='Données projet'!$A$114,'Données projet'!$B$114,BY34+BX35-CG34)))</f>
        <v>99.487179487179489</v>
      </c>
      <c r="BZ35" s="13">
        <f>BY35*VLOOKUP('Données projet'!$B$12,Paramètres!$A$1:$I$89,3,0)*VLOOKUP('Données projet'!$B$12,Paramètres!$A$1:$I$89,5,0)</f>
        <v>65.183999999999997</v>
      </c>
      <c r="CA35" s="13">
        <f t="shared" si="39"/>
        <v>18.47255885537334</v>
      </c>
      <c r="CB35" s="20">
        <f t="shared" si="10"/>
        <v>145.70184000644187</v>
      </c>
      <c r="CC35" s="59">
        <f t="shared" si="11"/>
        <v>439.03517333977516</v>
      </c>
      <c r="CD35" s="59">
        <f ca="1">AVERAGE(OFFSET($CC$3,0,0,'Données projet'!$E$12+1,1))-AVERAGE(OFFSET($H$3,0,0,'Données projet'!$E$12+1,1))</f>
        <v>91.274378490051788</v>
      </c>
      <c r="CE35" s="59">
        <f t="shared" si="40"/>
        <v>126.60105012427914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2.4492096199042517</v>
      </c>
      <c r="CM35" s="21">
        <f>EXP(-LN(2)/2)*CM34+(1-EXP(-LN(2)/2))/(LN(2)/2)*CG35*CJ35*VLOOKUP('Données projet'!$B$12,Paramètres!$A$1:$I$89,3,0)*0.475*44/12</f>
        <v>1.3398213556145986</v>
      </c>
      <c r="CN35" s="22">
        <f t="shared" si="12"/>
        <v>3.78903097551885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28.665000000000003</v>
      </c>
      <c r="N36" s="13">
        <f>IF('Données projet'!$A$36&gt;35,N35+M36-V35,IF(A36&lt;'Données projet'!$A$36,$K$205^A36,IF(A36='Données projet'!$A$36,'Données projet'!$B$36,N35+M36-V35)))</f>
        <v>415.69499999999999</v>
      </c>
      <c r="O36" s="13">
        <f>N36*VLOOKUP('Données projet'!$B$9,Paramètres!$A$1:$I$89,3,0)*VLOOKUP('Données projet'!$B$9,Paramètres!$A$1:$I$89,5,0)</f>
        <v>232.37350500000002</v>
      </c>
      <c r="P36" s="13">
        <f t="shared" si="33"/>
        <v>56.795581749699934</v>
      </c>
      <c r="Q36" s="20">
        <f t="shared" si="53"/>
        <v>503.63615942239403</v>
      </c>
      <c r="R36" s="59">
        <f t="shared" si="0"/>
        <v>796.96949275572729</v>
      </c>
      <c r="S36" s="59">
        <f ca="1">AVERAGE(OFFSET($R$3,0,0,'Données projet'!$E$9+1,1))-AVERAGE(OFFSET($H$3,0,0,'Données projet'!$E$9+1,1))</f>
        <v>350.09239406910712</v>
      </c>
      <c r="T36" s="59">
        <f t="shared" si="34"/>
        <v>473.30663081727369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28.730240166966528</v>
      </c>
      <c r="AA36" s="21">
        <f>EXP(-LN(2)/25)*AA35+(1-EXP(-LN(2)/25))/(LN(2)/25)*Calculateur!V36*Calculateur!X36*VLOOKUP('Données projet'!$B$9,Paramètres!$A$1:$I$89,3,0)*0.475*44/12</f>
        <v>19.495773668731438</v>
      </c>
      <c r="AB36" s="21">
        <f>EXP(-LN(2)/2)*AB35+(1-EXP(-LN(2)/2))/(LN(2)/2)*V36*Y36*VLOOKUP('Données projet'!$B$9,Paramètres!$A$1:$I$89,3,0)*0.475*44/12</f>
        <v>4.2703874603707694</v>
      </c>
      <c r="AC36" s="22">
        <f t="shared" si="3"/>
        <v>52.49640129606874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179.4725256147085</v>
      </c>
      <c r="AO36" s="59">
        <f t="shared" si="36"/>
        <v>282.16750121151176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22.286480213104642</v>
      </c>
      <c r="AV36" s="21">
        <f>EXP(-LN(2)/25)*AV35+(1-EXP(-LN(2)/25))/(LN(2)/25)*Calculateur!AQ36*Calculateur!AS36*VLOOKUP('Données projet'!$B$10,Paramètres!$A$1:$I$89,3,0)*0.475*44/12</f>
        <v>14.788830718450468</v>
      </c>
      <c r="AW36" s="21">
        <f>EXP(-LN(2)/2)*AW35+(1-EXP(-LN(2)/2))/(LN(2)/2)*AQ36*AT36*VLOOKUP('Données projet'!$B$10,Paramètres!$A$1:$I$89,3,0)*0.475*44/12</f>
        <v>3.1305908327185219</v>
      </c>
      <c r="AX36" s="21">
        <f t="shared" si="6"/>
        <v>40.205901764273634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25.56</v>
      </c>
      <c r="BD36" s="12">
        <f>IF('Données projet'!$A$88&gt;35,BD35+BC36-BL35,IF(A36&lt;'Données projet'!$A$88,$BA$205^A36,IF(A36='Données projet'!$A$88,'Données projet'!$B$88,BD35+BC36-BL35)))</f>
        <v>306.91000000000003</v>
      </c>
      <c r="BE36" s="13">
        <f>BD36*VLOOKUP('Données projet'!$B$11,Paramètres!$A$1:$I$89,3,0)*VLOOKUP('Données projet'!$B$11,Paramètres!$A$1:$I$89,5,0)</f>
        <v>143.63388</v>
      </c>
      <c r="BF36" s="13">
        <f t="shared" si="37"/>
        <v>37.12823078041712</v>
      </c>
      <c r="BG36" s="20">
        <f t="shared" si="7"/>
        <v>314.82734294255977</v>
      </c>
      <c r="BH36" s="59">
        <f t="shared" si="8"/>
        <v>608.16067627589314</v>
      </c>
      <c r="BI36" s="59">
        <f ca="1">AVERAGE(OFFSET($BH$3,0,0,'Données projet'!$E$11+1,1))-AVERAGE(OFFSET($H$3,0,0,'Données projet'!$E$11+1,1))</f>
        <v>227.19831549982962</v>
      </c>
      <c r="BJ36" s="59">
        <f t="shared" si="38"/>
        <v>309.84543033784564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12.684510587014939</v>
      </c>
      <c r="BQ36" s="21">
        <f>EXP(-LN(2)/25)*BQ35+(1-EXP(-LN(2)/25))/(LN(2)/25)*Calculateur!BL36*Calculateur!BN36*VLOOKUP('Données projet'!$B$11,Paramètres!$A$1:$I$89,3,0)*0.475*44/12</f>
        <v>17.983007990648861</v>
      </c>
      <c r="BR36" s="21">
        <f>EXP(-LN(2)/2)*BR35+(1-EXP(-LN(2)/2))/(LN(2)/2)*BL36*BO36*VLOOKUP('Données projet'!$B$11,Paramètres!$A$1:$I$89,3,0)*0.475*44/12</f>
        <v>7.6965525527302683</v>
      </c>
      <c r="BS36" s="22">
        <f t="shared" si="9"/>
        <v>38.364071130394066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5.512820512820511</v>
      </c>
      <c r="BY36" s="12">
        <f>IF('Données projet'!$A$114&gt;35,BY35+BX36-CG35,IF(A36&lt;'Données projet'!$A$114,$BV$205^A36,IF(A36='Données projet'!$A$114,'Données projet'!$B$114,BY35+BX36-CG35)))</f>
        <v>105</v>
      </c>
      <c r="BZ36" s="13">
        <f>BY36*VLOOKUP('Données projet'!$B$12,Paramètres!$A$1:$I$89,3,0)*VLOOKUP('Données projet'!$B$12,Paramètres!$A$1:$I$89,5,0)</f>
        <v>68.796000000000006</v>
      </c>
      <c r="CA36" s="13">
        <f t="shared" si="39"/>
        <v>19.374160697102734</v>
      </c>
      <c r="CB36" s="20">
        <f t="shared" si="10"/>
        <v>153.56302988078727</v>
      </c>
      <c r="CC36" s="59">
        <f t="shared" si="11"/>
        <v>446.89636321412058</v>
      </c>
      <c r="CD36" s="59">
        <f ca="1">AVERAGE(OFFSET($CC$3,0,0,'Données projet'!$E$12+1,1))-AVERAGE(OFFSET($H$3,0,0,'Données projet'!$E$12+1,1))</f>
        <v>91.274378490051788</v>
      </c>
      <c r="CE36" s="59">
        <f t="shared" si="40"/>
        <v>126.60105012427914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2.3822358540496338</v>
      </c>
      <c r="CM36" s="21">
        <f>EXP(-LN(2)/2)*CM35+(1-EXP(-LN(2)/2))/(LN(2)/2)*CG36*CJ36*VLOOKUP('Données projet'!$B$12,Paramètres!$A$1:$I$89,3,0)*0.475*44/12</f>
        <v>0.94739676613363555</v>
      </c>
      <c r="CN36" s="22">
        <f t="shared" si="12"/>
        <v>3.3296326201832693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28.665000000000003</v>
      </c>
      <c r="N37" s="13">
        <f>IF('Données projet'!$A$36&gt;35,N36+M37-V36,IF(A37&lt;'Données projet'!$A$36,$K$205^A37,IF(A37='Données projet'!$A$36,'Données projet'!$B$36,N36+M37-V36)))</f>
        <v>444.36</v>
      </c>
      <c r="O37" s="13">
        <f>N37*VLOOKUP('Données projet'!$B$9,Paramètres!$A$1:$I$89,3,0)*VLOOKUP('Données projet'!$B$9,Paramètres!$A$1:$I$89,5,0)</f>
        <v>248.39724000000001</v>
      </c>
      <c r="P37" s="13">
        <f t="shared" si="33"/>
        <v>60.242605556132105</v>
      </c>
      <c r="Q37" s="20">
        <f t="shared" si="53"/>
        <v>537.54773101026342</v>
      </c>
      <c r="R37" s="59">
        <f t="shared" si="0"/>
        <v>830.88106434359679</v>
      </c>
      <c r="S37" s="59">
        <f ca="1">AVERAGE(OFFSET($R$3,0,0,'Données projet'!$E$9+1,1))-AVERAGE(OFFSET($H$3,0,0,'Données projet'!$E$9+1,1))</f>
        <v>350.09239406910712</v>
      </c>
      <c r="T37" s="59">
        <f t="shared" si="34"/>
        <v>473.30663081727369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28.166857681008494</v>
      </c>
      <c r="AA37" s="21">
        <f>EXP(-LN(2)/25)*AA36+(1-EXP(-LN(2)/25))/(LN(2)/25)*Calculateur!V37*Calculateur!X37*VLOOKUP('Données projet'!$B$9,Paramètres!$A$1:$I$89,3,0)*0.475*44/12</f>
        <v>18.962660712521799</v>
      </c>
      <c r="AB37" s="21">
        <f>EXP(-LN(2)/2)*AB36+(1-EXP(-LN(2)/2))/(LN(2)/2)*V37*Y37*VLOOKUP('Données projet'!$B$9,Paramètres!$A$1:$I$89,3,0)*0.475*44/12</f>
        <v>3.0196199315221701</v>
      </c>
      <c r="AC37" s="22">
        <f t="shared" si="3"/>
        <v>50.149138325052462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179.4725256147085</v>
      </c>
      <c r="AO37" s="59">
        <f t="shared" si="36"/>
        <v>282.16750121151176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21.849455929536351</v>
      </c>
      <c r="AV37" s="21">
        <f>EXP(-LN(2)/25)*AV36+(1-EXP(-LN(2)/25))/(LN(2)/25)*Calculateur!AQ37*Calculateur!AS37*VLOOKUP('Données projet'!$B$10,Paramètres!$A$1:$I$89,3,0)*0.475*44/12</f>
        <v>14.384429364743633</v>
      </c>
      <c r="AW37" s="21">
        <f>EXP(-LN(2)/2)*AW36+(1-EXP(-LN(2)/2))/(LN(2)/2)*AQ37*AT37*VLOOKUP('Données projet'!$B$10,Paramètres!$A$1:$I$89,3,0)*0.475*44/12</f>
        <v>2.2136620069357078</v>
      </c>
      <c r="AX37" s="21">
        <f t="shared" si="6"/>
        <v>38.447547301215693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25.56</v>
      </c>
      <c r="BD37" s="12">
        <f>IF('Données projet'!$A$88&gt;35,BD36+BC37-BL36,IF(A37&lt;'Données projet'!$A$88,$BA$205^A37,IF(A37='Données projet'!$A$88,'Données projet'!$B$88,BD36+BC37-BL36)))</f>
        <v>332.47</v>
      </c>
      <c r="BE37" s="13">
        <f>BD37*VLOOKUP('Données projet'!$B$11,Paramètres!$A$1:$I$89,3,0)*VLOOKUP('Données projet'!$B$11,Paramètres!$A$1:$I$89,5,0)</f>
        <v>155.59595999999999</v>
      </c>
      <c r="BF37" s="13">
        <f t="shared" si="37"/>
        <v>39.847564044103592</v>
      </c>
      <c r="BG37" s="20">
        <f t="shared" si="7"/>
        <v>340.39747104348038</v>
      </c>
      <c r="BH37" s="59">
        <f t="shared" si="8"/>
        <v>633.73080437681369</v>
      </c>
      <c r="BI37" s="59">
        <f ca="1">AVERAGE(OFFSET($BH$3,0,0,'Données projet'!$E$11+1,1))-AVERAGE(OFFSET($H$3,0,0,'Données projet'!$E$11+1,1))</f>
        <v>227.19831549982962</v>
      </c>
      <c r="BJ37" s="59">
        <f t="shared" si="38"/>
        <v>309.84543033784564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12.43577507119109</v>
      </c>
      <c r="BQ37" s="21">
        <f>EXP(-LN(2)/25)*BQ36+(1-EXP(-LN(2)/25))/(LN(2)/25)*Calculateur!BL37*Calculateur!BN37*VLOOKUP('Données projet'!$B$11,Paramètres!$A$1:$I$89,3,0)*0.475*44/12</f>
        <v>17.491261691459279</v>
      </c>
      <c r="BR37" s="21">
        <f>EXP(-LN(2)/2)*BR36+(1-EXP(-LN(2)/2))/(LN(2)/2)*BL37*BO37*VLOOKUP('Données projet'!$B$11,Paramètres!$A$1:$I$89,3,0)*0.475*44/12</f>
        <v>5.4422845017942061</v>
      </c>
      <c r="BS37" s="22">
        <f t="shared" si="9"/>
        <v>35.369321264444572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5.512820512820511</v>
      </c>
      <c r="BY37" s="12">
        <f>IF('Données projet'!$A$114&gt;35,BY36+BX37-CG36,IF(A37&lt;'Données projet'!$A$114,$BV$205^A37,IF(A37='Données projet'!$A$114,'Données projet'!$B$114,BY36+BX37-CG36)))</f>
        <v>110.51282051282051</v>
      </c>
      <c r="BZ37" s="13">
        <f>BY37*VLOOKUP('Données projet'!$B$12,Paramètres!$A$1:$I$89,3,0)*VLOOKUP('Données projet'!$B$12,Paramètres!$A$1:$I$89,5,0)</f>
        <v>72.408000000000001</v>
      </c>
      <c r="CA37" s="13">
        <f t="shared" si="39"/>
        <v>20.270266666655246</v>
      </c>
      <c r="CB37" s="20">
        <f t="shared" si="10"/>
        <v>161.41464777775786</v>
      </c>
      <c r="CC37" s="59">
        <f t="shared" si="11"/>
        <v>454.74798111109118</v>
      </c>
      <c r="CD37" s="59">
        <f ca="1">AVERAGE(OFFSET($CC$3,0,0,'Données projet'!$E$12+1,1))-AVERAGE(OFFSET($H$3,0,0,'Données projet'!$E$12+1,1))</f>
        <v>91.274378490051788</v>
      </c>
      <c r="CE37" s="59">
        <f t="shared" si="40"/>
        <v>126.60105012427914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2.3170934893443076</v>
      </c>
      <c r="CM37" s="21">
        <f>EXP(-LN(2)/2)*CM36+(1-EXP(-LN(2)/2))/(LN(2)/2)*CG37*CJ37*VLOOKUP('Données projet'!$B$12,Paramètres!$A$1:$I$89,3,0)*0.475*44/12</f>
        <v>0.6699106778072994</v>
      </c>
      <c r="CN37" s="22">
        <f t="shared" si="12"/>
        <v>2.987004167151607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28.665000000000003</v>
      </c>
      <c r="N38" s="13">
        <f>IF('Données projet'!$A$36&gt;35,N37+M38-V37,IF(A38&lt;'Données projet'!$A$36,$K$205^A38,IF(A38='Données projet'!$A$36,'Données projet'!$B$36,N37+M38-V37)))</f>
        <v>473.02500000000003</v>
      </c>
      <c r="O38" s="13">
        <f>N38*VLOOKUP('Données projet'!$B$9,Paramètres!$A$1:$I$89,3,0)*VLOOKUP('Données projet'!$B$9,Paramètres!$A$1:$I$89,5,0)</f>
        <v>264.42097500000006</v>
      </c>
      <c r="P38" s="13">
        <f t="shared" si="33"/>
        <v>63.663824429364396</v>
      </c>
      <c r="Q38" s="20">
        <f t="shared" si="53"/>
        <v>571.41435900614306</v>
      </c>
      <c r="R38" s="59">
        <f t="shared" si="0"/>
        <v>864.74769233947632</v>
      </c>
      <c r="S38" s="59">
        <f ca="1">AVERAGE(OFFSET($R$3,0,0,'Données projet'!$E$9+1,1))-AVERAGE(OFFSET($H$3,0,0,'Données projet'!$E$9+1,1))</f>
        <v>350.09239406910712</v>
      </c>
      <c r="T38" s="59">
        <f t="shared" si="34"/>
        <v>473.30663081727369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27.61452278197071</v>
      </c>
      <c r="AA38" s="21">
        <f>EXP(-LN(2)/25)*AA37+(1-EXP(-LN(2)/25))/(LN(2)/25)*Calculateur!V38*Calculateur!X38*VLOOKUP('Données projet'!$B$9,Paramètres!$A$1:$I$89,3,0)*0.475*44/12</f>
        <v>18.444125758134902</v>
      </c>
      <c r="AB38" s="21">
        <f>EXP(-LN(2)/2)*AB37+(1-EXP(-LN(2)/2))/(LN(2)/2)*V38*Y38*VLOOKUP('Données projet'!$B$9,Paramètres!$A$1:$I$89,3,0)*0.475*44/12</f>
        <v>2.1351937301853847</v>
      </c>
      <c r="AC38" s="22">
        <f t="shared" si="3"/>
        <v>48.193842270290993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179.4725256147085</v>
      </c>
      <c r="AO38" s="59">
        <f t="shared" si="36"/>
        <v>282.16750121151176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21.421001425610342</v>
      </c>
      <c r="AV38" s="21">
        <f>EXP(-LN(2)/25)*AV37+(1-EXP(-LN(2)/25))/(LN(2)/25)*Calculateur!AQ38*Calculateur!AS38*VLOOKUP('Données projet'!$B$10,Paramètres!$A$1:$I$89,3,0)*0.475*44/12</f>
        <v>13.991086387320454</v>
      </c>
      <c r="AW38" s="21">
        <f>EXP(-LN(2)/2)*AW37+(1-EXP(-LN(2)/2))/(LN(2)/2)*AQ38*AT38*VLOOKUP('Données projet'!$B$10,Paramètres!$A$1:$I$89,3,0)*0.475*44/12</f>
        <v>1.5652954163592614</v>
      </c>
      <c r="AX38" s="21">
        <f t="shared" si="6"/>
        <v>36.977383229290055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25.56</v>
      </c>
      <c r="BD38" s="12">
        <f>IF('Données projet'!$A$88&gt;35,BD37+BC38-BL37,IF(A38&lt;'Données projet'!$A$88,$BA$205^A38,IF(A38='Données projet'!$A$88,'Données projet'!$B$88,BD37+BC38-BL37)))</f>
        <v>358.03000000000003</v>
      </c>
      <c r="BE38" s="13">
        <f>BD38*VLOOKUP('Données projet'!$B$11,Paramètres!$A$1:$I$89,3,0)*VLOOKUP('Données projet'!$B$11,Paramètres!$A$1:$I$89,5,0)</f>
        <v>167.55804000000003</v>
      </c>
      <c r="BF38" s="13">
        <f t="shared" si="37"/>
        <v>42.542646085873763</v>
      </c>
      <c r="BG38" s="20">
        <f t="shared" si="7"/>
        <v>365.92536159956353</v>
      </c>
      <c r="BH38" s="59">
        <f t="shared" si="8"/>
        <v>659.25869493289679</v>
      </c>
      <c r="BI38" s="59">
        <f ca="1">AVERAGE(OFFSET($BH$3,0,0,'Données projet'!$E$11+1,1))-AVERAGE(OFFSET($H$3,0,0,'Données projet'!$E$11+1,1))</f>
        <v>227.19831549982962</v>
      </c>
      <c r="BJ38" s="59">
        <f t="shared" si="38"/>
        <v>309.84543033784564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12.191917107118861</v>
      </c>
      <c r="BQ38" s="21">
        <f>EXP(-LN(2)/25)*BQ37+(1-EXP(-LN(2)/25))/(LN(2)/25)*Calculateur!BL38*Calculateur!BN38*VLOOKUP('Données projet'!$B$11,Paramètres!$A$1:$I$89,3,0)*0.475*44/12</f>
        <v>17.012962220680848</v>
      </c>
      <c r="BR38" s="21">
        <f>EXP(-LN(2)/2)*BR37+(1-EXP(-LN(2)/2))/(LN(2)/2)*BL38*BO38*VLOOKUP('Données projet'!$B$11,Paramètres!$A$1:$I$89,3,0)*0.475*44/12</f>
        <v>3.8482762763651346</v>
      </c>
      <c r="BS38" s="22">
        <f t="shared" si="9"/>
        <v>33.053155604164843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116.02564102564102</v>
      </c>
      <c r="BW38" s="12">
        <f>VLOOKUP(A38,'Données projet'!$A$113:$I$133,9,0)</f>
        <v>5.512820512820511</v>
      </c>
      <c r="BX38" s="12">
        <f t="array" ref="BX38">INDEX(BW:BW,MIN(IF(ISNUMBER(BW38:BW234),ROW(BW38:BW234),"")))</f>
        <v>5.512820512820511</v>
      </c>
      <c r="BY38" s="12">
        <f>IF('Données projet'!$A$114&gt;35,BY37+BX38-CG37,IF(A38&lt;'Données projet'!$A$114,$BV$205^A38,IF(A38='Données projet'!$A$114,'Données projet'!$B$114,BY37+BX38-CG37)))</f>
        <v>116.02564102564102</v>
      </c>
      <c r="BZ38" s="13">
        <f>BY38*VLOOKUP('Données projet'!$B$12,Paramètres!$A$1:$I$89,3,0)*VLOOKUP('Données projet'!$B$12,Paramètres!$A$1:$I$89,5,0)</f>
        <v>76.02</v>
      </c>
      <c r="CA38" s="13">
        <f t="shared" si="39"/>
        <v>21.161182204399836</v>
      </c>
      <c r="CB38" s="20">
        <f t="shared" si="10"/>
        <v>169.25722567266303</v>
      </c>
      <c r="CC38" s="59">
        <f t="shared" si="11"/>
        <v>462.59055900599634</v>
      </c>
      <c r="CD38" s="59">
        <f ca="1">AVERAGE(OFFSET($CC$3,0,0,'Données projet'!$E$12+1,1))-AVERAGE(OFFSET($H$3,0,0,'Données projet'!$E$12+1,1))</f>
        <v>91.274378490051788</v>
      </c>
      <c r="CE38" s="59">
        <f t="shared" si="40"/>
        <v>126.60105012427914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16.025641025641026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0.1075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3.4966190740933323</v>
      </c>
      <c r="CM38" s="21">
        <f>EXP(-LN(2)/2)*CM37+(1-EXP(-LN(2)/2))/(LN(2)/2)*CG38*CJ38*VLOOKUP('Données projet'!$B$12,Paramètres!$A$1:$I$89,3,0)*0.475*44/12</f>
        <v>2.9504565339059616</v>
      </c>
      <c r="CN38" s="22">
        <f t="shared" si="12"/>
        <v>6.4470756079992935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28.665000000000003</v>
      </c>
      <c r="M39" s="12">
        <f t="array" ref="M39">INDEX(L:L,MIN(IF(ISNUMBER(L39:L235),ROW(L39:L235),"")))</f>
        <v>28.665000000000003</v>
      </c>
      <c r="N39" s="13">
        <f>IF('Données projet'!$A$36&gt;35,N38+M39-V38,IF(A39&lt;'Données projet'!$A$36,$K$205^A39,IF(A39='Données projet'!$A$36,'Données projet'!$B$36,N38+M39-V38)))</f>
        <v>501.69000000000005</v>
      </c>
      <c r="O39" s="13">
        <f>N39*VLOOKUP('Données projet'!$B$9,Paramètres!$A$1:$I$89,3,0)*VLOOKUP('Données projet'!$B$9,Paramètres!$A$1:$I$89,5,0)</f>
        <v>280.44471000000004</v>
      </c>
      <c r="P39" s="13">
        <f t="shared" si="33"/>
        <v>67.06098020598759</v>
      </c>
      <c r="Q39" s="20">
        <f t="shared" si="53"/>
        <v>605.23907710876176</v>
      </c>
      <c r="R39" s="59">
        <f t="shared" si="0"/>
        <v>898.57241044209513</v>
      </c>
      <c r="S39" s="59">
        <f ca="1">AVERAGE(OFFSET($R$3,0,0,'Données projet'!$E$9+1,1))-AVERAGE(OFFSET($H$3,0,0,'Données projet'!$E$9+1,1))</f>
        <v>350.09239406910712</v>
      </c>
      <c r="T39" s="59">
        <f t="shared" si="34"/>
        <v>473.30663081727369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85.910000000000025</v>
      </c>
      <c r="W39" s="16">
        <f>IF(ISNA(VLOOKUP(A39,'Données projet'!$A$35:$I$55,5,0)),0%,VLOOKUP(A39,'Données projet'!$A$35:$I$55,5,0)*VLOOKUP('Données projet'!$B$9,Paramètres!$A$1:$I$89,7,0))</f>
        <v>0.33</v>
      </c>
      <c r="X39" s="16">
        <f>IF(ISNA(VLOOKUP(A39,'Données projet'!$A$35:$I$55,6,0)),0%,VLOOKUP(A39,'Données projet'!$A$35:$I$55,6,0)*VLOOKUP('Données projet'!$B$9,Paramètres!$A$1:$I$89,7,0))</f>
        <v>0.11000000000000001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48.09617049051765</v>
      </c>
      <c r="AA39" s="21">
        <f>EXP(-LN(2)/25)*AA38+(1-EXP(-LN(2)/25))/(LN(2)/25)*Calculateur!V39*Calculateur!X39*VLOOKUP('Données projet'!$B$9,Paramètres!$A$1:$I$89,3,0)*0.475*44/12</f>
        <v>24.919895335538552</v>
      </c>
      <c r="AB39" s="21">
        <f>EXP(-LN(2)/2)*AB38+(1-EXP(-LN(2)/2))/(LN(2)/2)*V39*Y39*VLOOKUP('Données projet'!$B$9,Paramètres!$A$1:$I$89,3,0)*0.475*44/12</f>
        <v>12.38460453864084</v>
      </c>
      <c r="AC39" s="22">
        <f t="shared" si="3"/>
        <v>85.400670364697049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179.4725256147085</v>
      </c>
      <c r="AO39" s="59">
        <f t="shared" si="36"/>
        <v>282.16750121151176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0.36</v>
      </c>
      <c r="AS39" s="16">
        <f>IF(ISNA(VLOOKUP(A39,'Données projet'!$A$61:$I$81,6,0)),0%,VLOOKUP(A39,'Données projet'!$A$61:$I$81,6,0)*VLOOKUP('Données projet'!$B$10,Paramètres!$A$1:$I$89,7,0))</f>
        <v>0.12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39.476913887911053</v>
      </c>
      <c r="AV39" s="21">
        <f>EXP(-LN(2)/25)*AV38+(1-EXP(-LN(2)/25))/(LN(2)/25)*Calculateur!AQ39*Calculateur!AS39*VLOOKUP('Données projet'!$B$10,Paramètres!$A$1:$I$89,3,0)*0.475*44/12</f>
        <v>19.742905500870702</v>
      </c>
      <c r="AW39" s="21">
        <f>EXP(-LN(2)/2)*AW38+(1-EXP(-LN(2)/2))/(LN(2)/2)*AQ39*AT39*VLOOKUP('Données projet'!$B$10,Paramètres!$A$1:$I$89,3,0)*0.475*44/12</f>
        <v>9.8675916288086363</v>
      </c>
      <c r="AX39" s="21">
        <f t="shared" si="6"/>
        <v>69.087411017590398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383.59</v>
      </c>
      <c r="BB39" s="12">
        <f>VLOOKUP(A39,'Données projet'!$A$87:$I$107,9,0)</f>
        <v>25.56</v>
      </c>
      <c r="BC39" s="12">
        <f t="array" ref="BC39">INDEX(BB:BB,MIN(IF(ISNUMBER(BB39:BB235),ROW(BB39:BB235),"")))</f>
        <v>25.56</v>
      </c>
      <c r="BD39" s="12">
        <f>IF('Données projet'!$A$88&gt;35,BD38+BC39-BL38,IF(A39&lt;'Données projet'!$A$88,$BA$205^A39,IF(A39='Données projet'!$A$88,'Données projet'!$B$88,BD38+BC39-BL38)))</f>
        <v>383.59000000000003</v>
      </c>
      <c r="BE39" s="13">
        <f>BD39*VLOOKUP('Données projet'!$B$11,Paramètres!$A$1:$I$89,3,0)*VLOOKUP('Données projet'!$B$11,Paramètres!$A$1:$I$89,5,0)</f>
        <v>179.52011999999999</v>
      </c>
      <c r="BF39" s="13">
        <f t="shared" si="37"/>
        <v>45.215405125668703</v>
      </c>
      <c r="BG39" s="20">
        <f t="shared" si="7"/>
        <v>391.41437292720633</v>
      </c>
      <c r="BH39" s="59">
        <f t="shared" si="8"/>
        <v>684.74770626053964</v>
      </c>
      <c r="BI39" s="59">
        <f ca="1">AVERAGE(OFFSET($BH$3,0,0,'Données projet'!$E$11+1,1))-AVERAGE(OFFSET($H$3,0,0,'Données projet'!$E$11+1,1))</f>
        <v>227.19831549982962</v>
      </c>
      <c r="BJ39" s="59">
        <f t="shared" si="38"/>
        <v>309.84543033784564</v>
      </c>
      <c r="BK39" s="15">
        <f>IF(ISNA(VLOOKUP(A39,'Données projet'!$A$87:$I$107,3,0)),0,VLOOKUP(A39,'Données projet'!$A$87:$I$107,3,0))</f>
        <v>3</v>
      </c>
      <c r="BL39" s="15">
        <f>IF(ISNA(VLOOKUP(A39,'Données projet'!$A$87:$I$107,4,0)),0,VLOOKUP(A39,'Données projet'!$A$87:$I$107,4,0))</f>
        <v>95.659999999999968</v>
      </c>
      <c r="BM39" s="16">
        <f>IF(ISNA(VLOOKUP(A39,'Données projet'!$A$87:$I$107,5,0)),0%,VLOOKUP(A39,'Données projet'!$A$87:$I$107,5,0)*VLOOKUP('Données projet'!$B$11,Paramètres!$A$1:$I$89,7,0))</f>
        <v>0.33</v>
      </c>
      <c r="BN39" s="16">
        <f>IF(ISNA(VLOOKUP(A39,'Données projet'!$A$87:$I$107,6,0)),0%,VLOOKUP(A39,'Données projet'!$A$87:$I$107,6,0)*VLOOKUP('Données projet'!$B$11,Paramètres!$A$1:$I$89,7,0))</f>
        <v>0.11000000000000001</v>
      </c>
      <c r="BO39" s="16">
        <f>IF(ISNA(VLOOKUP(A39,'Données projet'!$A$87:$I$107,7,0)),0%,VLOOKUP(A39,'Données projet'!$A$87:$I$107,7,0))</f>
        <v>0.2</v>
      </c>
      <c r="BP39" s="21">
        <f>EXP(-LN(2)/35)*BP38+(1-EXP(-LN(2)/35))/(LN(2)/35)*BL39*BM39*VLOOKUP('Données projet'!$B$11,Paramètres!$A$1:$I$89,3,0)*0.475*44/12</f>
        <v>31.551146671869994</v>
      </c>
      <c r="BQ39" s="21">
        <f>EXP(-LN(2)/25)*BQ38+(1-EXP(-LN(2)/25))/(LN(2)/25)*Calculateur!BL39*Calculateur!BN39*VLOOKUP('Données projet'!$B$11,Paramètres!$A$1:$I$89,3,0)*0.475*44/12</f>
        <v>23.05478841611999</v>
      </c>
      <c r="BR39" s="21">
        <f>EXP(-LN(2)/2)*BR38+(1-EXP(-LN(2)/2))/(LN(2)/2)*BL39*BO39*VLOOKUP('Données projet'!$B$11,Paramètres!$A$1:$I$89,3,0)*0.475*44/12</f>
        <v>12.858896622914429</v>
      </c>
      <c r="BS39" s="22">
        <f t="shared" si="9"/>
        <v>67.464831710904406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</v>
      </c>
      <c r="BY39" s="12">
        <f>IF('Données projet'!$A$114&gt;35,BY38+BX39-CG38,IF(A39&lt;'Données projet'!$A$114,$BV$205^A39,IF(A39='Données projet'!$A$114,'Données projet'!$B$114,BY38+BX39-CG38)))</f>
        <v>105</v>
      </c>
      <c r="BZ39" s="13">
        <f>BY39*VLOOKUP('Données projet'!$B$12,Paramètres!$A$1:$I$89,3,0)*VLOOKUP('Données projet'!$B$12,Paramètres!$A$1:$I$89,5,0)</f>
        <v>68.796000000000006</v>
      </c>
      <c r="CA39" s="13">
        <f t="shared" si="39"/>
        <v>19.374160697102734</v>
      </c>
      <c r="CB39" s="20">
        <f t="shared" si="10"/>
        <v>153.56302988078727</v>
      </c>
      <c r="CC39" s="59">
        <f t="shared" si="11"/>
        <v>446.89636321412058</v>
      </c>
      <c r="CD39" s="59">
        <f ca="1">AVERAGE(OFFSET($CC$3,0,0,'Données projet'!$E$12+1,1))-AVERAGE(OFFSET($H$3,0,0,'Données projet'!$E$12+1,1))</f>
        <v>91.274378490051788</v>
      </c>
      <c r="CE39" s="59">
        <f t="shared" si="40"/>
        <v>126.60105012427914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3.4010038416330448</v>
      </c>
      <c r="CM39" s="21">
        <f>EXP(-LN(2)/2)*CM38+(1-EXP(-LN(2)/2))/(LN(2)/2)*CG39*CJ39*VLOOKUP('Données projet'!$B$12,Paramètres!$A$1:$I$89,3,0)*0.475*44/12</f>
        <v>2.0862878227210624</v>
      </c>
      <c r="CN39" s="22">
        <f t="shared" si="12"/>
        <v>5.4872916643541068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28.09833333333334</v>
      </c>
      <c r="N40" s="13">
        <f>IF('Données projet'!$A$36&gt;35,N39+M40-V39,IF(A40&lt;'Données projet'!$A$36,$K$205^A40,IF(A40='Données projet'!$A$36,'Données projet'!$B$36,N39+M40-V39)))</f>
        <v>443.87833333333339</v>
      </c>
      <c r="O40" s="13">
        <f>N40*VLOOKUP('Données projet'!$B$9,Paramètres!$A$1:$I$89,3,0)*VLOOKUP('Données projet'!$B$9,Paramètres!$A$1:$I$89,5,0)</f>
        <v>248.12798833333338</v>
      </c>
      <c r="P40" s="13">
        <f t="shared" si="33"/>
        <v>60.184902542301558</v>
      </c>
      <c r="Q40" s="20">
        <f t="shared" si="53"/>
        <v>536.97828494173086</v>
      </c>
      <c r="R40" s="59">
        <f t="shared" si="0"/>
        <v>830.31161827506412</v>
      </c>
      <c r="S40" s="59">
        <f ca="1">AVERAGE(OFFSET($R$3,0,0,'Données projet'!$E$9+1,1))-AVERAGE(OFFSET($H$3,0,0,'Données projet'!$E$9+1,1))</f>
        <v>350.09239406910712</v>
      </c>
      <c r="T40" s="59">
        <f t="shared" si="34"/>
        <v>473.30663081727369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47.153033922965932</v>
      </c>
      <c r="AA40" s="21">
        <f>EXP(-LN(2)/25)*AA39+(1-EXP(-LN(2)/25))/(LN(2)/25)*Calculateur!V40*Calculateur!X40*VLOOKUP('Données projet'!$B$9,Paramètres!$A$1:$I$89,3,0)*0.475*44/12</f>
        <v>24.23845948710791</v>
      </c>
      <c r="AB40" s="21">
        <f>EXP(-LN(2)/2)*AB39+(1-EXP(-LN(2)/2))/(LN(2)/2)*V40*Y40*VLOOKUP('Données projet'!$B$9,Paramètres!$A$1:$I$89,3,0)*0.475*44/12</f>
        <v>8.7572378515866323</v>
      </c>
      <c r="AC40" s="22">
        <f t="shared" si="3"/>
        <v>80.148731261660487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179.4725256147085</v>
      </c>
      <c r="AO40" s="59">
        <f t="shared" si="36"/>
        <v>282.16750121151176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38.702795685109031</v>
      </c>
      <c r="AV40" s="21">
        <f>EXP(-LN(2)/25)*AV39+(1-EXP(-LN(2)/25))/(LN(2)/25)*Calculateur!AQ40*Calculateur!AS40*VLOOKUP('Données projet'!$B$10,Paramètres!$A$1:$I$89,3,0)*0.475*44/12</f>
        <v>19.203034711715116</v>
      </c>
      <c r="AW40" s="21">
        <f>EXP(-LN(2)/2)*AW39+(1-EXP(-LN(2)/2))/(LN(2)/2)*AQ40*AT40*VLOOKUP('Données projet'!$B$10,Paramètres!$A$1:$I$89,3,0)*0.475*44/12</f>
        <v>6.9774409547101968</v>
      </c>
      <c r="AX40" s="21">
        <f t="shared" si="6"/>
        <v>64.883271351534347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24.413333333333338</v>
      </c>
      <c r="BD40" s="12">
        <f>IF('Données projet'!$A$88&gt;35,BD39+BC40-BL39,IF(A40&lt;'Données projet'!$A$88,$BA$205^A40,IF(A40='Données projet'!$A$88,'Données projet'!$B$88,BD39+BC40-BL39)))</f>
        <v>312.34333333333342</v>
      </c>
      <c r="BE40" s="13">
        <f>BD40*VLOOKUP('Données projet'!$B$11,Paramètres!$A$1:$I$89,3,0)*VLOOKUP('Données projet'!$B$11,Paramètres!$A$1:$I$89,5,0)</f>
        <v>146.17668000000003</v>
      </c>
      <c r="BF40" s="13">
        <f t="shared" si="37"/>
        <v>37.708421124704202</v>
      </c>
      <c r="BG40" s="20">
        <f t="shared" si="7"/>
        <v>320.26655112552652</v>
      </c>
      <c r="BH40" s="59">
        <f t="shared" si="8"/>
        <v>613.59988445885983</v>
      </c>
      <c r="BI40" s="59">
        <f ca="1">AVERAGE(OFFSET($BH$3,0,0,'Données projet'!$E$11+1,1))-AVERAGE(OFFSET($H$3,0,0,'Données projet'!$E$11+1,1))</f>
        <v>227.19831549982962</v>
      </c>
      <c r="BJ40" s="59">
        <f t="shared" si="38"/>
        <v>309.84543033784564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30.932447929933875</v>
      </c>
      <c r="BQ40" s="21">
        <f>EXP(-LN(2)/25)*BQ39+(1-EXP(-LN(2)/25))/(LN(2)/25)*Calculateur!BL40*Calculateur!BN40*VLOOKUP('Données projet'!$B$11,Paramètres!$A$1:$I$89,3,0)*0.475*44/12</f>
        <v>22.42435401448256</v>
      </c>
      <c r="BR40" s="21">
        <f>EXP(-LN(2)/2)*BR39+(1-EXP(-LN(2)/2))/(LN(2)/2)*BL40*BO40*VLOOKUP('Données projet'!$B$11,Paramètres!$A$1:$I$89,3,0)*0.475*44/12</f>
        <v>9.092613000639588</v>
      </c>
      <c r="BS40" s="22">
        <f t="shared" si="9"/>
        <v>62.44941494505602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</v>
      </c>
      <c r="BY40" s="12">
        <f>IF('Données projet'!$A$114&gt;35,BY39+BX40-CG39,IF(A40&lt;'Données projet'!$A$114,$BV$205^A40,IF(A40='Données projet'!$A$114,'Données projet'!$B$114,BY39+BX40-CG39)))</f>
        <v>110</v>
      </c>
      <c r="BZ40" s="13">
        <f>BY40*VLOOKUP('Données projet'!$B$12,Paramètres!$A$1:$I$89,3,0)*VLOOKUP('Données projet'!$B$12,Paramètres!$A$1:$I$89,5,0)</f>
        <v>72.072000000000003</v>
      </c>
      <c r="CA40" s="13">
        <f t="shared" si="39"/>
        <v>20.187131385147271</v>
      </c>
      <c r="CB40" s="20">
        <f t="shared" si="10"/>
        <v>160.68465382913149</v>
      </c>
      <c r="CC40" s="59">
        <f t="shared" si="11"/>
        <v>454.01798716246481</v>
      </c>
      <c r="CD40" s="59">
        <f ca="1">AVERAGE(OFFSET($CC$3,0,0,'Données projet'!$E$12+1,1))-AVERAGE(OFFSET($H$3,0,0,'Données projet'!$E$12+1,1))</f>
        <v>91.274378490051788</v>
      </c>
      <c r="CE40" s="59">
        <f t="shared" si="40"/>
        <v>126.60105012427914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3.3080032127325705</v>
      </c>
      <c r="CM40" s="21">
        <f>EXP(-LN(2)/2)*CM39+(1-EXP(-LN(2)/2))/(LN(2)/2)*CG40*CJ40*VLOOKUP('Données projet'!$B$12,Paramètres!$A$1:$I$89,3,0)*0.475*44/12</f>
        <v>1.475228266952981</v>
      </c>
      <c r="CN40" s="22">
        <f t="shared" si="12"/>
        <v>4.7832314796855515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28.09833333333334</v>
      </c>
      <c r="N41" s="13">
        <f>IF('Données projet'!$A$36&gt;35,N40+M41-V40,IF(A41&lt;'Données projet'!$A$36,$K$205^A41,IF(A41='Données projet'!$A$36,'Données projet'!$B$36,N40+M41-V40)))</f>
        <v>471.97666666666674</v>
      </c>
      <c r="O41" s="13">
        <f>N41*VLOOKUP('Données projet'!$B$9,Paramètres!$A$1:$I$89,3,0)*VLOOKUP('Données projet'!$B$9,Paramètres!$A$1:$I$89,5,0)</f>
        <v>263.83495666666676</v>
      </c>
      <c r="P41" s="13">
        <f t="shared" si="33"/>
        <v>63.539137826670206</v>
      </c>
      <c r="Q41" s="20">
        <f t="shared" si="53"/>
        <v>570.17654790922836</v>
      </c>
      <c r="R41" s="59">
        <f t="shared" si="0"/>
        <v>863.50988124256173</v>
      </c>
      <c r="S41" s="59">
        <f ca="1">AVERAGE(OFFSET($R$3,0,0,'Données projet'!$E$9+1,1))-AVERAGE(OFFSET($H$3,0,0,'Données projet'!$E$9+1,1))</f>
        <v>350.09239406910712</v>
      </c>
      <c r="T41" s="59">
        <f t="shared" si="34"/>
        <v>473.30663081727369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46.228391688247399</v>
      </c>
      <c r="AA41" s="21">
        <f>EXP(-LN(2)/25)*AA40+(1-EXP(-LN(2)/25))/(LN(2)/25)*Calculateur!V41*Calculateur!X41*VLOOKUP('Données projet'!$B$9,Paramètres!$A$1:$I$89,3,0)*0.475*44/12</f>
        <v>23.575657537787759</v>
      </c>
      <c r="AB41" s="21">
        <f>EXP(-LN(2)/2)*AB40+(1-EXP(-LN(2)/2))/(LN(2)/2)*V41*Y41*VLOOKUP('Données projet'!$B$9,Paramètres!$A$1:$I$89,3,0)*0.475*44/12</f>
        <v>6.1923022693204208</v>
      </c>
      <c r="AC41" s="22">
        <f t="shared" si="3"/>
        <v>75.996351495355583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179.4725256147085</v>
      </c>
      <c r="AO41" s="59">
        <f t="shared" si="36"/>
        <v>282.16750121151176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37.943857468098471</v>
      </c>
      <c r="AV41" s="21">
        <f>EXP(-LN(2)/25)*AV40+(1-EXP(-LN(2)/25))/(LN(2)/25)*Calculateur!AQ41*Calculateur!AS41*VLOOKUP('Données projet'!$B$10,Paramètres!$A$1:$I$89,3,0)*0.475*44/12</f>
        <v>18.677926717679561</v>
      </c>
      <c r="AW41" s="21">
        <f>EXP(-LN(2)/2)*AW40+(1-EXP(-LN(2)/2))/(LN(2)/2)*AQ41*AT41*VLOOKUP('Données projet'!$B$10,Paramètres!$A$1:$I$89,3,0)*0.475*44/12</f>
        <v>4.933795814404319</v>
      </c>
      <c r="AX41" s="21">
        <f t="shared" si="6"/>
        <v>61.555580000182353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24.413333333333338</v>
      </c>
      <c r="BD41" s="12">
        <f>IF('Données projet'!$A$88&gt;35,BD40+BC41-BL40,IF(A41&lt;'Données projet'!$A$88,$BA$205^A41,IF(A41='Données projet'!$A$88,'Données projet'!$B$88,BD40+BC41-BL40)))</f>
        <v>336.75666666666677</v>
      </c>
      <c r="BE41" s="13">
        <f>BD41*VLOOKUP('Données projet'!$B$11,Paramètres!$A$1:$I$89,3,0)*VLOOKUP('Données projet'!$B$11,Paramètres!$A$1:$I$89,5,0)</f>
        <v>157.60212000000007</v>
      </c>
      <c r="BF41" s="13">
        <f t="shared" si="37"/>
        <v>40.301192483717976</v>
      </c>
      <c r="BG41" s="20">
        <f t="shared" si="7"/>
        <v>344.68160257580894</v>
      </c>
      <c r="BH41" s="59">
        <f t="shared" si="8"/>
        <v>638.0149359091422</v>
      </c>
      <c r="BI41" s="59">
        <f ca="1">AVERAGE(OFFSET($BH$3,0,0,'Données projet'!$E$11+1,1))-AVERAGE(OFFSET($H$3,0,0,'Données projet'!$E$11+1,1))</f>
        <v>227.19831549982962</v>
      </c>
      <c r="BJ41" s="59">
        <f t="shared" si="38"/>
        <v>309.84543033784564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30.325881492958153</v>
      </c>
      <c r="BQ41" s="21">
        <f>EXP(-LN(2)/25)*BQ40+(1-EXP(-LN(2)/25))/(LN(2)/25)*Calculateur!BL41*Calculateur!BN41*VLOOKUP('Données projet'!$B$11,Paramètres!$A$1:$I$89,3,0)*0.475*44/12</f>
        <v>21.811158874711008</v>
      </c>
      <c r="BR41" s="21">
        <f>EXP(-LN(2)/2)*BR40+(1-EXP(-LN(2)/2))/(LN(2)/2)*BL41*BO41*VLOOKUP('Données projet'!$B$11,Paramètres!$A$1:$I$89,3,0)*0.475*44/12</f>
        <v>6.4294483114572145</v>
      </c>
      <c r="BS41" s="22">
        <f t="shared" si="9"/>
        <v>58.566488679126373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</v>
      </c>
      <c r="BY41" s="12">
        <f>IF('Données projet'!$A$114&gt;35,BY40+BX41-CG40,IF(A41&lt;'Données projet'!$A$114,$BV$205^A41,IF(A41='Données projet'!$A$114,'Données projet'!$B$114,BY40+BX41-CG40)))</f>
        <v>115</v>
      </c>
      <c r="BZ41" s="13">
        <f>BY41*VLOOKUP('Données projet'!$B$12,Paramètres!$A$1:$I$89,3,0)*VLOOKUP('Données projet'!$B$12,Paramètres!$A$1:$I$89,5,0)</f>
        <v>75.347999999999999</v>
      </c>
      <c r="CA41" s="13">
        <f t="shared" si="39"/>
        <v>20.99581051771704</v>
      </c>
      <c r="CB41" s="20">
        <f t="shared" si="10"/>
        <v>167.79880331835713</v>
      </c>
      <c r="CC41" s="59">
        <f t="shared" si="11"/>
        <v>461.13213665169042</v>
      </c>
      <c r="CD41" s="59">
        <f ca="1">AVERAGE(OFFSET($CC$3,0,0,'Données projet'!$E$12+1,1))-AVERAGE(OFFSET($H$3,0,0,'Données projet'!$E$12+1,1))</f>
        <v>91.274378490051788</v>
      </c>
      <c r="CE41" s="59">
        <f t="shared" si="40"/>
        <v>126.60105012427914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3.2175456909200699</v>
      </c>
      <c r="CM41" s="21">
        <f>EXP(-LN(2)/2)*CM40+(1-EXP(-LN(2)/2))/(LN(2)/2)*CG41*CJ41*VLOOKUP('Données projet'!$B$12,Paramètres!$A$1:$I$89,3,0)*0.475*44/12</f>
        <v>1.0431439113605314</v>
      </c>
      <c r="CN41" s="22">
        <f t="shared" si="12"/>
        <v>4.2606896022806016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28.09833333333334</v>
      </c>
      <c r="N42" s="13">
        <f>IF('Données projet'!$A$36&gt;35,N41+M42-V41,IF(A42&lt;'Données projet'!$A$36,$K$205^A42,IF(A42='Données projet'!$A$36,'Données projet'!$B$36,N41+M42-V41)))</f>
        <v>500.0750000000001</v>
      </c>
      <c r="O42" s="13">
        <f>N42*VLOOKUP('Données projet'!$B$9,Paramètres!$A$1:$I$89,3,0)*VLOOKUP('Données projet'!$B$9,Paramètres!$A$1:$I$89,5,0)</f>
        <v>279.54192500000005</v>
      </c>
      <c r="P42" s="13">
        <f t="shared" si="33"/>
        <v>66.87019524274281</v>
      </c>
      <c r="Q42" s="20">
        <f t="shared" si="53"/>
        <v>603.33444275611043</v>
      </c>
      <c r="R42" s="59">
        <f t="shared" si="0"/>
        <v>896.66777608944381</v>
      </c>
      <c r="S42" s="59">
        <f ca="1">AVERAGE(OFFSET($R$3,0,0,'Données projet'!$E$9+1,1))-AVERAGE(OFFSET($H$3,0,0,'Données projet'!$E$9+1,1))</f>
        <v>350.09239406910712</v>
      </c>
      <c r="T42" s="59">
        <f t="shared" si="34"/>
        <v>473.30663081727369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45.321881123775619</v>
      </c>
      <c r="AA42" s="21">
        <f>EXP(-LN(2)/25)*AA41+(1-EXP(-LN(2)/25))/(LN(2)/25)*Calculateur!V42*Calculateur!X42*VLOOKUP('Données projet'!$B$9,Paramètres!$A$1:$I$89,3,0)*0.475*44/12</f>
        <v>22.930979942627005</v>
      </c>
      <c r="AB42" s="21">
        <f>EXP(-LN(2)/2)*AB41+(1-EXP(-LN(2)/2))/(LN(2)/2)*V42*Y42*VLOOKUP('Données projet'!$B$9,Paramètres!$A$1:$I$89,3,0)*0.475*44/12</f>
        <v>4.378618925793317</v>
      </c>
      <c r="AC42" s="22">
        <f t="shared" si="3"/>
        <v>72.631479992195949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179.4725256147085</v>
      </c>
      <c r="AO42" s="59">
        <f t="shared" si="36"/>
        <v>282.16750121151176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37.199801566616891</v>
      </c>
      <c r="AV42" s="21">
        <f>EXP(-LN(2)/25)*AV41+(1-EXP(-LN(2)/25))/(LN(2)/25)*Calculateur!AQ42*Calculateur!AS42*VLOOKUP('Données projet'!$B$10,Paramètres!$A$1:$I$89,3,0)*0.475*44/12</f>
        <v>18.167177829355136</v>
      </c>
      <c r="AW42" s="21">
        <f>EXP(-LN(2)/2)*AW41+(1-EXP(-LN(2)/2))/(LN(2)/2)*AQ42*AT42*VLOOKUP('Données projet'!$B$10,Paramètres!$A$1:$I$89,3,0)*0.475*44/12</f>
        <v>3.4887204773550993</v>
      </c>
      <c r="AX42" s="21">
        <f t="shared" si="6"/>
        <v>58.855699873327126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24.413333333333338</v>
      </c>
      <c r="BD42" s="12">
        <f>IF('Données projet'!$A$88&gt;35,BD41+BC42-BL41,IF(A42&lt;'Données projet'!$A$88,$BA$205^A42,IF(A42='Données projet'!$A$88,'Données projet'!$B$88,BD41+BC42-BL41)))</f>
        <v>361.17000000000013</v>
      </c>
      <c r="BE42" s="13">
        <f>BD42*VLOOKUP('Données projet'!$B$11,Paramètres!$A$1:$I$89,3,0)*VLOOKUP('Données projet'!$B$11,Paramètres!$A$1:$I$89,5,0)</f>
        <v>169.02756000000008</v>
      </c>
      <c r="BF42" s="13">
        <f t="shared" si="37"/>
        <v>42.872156711796585</v>
      </c>
      <c r="BG42" s="20">
        <f t="shared" si="7"/>
        <v>369.05867327304577</v>
      </c>
      <c r="BH42" s="59">
        <f t="shared" si="8"/>
        <v>662.39200660637903</v>
      </c>
      <c r="BI42" s="59">
        <f ca="1">AVERAGE(OFFSET($BH$3,0,0,'Données projet'!$E$11+1,1))-AVERAGE(OFFSET($H$3,0,0,'Données projet'!$E$11+1,1))</f>
        <v>227.19831549982962</v>
      </c>
      <c r="BJ42" s="59">
        <f t="shared" si="38"/>
        <v>309.84543033784564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29.731209453842531</v>
      </c>
      <c r="BQ42" s="21">
        <f>EXP(-LN(2)/25)*BQ41+(1-EXP(-LN(2)/25))/(LN(2)/25)*Calculateur!BL42*Calculateur!BN42*VLOOKUP('Données projet'!$B$11,Paramètres!$A$1:$I$89,3,0)*0.475*44/12</f>
        <v>21.214731588283041</v>
      </c>
      <c r="BR42" s="21">
        <f>EXP(-LN(2)/2)*BR41+(1-EXP(-LN(2)/2))/(LN(2)/2)*BL42*BO42*VLOOKUP('Données projet'!$B$11,Paramètres!$A$1:$I$89,3,0)*0.475*44/12</f>
        <v>4.546306500319794</v>
      </c>
      <c r="BS42" s="22">
        <f t="shared" si="9"/>
        <v>55.492247542445362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</v>
      </c>
      <c r="BY42" s="12">
        <f>IF('Données projet'!$A$114&gt;35,BY41+BX42-CG41,IF(A42&lt;'Données projet'!$A$114,$BV$205^A42,IF(A42='Données projet'!$A$114,'Données projet'!$B$114,BY41+BX42-CG41)))</f>
        <v>120</v>
      </c>
      <c r="BZ42" s="13">
        <f>BY42*VLOOKUP('Données projet'!$B$12,Paramètres!$A$1:$I$89,3,0)*VLOOKUP('Données projet'!$B$12,Paramètres!$A$1:$I$89,5,0)</f>
        <v>78.623999999999995</v>
      </c>
      <c r="CA42" s="13">
        <f t="shared" si="39"/>
        <v>21.800406010684444</v>
      </c>
      <c r="CB42" s="20">
        <f t="shared" si="10"/>
        <v>174.90584046860872</v>
      </c>
      <c r="CC42" s="59">
        <f t="shared" si="11"/>
        <v>468.239173801942</v>
      </c>
      <c r="CD42" s="59">
        <f ca="1">AVERAGE(OFFSET($CC$3,0,0,'Données projet'!$E$12+1,1))-AVERAGE(OFFSET($H$3,0,0,'Données projet'!$E$12+1,1))</f>
        <v>91.274378490051788</v>
      </c>
      <c r="CE42" s="59">
        <f t="shared" si="40"/>
        <v>126.60105012427914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3.1295617347984863</v>
      </c>
      <c r="CM42" s="21">
        <f>EXP(-LN(2)/2)*CM41+(1-EXP(-LN(2)/2))/(LN(2)/2)*CG42*CJ42*VLOOKUP('Données projet'!$B$12,Paramètres!$A$1:$I$89,3,0)*0.475*44/12</f>
        <v>0.73761413347649063</v>
      </c>
      <c r="CN42" s="22">
        <f t="shared" si="12"/>
        <v>3.8671758682749768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28.09833333333334</v>
      </c>
      <c r="N43" s="13">
        <f>IF('Données projet'!$A$36&gt;35,N42+M43-V42,IF(A43&lt;'Données projet'!$A$36,$K$205^A43,IF(A43='Données projet'!$A$36,'Données projet'!$B$36,N42+M43-V42)))</f>
        <v>528.1733333333334</v>
      </c>
      <c r="O43" s="13">
        <f>N43*VLOOKUP('Données projet'!$B$9,Paramètres!$A$1:$I$89,3,0)*VLOOKUP('Données projet'!$B$9,Paramètres!$A$1:$I$89,5,0)</f>
        <v>295.2488933333334</v>
      </c>
      <c r="P43" s="13">
        <f t="shared" si="33"/>
        <v>70.179525528932587</v>
      </c>
      <c r="Q43" s="20">
        <f t="shared" si="53"/>
        <v>636.45449618511327</v>
      </c>
      <c r="R43" s="59">
        <f t="shared" si="0"/>
        <v>929.78782951844664</v>
      </c>
      <c r="S43" s="59">
        <f ca="1">AVERAGE(OFFSET($R$3,0,0,'Données projet'!$E$9+1,1))-AVERAGE(OFFSET($H$3,0,0,'Données projet'!$E$9+1,1))</f>
        <v>350.09239406910712</v>
      </c>
      <c r="T43" s="59">
        <f t="shared" si="34"/>
        <v>473.30663081727369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44.433146678556284</v>
      </c>
      <c r="AA43" s="21">
        <f>EXP(-LN(2)/25)*AA42+(1-EXP(-LN(2)/25))/(LN(2)/25)*Calculateur!V43*Calculateur!X43*VLOOKUP('Données projet'!$B$9,Paramètres!$A$1:$I$89,3,0)*0.475*44/12</f>
        <v>22.303931090208042</v>
      </c>
      <c r="AB43" s="21">
        <f>EXP(-LN(2)/2)*AB42+(1-EXP(-LN(2)/2))/(LN(2)/2)*V43*Y43*VLOOKUP('Données projet'!$B$9,Paramètres!$A$1:$I$89,3,0)*0.475*44/12</f>
        <v>3.0961511346602109</v>
      </c>
      <c r="AC43" s="22">
        <f t="shared" si="3"/>
        <v>69.833228903424526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179.4725256147085</v>
      </c>
      <c r="AO43" s="59">
        <f t="shared" si="36"/>
        <v>282.16750121151176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36.470336147534077</v>
      </c>
      <c r="AV43" s="21">
        <f>EXP(-LN(2)/25)*AV42+(1-EXP(-LN(2)/25))/(LN(2)/25)*Calculateur!AQ43*Calculateur!AS43*VLOOKUP('Données projet'!$B$10,Paramètres!$A$1:$I$89,3,0)*0.475*44/12</f>
        <v>17.670395396241059</v>
      </c>
      <c r="AW43" s="21">
        <f>EXP(-LN(2)/2)*AW42+(1-EXP(-LN(2)/2))/(LN(2)/2)*AQ43*AT43*VLOOKUP('Données projet'!$B$10,Paramètres!$A$1:$I$89,3,0)*0.475*44/12</f>
        <v>2.46689790720216</v>
      </c>
      <c r="AX43" s="21">
        <f t="shared" si="6"/>
        <v>56.607629450977292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24.413333333333338</v>
      </c>
      <c r="BD43" s="12">
        <f>IF('Données projet'!$A$88&gt;35,BD42+BC43-BL42,IF(A43&lt;'Données projet'!$A$88,$BA$205^A43,IF(A43='Données projet'!$A$88,'Données projet'!$B$88,BD42+BC43-BL42)))</f>
        <v>385.58333333333348</v>
      </c>
      <c r="BE43" s="13">
        <f>BD43*VLOOKUP('Données projet'!$B$11,Paramètres!$A$1:$I$89,3,0)*VLOOKUP('Données projet'!$B$11,Paramètres!$A$1:$I$89,5,0)</f>
        <v>180.45300000000009</v>
      </c>
      <c r="BF43" s="13">
        <f t="shared" si="37"/>
        <v>45.422955572485847</v>
      </c>
      <c r="BG43" s="20">
        <f t="shared" si="7"/>
        <v>393.40062262207965</v>
      </c>
      <c r="BH43" s="59">
        <f t="shared" si="8"/>
        <v>686.73395595541297</v>
      </c>
      <c r="BI43" s="59">
        <f ca="1">AVERAGE(OFFSET($BH$3,0,0,'Données projet'!$E$11+1,1))-AVERAGE(OFFSET($H$3,0,0,'Données projet'!$E$11+1,1))</f>
        <v>227.19831549982962</v>
      </c>
      <c r="BJ43" s="59">
        <f t="shared" si="38"/>
        <v>309.84543033784564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29.148198570699837</v>
      </c>
      <c r="BQ43" s="21">
        <f>EXP(-LN(2)/25)*BQ42+(1-EXP(-LN(2)/25))/(LN(2)/25)*Calculateur!BL43*Calculateur!BN43*VLOOKUP('Données projet'!$B$11,Paramètres!$A$1:$I$89,3,0)*0.475*44/12</f>
        <v>20.634613637367192</v>
      </c>
      <c r="BR43" s="21">
        <f>EXP(-LN(2)/2)*BR42+(1-EXP(-LN(2)/2))/(LN(2)/2)*BL43*BO43*VLOOKUP('Données projet'!$B$11,Paramètres!$A$1:$I$89,3,0)*0.475*44/12</f>
        <v>3.2147241557286073</v>
      </c>
      <c r="BS43" s="22">
        <f t="shared" si="9"/>
        <v>52.997536363795632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125</v>
      </c>
      <c r="BW43" s="12">
        <f>VLOOKUP(A43,'Données projet'!$A$113:$I$133,9,0)</f>
        <v>5</v>
      </c>
      <c r="BX43" s="12">
        <f t="array" ref="BX43">INDEX(BW:BW,MIN(IF(ISNUMBER(BW43:BW239),ROW(BW43:BW239),"")))</f>
        <v>5</v>
      </c>
      <c r="BY43" s="12">
        <f>IF('Données projet'!$A$114&gt;35,BY42+BX43-CG42,IF(A43&lt;'Données projet'!$A$114,$BV$205^A43,IF(A43='Données projet'!$A$114,'Données projet'!$B$114,BY42+BX43-CG42)))</f>
        <v>125</v>
      </c>
      <c r="BZ43" s="13">
        <f>BY43*VLOOKUP('Données projet'!$B$12,Paramètres!$A$1:$I$89,3,0)*VLOOKUP('Données projet'!$B$12,Paramètres!$A$1:$I$89,5,0)</f>
        <v>81.900000000000006</v>
      </c>
      <c r="CA43" s="13">
        <f t="shared" si="39"/>
        <v>22.601107473346342</v>
      </c>
      <c r="CB43" s="20">
        <f t="shared" si="10"/>
        <v>182.0060955160782</v>
      </c>
      <c r="CC43" s="59">
        <f t="shared" si="11"/>
        <v>475.33942884941155</v>
      </c>
      <c r="CD43" s="59">
        <f ca="1">AVERAGE(OFFSET($CC$3,0,0,'Données projet'!$E$12+1,1))-AVERAGE(OFFSET($H$3,0,0,'Données projet'!$E$12+1,1))</f>
        <v>91.274378490051788</v>
      </c>
      <c r="CE43" s="59">
        <f t="shared" si="40"/>
        <v>126.60105012427914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16.025641025641026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0.1075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4.2868703326497188</v>
      </c>
      <c r="CM43" s="21">
        <f>EXP(-LN(2)/2)*CM42+(1-EXP(-LN(2)/2))/(LN(2)/2)*CG43*CJ43*VLOOKUP('Données projet'!$B$12,Paramètres!$A$1:$I$89,3,0)*0.475*44/12</f>
        <v>2.9983301065194095</v>
      </c>
      <c r="CN43" s="22">
        <f t="shared" si="12"/>
        <v>7.2852004391691283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28.09833333333334</v>
      </c>
      <c r="N44" s="13">
        <f>IF('Données projet'!$A$36&gt;35,N43+M44-V43,IF(A44&lt;'Données projet'!$A$36,$K$205^A44,IF(A44='Données projet'!$A$36,'Données projet'!$B$36,N43+M44-V43)))</f>
        <v>556.27166666666676</v>
      </c>
      <c r="O44" s="13">
        <f>N44*VLOOKUP('Données projet'!$B$9,Paramètres!$A$1:$I$89,3,0)*VLOOKUP('Données projet'!$B$9,Paramètres!$A$1:$I$89,5,0)</f>
        <v>310.95586166666675</v>
      </c>
      <c r="P44" s="13">
        <f t="shared" si="33"/>
        <v>73.468416349938394</v>
      </c>
      <c r="Q44" s="20">
        <f t="shared" si="53"/>
        <v>669.53895087892067</v>
      </c>
      <c r="R44" s="59">
        <f t="shared" si="0"/>
        <v>962.87228421225404</v>
      </c>
      <c r="S44" s="59">
        <f ca="1">AVERAGE(OFFSET($R$3,0,0,'Données projet'!$E$9+1,1))-AVERAGE(OFFSET($H$3,0,0,'Données projet'!$E$9+1,1))</f>
        <v>350.09239406910712</v>
      </c>
      <c r="T44" s="59">
        <f t="shared" si="34"/>
        <v>473.30663081727369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43.561839773733212</v>
      </c>
      <c r="AA44" s="21">
        <f>EXP(-LN(2)/25)*AA43+(1-EXP(-LN(2)/25))/(LN(2)/25)*Calculateur!V44*Calculateur!X44*VLOOKUP('Données projet'!$B$9,Paramètres!$A$1:$I$89,3,0)*0.475*44/12</f>
        <v>21.694028921633542</v>
      </c>
      <c r="AB44" s="21">
        <f>EXP(-LN(2)/2)*AB43+(1-EXP(-LN(2)/2))/(LN(2)/2)*V44*Y44*VLOOKUP('Données projet'!$B$9,Paramètres!$A$1:$I$89,3,0)*0.475*44/12</f>
        <v>2.1893094628966585</v>
      </c>
      <c r="AC44" s="22">
        <f t="shared" si="3"/>
        <v>67.445178158263417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179.4725256147085</v>
      </c>
      <c r="AO44" s="59">
        <f t="shared" si="36"/>
        <v>282.16750121151176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35.755175100389501</v>
      </c>
      <c r="AV44" s="21">
        <f>EXP(-LN(2)/25)*AV43+(1-EXP(-LN(2)/25))/(LN(2)/25)*Calculateur!AQ44*Calculateur!AS44*VLOOKUP('Données projet'!$B$10,Paramètres!$A$1:$I$89,3,0)*0.475*44/12</f>
        <v>17.187197504885138</v>
      </c>
      <c r="AW44" s="21">
        <f>EXP(-LN(2)/2)*AW43+(1-EXP(-LN(2)/2))/(LN(2)/2)*AQ44*AT44*VLOOKUP('Données projet'!$B$10,Paramètres!$A$1:$I$89,3,0)*0.475*44/12</f>
        <v>1.7443602386775499</v>
      </c>
      <c r="AX44" s="21">
        <f t="shared" si="6"/>
        <v>54.686732843952193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24.413333333333338</v>
      </c>
      <c r="BD44" s="12">
        <f>IF('Données projet'!$A$88&gt;35,BD43+BC44-BL43,IF(A44&lt;'Données projet'!$A$88,$BA$205^A44,IF(A44='Données projet'!$A$88,'Données projet'!$B$88,BD43+BC44-BL43)))</f>
        <v>409.99666666666684</v>
      </c>
      <c r="BE44" s="13">
        <f>BD44*VLOOKUP('Données projet'!$B$11,Paramètres!$A$1:$I$89,3,0)*VLOOKUP('Données projet'!$B$11,Paramètres!$A$1:$I$89,5,0)</f>
        <v>191.8784400000001</v>
      </c>
      <c r="BF44" s="13">
        <f t="shared" si="37"/>
        <v>47.955011179497632</v>
      </c>
      <c r="BG44" s="20">
        <f t="shared" si="7"/>
        <v>417.70992747095852</v>
      </c>
      <c r="BH44" s="59">
        <f t="shared" si="8"/>
        <v>711.04326080429178</v>
      </c>
      <c r="BI44" s="59">
        <f ca="1">AVERAGE(OFFSET($BH$3,0,0,'Données projet'!$E$11+1,1))-AVERAGE(OFFSET($H$3,0,0,'Données projet'!$E$11+1,1))</f>
        <v>227.19831549982962</v>
      </c>
      <c r="BJ44" s="59">
        <f t="shared" si="38"/>
        <v>309.84543033784564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28.576620175374046</v>
      </c>
      <c r="BQ44" s="21">
        <f>EXP(-LN(2)/25)*BQ43+(1-EXP(-LN(2)/25))/(LN(2)/25)*Calculateur!BL44*Calculateur!BN44*VLOOKUP('Données projet'!$B$11,Paramètres!$A$1:$I$89,3,0)*0.475*44/12</f>
        <v>20.070359042326217</v>
      </c>
      <c r="BR44" s="21">
        <f>EXP(-LN(2)/2)*BR43+(1-EXP(-LN(2)/2))/(LN(2)/2)*BL44*BO44*VLOOKUP('Données projet'!$B$11,Paramètres!$A$1:$I$89,3,0)*0.475*44/12</f>
        <v>2.273153250159897</v>
      </c>
      <c r="BS44" s="22">
        <f t="shared" si="9"/>
        <v>50.920132467860157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4.7435897435897401</v>
      </c>
      <c r="BY44" s="12">
        <f>IF('Données projet'!$A$114&gt;35,BY43+BX44-CG43,IF(A44&lt;'Données projet'!$A$114,$BV$205^A44,IF(A44='Données projet'!$A$114,'Données projet'!$B$114,BY43+BX44-CG43)))</f>
        <v>113.71794871794873</v>
      </c>
      <c r="BZ44" s="13">
        <f>BY44*VLOOKUP('Données projet'!$B$12,Paramètres!$A$1:$I$89,3,0)*VLOOKUP('Données projet'!$B$12,Paramètres!$A$1:$I$89,5,0)</f>
        <v>74.50800000000001</v>
      </c>
      <c r="CA44" s="13">
        <f t="shared" si="39"/>
        <v>20.788854158464918</v>
      </c>
      <c r="CB44" s="20">
        <f t="shared" si="10"/>
        <v>165.97535432599307</v>
      </c>
      <c r="CC44" s="59">
        <f t="shared" si="11"/>
        <v>459.30868765932638</v>
      </c>
      <c r="CD44" s="59">
        <f ca="1">AVERAGE(OFFSET($CC$3,0,0,'Données projet'!$E$12+1,1))-AVERAGE(OFFSET($H$3,0,0,'Données projet'!$E$12+1,1))</f>
        <v>91.274378490051788</v>
      </c>
      <c r="CE44" s="59">
        <f t="shared" si="40"/>
        <v>126.60105012427914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4.1696456379666991</v>
      </c>
      <c r="CM44" s="21">
        <f>EXP(-LN(2)/2)*CM43+(1-EXP(-LN(2)/2))/(LN(2)/2)*CG44*CJ44*VLOOKUP('Données projet'!$B$12,Paramètres!$A$1:$I$89,3,0)*0.475*44/12</f>
        <v>2.1201395505556579</v>
      </c>
      <c r="CN44" s="22">
        <f t="shared" si="12"/>
        <v>6.289785188522357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28.09833333333334</v>
      </c>
      <c r="M45" s="12">
        <f t="array" ref="M45">INDEX(L:L,MIN(IF(ISNUMBER(L45:L241),ROW(L45:L241),"")))</f>
        <v>28.09833333333334</v>
      </c>
      <c r="N45" s="13">
        <f>IF('Données projet'!$A$36&gt;35,N44+M45-V44,IF(A45&lt;'Données projet'!$A$36,$K$205^A45,IF(A45='Données projet'!$A$36,'Données projet'!$B$36,N44+M45-V44)))</f>
        <v>584.37000000000012</v>
      </c>
      <c r="O45" s="13">
        <f>N45*VLOOKUP('Données projet'!$B$9,Paramètres!$A$1:$I$89,3,0)*VLOOKUP('Données projet'!$B$9,Paramètres!$A$1:$I$89,5,0)</f>
        <v>326.6628300000001</v>
      </c>
      <c r="P45" s="13">
        <f t="shared" si="33"/>
        <v>76.738017937615012</v>
      </c>
      <c r="Q45" s="20">
        <f t="shared" si="53"/>
        <v>702.58981015801294</v>
      </c>
      <c r="R45" s="59">
        <f t="shared" si="0"/>
        <v>995.92314349134631</v>
      </c>
      <c r="S45" s="59">
        <f ca="1">AVERAGE(OFFSET($R$3,0,0,'Données projet'!$E$9+1,1))-AVERAGE(OFFSET($H$3,0,0,'Données projet'!$E$9+1,1))</f>
        <v>350.09239406910712</v>
      </c>
      <c r="T45" s="59">
        <f t="shared" si="34"/>
        <v>473.30663081727369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91.32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65.054658699938173</v>
      </c>
      <c r="AA45" s="21">
        <f>EXP(-LN(2)/25)*AA44+(1-EXP(-LN(2)/25))/(LN(2)/25)*Calculateur!V45*Calculateur!X45*VLOOKUP('Données projet'!$B$9,Paramètres!$A$1:$I$89,3,0)*0.475*44/12</f>
        <v>28.520488300787161</v>
      </c>
      <c r="AB45" s="21">
        <f>EXP(-LN(2)/2)*AB44+(1-EXP(-LN(2)/2))/(LN(2)/2)*V45*Y45*VLOOKUP('Données projet'!$B$9,Paramètres!$A$1:$I$89,3,0)*0.475*44/12</f>
        <v>13.107687258581169</v>
      </c>
      <c r="AC45" s="22">
        <f t="shared" si="3"/>
        <v>106.6828342593065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179.4725256147085</v>
      </c>
      <c r="AO45" s="59">
        <f t="shared" si="36"/>
        <v>282.16750121151176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0.36</v>
      </c>
      <c r="AS45" s="16">
        <f>IF(ISNA(VLOOKUP(A45,'Données projet'!$A$61:$I$81,6,0)),0%,VLOOKUP(A45,'Données projet'!$A$61:$I$81,6,0)*VLOOKUP('Données projet'!$B$10,Paramètres!$A$1:$I$89,7,0))</f>
        <v>0.12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55.020000356260127</v>
      </c>
      <c r="AV45" s="21">
        <f>EXP(-LN(2)/25)*AV44+(1-EXP(-LN(2)/25))/(LN(2)/25)*Calculateur!AQ45*Calculateur!AS45*VLOOKUP('Données projet'!$B$10,Paramètres!$A$1:$I$89,3,0)*0.475*44/12</f>
        <v>23.346328961734141</v>
      </c>
      <c r="AW45" s="21">
        <f>EXP(-LN(2)/2)*AW44+(1-EXP(-LN(2)/2))/(LN(2)/2)*AQ45*AT45*VLOOKUP('Données projet'!$B$10,Paramètres!$A$1:$I$89,3,0)*0.475*44/12</f>
        <v>10.700722532598377</v>
      </c>
      <c r="AX45" s="21">
        <f t="shared" si="6"/>
        <v>89.067051850592648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434.41</v>
      </c>
      <c r="BB45" s="12">
        <f>VLOOKUP(A45,'Données projet'!$A$87:$I$107,9,0)</f>
        <v>24.413333333333338</v>
      </c>
      <c r="BC45" s="12">
        <f t="array" ref="BC45">INDEX(BB:BB,MIN(IF(ISNUMBER(BB45:BB241),ROW(BB45:BB241),"")))</f>
        <v>24.413333333333338</v>
      </c>
      <c r="BD45" s="12">
        <f>IF('Données projet'!$A$88&gt;35,BD44+BC45-BL44,IF(A45&lt;'Données projet'!$A$88,$BA$205^A45,IF(A45='Données projet'!$A$88,'Données projet'!$B$88,BD44+BC45-BL44)))</f>
        <v>434.4100000000002</v>
      </c>
      <c r="BE45" s="13">
        <f>BD45*VLOOKUP('Données projet'!$B$11,Paramètres!$A$1:$I$89,3,0)*VLOOKUP('Données projet'!$B$11,Paramètres!$A$1:$I$89,5,0)</f>
        <v>203.30388000000011</v>
      </c>
      <c r="BF45" s="13">
        <f t="shared" si="37"/>
        <v>50.469566718430556</v>
      </c>
      <c r="BG45" s="20">
        <f t="shared" si="7"/>
        <v>441.98875303459999</v>
      </c>
      <c r="BH45" s="59">
        <f t="shared" si="8"/>
        <v>735.32208636793325</v>
      </c>
      <c r="BI45" s="59">
        <f ca="1">AVERAGE(OFFSET($BH$3,0,0,'Données projet'!$E$11+1,1))-AVERAGE(OFFSET($H$3,0,0,'Données projet'!$E$11+1,1))</f>
        <v>227.19831549982962</v>
      </c>
      <c r="BJ45" s="59">
        <f t="shared" si="38"/>
        <v>309.84543033784564</v>
      </c>
      <c r="BK45" s="15">
        <f>IF(ISNA(VLOOKUP(A45,'Données projet'!$A$87:$I$107,3,0)),0,VLOOKUP(A45,'Données projet'!$A$87:$I$107,3,0))</f>
        <v>4</v>
      </c>
      <c r="BL45" s="15">
        <f>IF(ISNA(VLOOKUP(A45,'Données projet'!$A$87:$I$107,4,0)),0,VLOOKUP(A45,'Données projet'!$A$87:$I$107,4,0))</f>
        <v>89.87</v>
      </c>
      <c r="BM45" s="16">
        <f>IF(ISNA(VLOOKUP(A45,'Données projet'!$A$87:$I$107,5,0)),0%,VLOOKUP(A45,'Données projet'!$A$87:$I$107,5,0)*VLOOKUP('Données projet'!$B$11,Paramètres!$A$1:$I$89,7,0))</f>
        <v>0.33</v>
      </c>
      <c r="BN45" s="16">
        <f>IF(ISNA(VLOOKUP(A45,'Données projet'!$A$87:$I$107,6,0)),0%,VLOOKUP(A45,'Données projet'!$A$87:$I$107,6,0)*VLOOKUP('Données projet'!$B$11,Paramètres!$A$1:$I$89,7,0))</f>
        <v>0.11000000000000001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46.428331688694882</v>
      </c>
      <c r="BQ45" s="21">
        <f>EXP(-LN(2)/25)*BQ44+(1-EXP(-LN(2)/25))/(LN(2)/25)*Calculateur!BL45*Calculateur!BN45*VLOOKUP('Données projet'!$B$11,Paramètres!$A$1:$I$89,3,0)*0.475*44/12</f>
        <v>25.63472942689647</v>
      </c>
      <c r="BR45" s="21">
        <f>EXP(-LN(2)/2)*BR44+(1-EXP(-LN(2)/2))/(LN(2)/2)*BL45*BO45*VLOOKUP('Données projet'!$B$11,Paramètres!$A$1:$I$89,3,0)*0.475*44/12</f>
        <v>11.131509949630951</v>
      </c>
      <c r="BS45" s="22">
        <f t="shared" si="9"/>
        <v>83.194571065222306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4.7435897435897401</v>
      </c>
      <c r="BY45" s="12">
        <f>IF('Données projet'!$A$114&gt;35,BY44+BX45-CG44,IF(A45&lt;'Données projet'!$A$114,$BV$205^A45,IF(A45='Données projet'!$A$114,'Données projet'!$B$114,BY44+BX45-CG44)))</f>
        <v>118.46153846153847</v>
      </c>
      <c r="BZ45" s="13">
        <f>BY45*VLOOKUP('Données projet'!$B$12,Paramètres!$A$1:$I$89,3,0)*VLOOKUP('Données projet'!$B$12,Paramètres!$A$1:$I$89,5,0)</f>
        <v>77.616</v>
      </c>
      <c r="CA45" s="13">
        <f t="shared" si="39"/>
        <v>21.553261384606433</v>
      </c>
      <c r="CB45" s="20">
        <f t="shared" si="10"/>
        <v>172.71979691152288</v>
      </c>
      <c r="CC45" s="59">
        <f t="shared" si="11"/>
        <v>466.05313024485622</v>
      </c>
      <c r="CD45" s="59">
        <f ca="1">AVERAGE(OFFSET($CC$3,0,0,'Données projet'!$E$12+1,1))-AVERAGE(OFFSET($H$3,0,0,'Données projet'!$E$12+1,1))</f>
        <v>91.274378490051788</v>
      </c>
      <c r="CE45" s="59">
        <f t="shared" si="40"/>
        <v>126.60105012427914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4.0556264587243653</v>
      </c>
      <c r="CM45" s="21">
        <f>EXP(-LN(2)/2)*CM44+(1-EXP(-LN(2)/2))/(LN(2)/2)*CG45*CJ45*VLOOKUP('Données projet'!$B$12,Paramètres!$A$1:$I$89,3,0)*0.475*44/12</f>
        <v>1.4991650532597049</v>
      </c>
      <c r="CN45" s="22">
        <f t="shared" si="12"/>
        <v>5.5547915119840701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27.111666666666668</v>
      </c>
      <c r="N46" s="13">
        <f>IF('Données projet'!$A$36&gt;35,N45+M46-V45,IF(A46&lt;'Données projet'!$A$36,$K$205^A46,IF(A46='Données projet'!$A$36,'Données projet'!$B$36,N45+M46-V45)))</f>
        <v>520.16166666666686</v>
      </c>
      <c r="O46" s="13">
        <f>N46*VLOOKUP('Données projet'!$B$9,Paramètres!$A$1:$I$89,3,0)*VLOOKUP('Données projet'!$B$9,Paramètres!$A$1:$I$89,5,0)</f>
        <v>290.77037166666679</v>
      </c>
      <c r="P46" s="13">
        <f t="shared" si="33"/>
        <v>69.238074036654666</v>
      </c>
      <c r="Q46" s="20">
        <f t="shared" si="53"/>
        <v>627.01470959995152</v>
      </c>
      <c r="R46" s="59">
        <f t="shared" si="0"/>
        <v>920.34804293328489</v>
      </c>
      <c r="S46" s="59">
        <f ca="1">AVERAGE(OFFSET($R$3,0,0,'Données projet'!$E$9+1,1))-AVERAGE(OFFSET($H$3,0,0,'Données projet'!$E$9+1,1))</f>
        <v>350.09239406910712</v>
      </c>
      <c r="T46" s="59">
        <f t="shared" si="34"/>
        <v>473.30663081727369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63.778976522256173</v>
      </c>
      <c r="AA46" s="21">
        <f>EXP(-LN(2)/25)*AA45+(1-EXP(-LN(2)/25))/(LN(2)/25)*Calculateur!V46*Calculateur!X46*VLOOKUP('Données projet'!$B$9,Paramètres!$A$1:$I$89,3,0)*0.475*44/12</f>
        <v>27.740594048374842</v>
      </c>
      <c r="AB46" s="21">
        <f>EXP(-LN(2)/2)*AB45+(1-EXP(-LN(2)/2))/(LN(2)/2)*V46*Y46*VLOOKUP('Données projet'!$B$9,Paramètres!$A$1:$I$89,3,0)*0.475*44/12</f>
        <v>9.2685345462152533</v>
      </c>
      <c r="AC46" s="22">
        <f t="shared" si="3"/>
        <v>100.78810511684627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179.4725256147085</v>
      </c>
      <c r="AO46" s="59">
        <f t="shared" si="36"/>
        <v>282.16750121151176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53.941091708160421</v>
      </c>
      <c r="AV46" s="21">
        <f>EXP(-LN(2)/25)*AV45+(1-EXP(-LN(2)/25))/(LN(2)/25)*Calculateur!AQ46*Calculateur!AS46*VLOOKUP('Données projet'!$B$10,Paramètres!$A$1:$I$89,3,0)*0.475*44/12</f>
        <v>22.707922368545439</v>
      </c>
      <c r="AW46" s="21">
        <f>EXP(-LN(2)/2)*AW45+(1-EXP(-LN(2)/2))/(LN(2)/2)*AQ46*AT46*VLOOKUP('Données projet'!$B$10,Paramètres!$A$1:$I$89,3,0)*0.475*44/12</f>
        <v>7.5665534663959999</v>
      </c>
      <c r="AX46" s="21">
        <f t="shared" si="6"/>
        <v>84.215567543101869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22.95333333333333</v>
      </c>
      <c r="BD46" s="12">
        <f>IF('Données projet'!$A$88&gt;35,BD45+BC46-BL45,IF(A46&lt;'Données projet'!$A$88,$BA$205^A46,IF(A46='Données projet'!$A$88,'Données projet'!$B$88,BD45+BC46-BL45)))</f>
        <v>367.49333333333351</v>
      </c>
      <c r="BE46" s="13">
        <f>BD46*VLOOKUP('Données projet'!$B$11,Paramètres!$A$1:$I$89,3,0)*VLOOKUP('Données projet'!$B$11,Paramètres!$A$1:$I$89,5,0)</f>
        <v>171.98688000000007</v>
      </c>
      <c r="BF46" s="13">
        <f t="shared" si="37"/>
        <v>43.534717226944473</v>
      </c>
      <c r="BG46" s="20">
        <f t="shared" si="7"/>
        <v>375.3667818369284</v>
      </c>
      <c r="BH46" s="59">
        <f t="shared" si="8"/>
        <v>668.70011517026171</v>
      </c>
      <c r="BI46" s="59">
        <f ca="1">AVERAGE(OFFSET($BH$3,0,0,'Données projet'!$E$11+1,1))-AVERAGE(OFFSET($H$3,0,0,'Données projet'!$E$11+1,1))</f>
        <v>227.19831549982962</v>
      </c>
      <c r="BJ46" s="59">
        <f t="shared" si="38"/>
        <v>309.84543033784564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45.517900422765685</v>
      </c>
      <c r="BQ46" s="21">
        <f>EXP(-LN(2)/25)*BQ45+(1-EXP(-LN(2)/25))/(LN(2)/25)*Calculateur!BL46*Calculateur!BN46*VLOOKUP('Données projet'!$B$11,Paramètres!$A$1:$I$89,3,0)*0.475*44/12</f>
        <v>24.933746402646154</v>
      </c>
      <c r="BR46" s="21">
        <f>EXP(-LN(2)/2)*BR45+(1-EXP(-LN(2)/2))/(LN(2)/2)*BL46*BO46*VLOOKUP('Données projet'!$B$11,Paramètres!$A$1:$I$89,3,0)*0.475*44/12</f>
        <v>7.8711661702295705</v>
      </c>
      <c r="BS46" s="22">
        <f t="shared" si="9"/>
        <v>78.322812995641414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4.7435897435897401</v>
      </c>
      <c r="BY46" s="12">
        <f>IF('Données projet'!$A$114&gt;35,BY45+BX46-CG45,IF(A46&lt;'Données projet'!$A$114,$BV$205^A46,IF(A46='Données projet'!$A$114,'Données projet'!$B$114,BY45+BX46-CG45)))</f>
        <v>123.2051282051282</v>
      </c>
      <c r="BZ46" s="13">
        <f>BY46*VLOOKUP('Données projet'!$B$12,Paramètres!$A$1:$I$89,3,0)*VLOOKUP('Données projet'!$B$12,Paramètres!$A$1:$I$89,5,0)</f>
        <v>80.724000000000004</v>
      </c>
      <c r="CA46" s="13">
        <f t="shared" si="39"/>
        <v>22.314112965903877</v>
      </c>
      <c r="CB46" s="20">
        <f t="shared" si="10"/>
        <v>179.45804674894927</v>
      </c>
      <c r="CC46" s="59">
        <f t="shared" si="11"/>
        <v>472.79138008228256</v>
      </c>
      <c r="CD46" s="59">
        <f ca="1">AVERAGE(OFFSET($CC$3,0,0,'Données projet'!$E$12+1,1))-AVERAGE(OFFSET($H$3,0,0,'Données projet'!$E$12+1,1))</f>
        <v>91.274378490051788</v>
      </c>
      <c r="CE46" s="59">
        <f t="shared" si="40"/>
        <v>126.60105012427914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3.9447251399344214</v>
      </c>
      <c r="CM46" s="21">
        <f>EXP(-LN(2)/2)*CM45+(1-EXP(-LN(2)/2))/(LN(2)/2)*CG46*CJ46*VLOOKUP('Données projet'!$B$12,Paramètres!$A$1:$I$89,3,0)*0.475*44/12</f>
        <v>1.0600697752778292</v>
      </c>
      <c r="CN46" s="22">
        <f t="shared" si="12"/>
        <v>5.0047949152122504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27.111666666666668</v>
      </c>
      <c r="N47" s="13">
        <f>IF('Données projet'!$A$36&gt;35,N46+M47-V46,IF(A47&lt;'Données projet'!$A$36,$K$205^A47,IF(A47='Données projet'!$A$36,'Données projet'!$B$36,N46+M47-V46)))</f>
        <v>547.27333333333354</v>
      </c>
      <c r="O47" s="13">
        <f>N47*VLOOKUP('Données projet'!$B$9,Paramètres!$A$1:$I$89,3,0)*VLOOKUP('Données projet'!$B$9,Paramètres!$A$1:$I$89,5,0)</f>
        <v>305.92579333333344</v>
      </c>
      <c r="P47" s="13">
        <f t="shared" si="33"/>
        <v>72.417319636871426</v>
      </c>
      <c r="Q47" s="20">
        <f t="shared" si="53"/>
        <v>658.94758842310682</v>
      </c>
      <c r="R47" s="59">
        <f t="shared" si="0"/>
        <v>952.28092175644019</v>
      </c>
      <c r="S47" s="59">
        <f ca="1">AVERAGE(OFFSET($R$3,0,0,'Données projet'!$E$9+1,1))-AVERAGE(OFFSET($H$3,0,0,'Données projet'!$E$9+1,1))</f>
        <v>350.09239406910712</v>
      </c>
      <c r="T47" s="59">
        <f t="shared" si="34"/>
        <v>473.30663081727369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62.528309693989222</v>
      </c>
      <c r="AA47" s="21">
        <f>EXP(-LN(2)/25)*AA46+(1-EXP(-LN(2)/25))/(LN(2)/25)*Calculateur!V47*Calculateur!X47*VLOOKUP('Données projet'!$B$9,Paramètres!$A$1:$I$89,3,0)*0.475*44/12</f>
        <v>26.982026045307592</v>
      </c>
      <c r="AB47" s="21">
        <f>EXP(-LN(2)/2)*AB46+(1-EXP(-LN(2)/2))/(LN(2)/2)*V47*Y47*VLOOKUP('Données projet'!$B$9,Paramètres!$A$1:$I$89,3,0)*0.475*44/12</f>
        <v>6.5538436292905864</v>
      </c>
      <c r="AC47" s="22">
        <f t="shared" si="3"/>
        <v>96.064179368587389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179.4725256147085</v>
      </c>
      <c r="AO47" s="59">
        <f t="shared" si="36"/>
        <v>282.16750121151176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52.88333980058065</v>
      </c>
      <c r="AV47" s="21">
        <f>EXP(-LN(2)/25)*AV46+(1-EXP(-LN(2)/25))/(LN(2)/25)*Calculateur!AQ47*Calculateur!AS47*VLOOKUP('Données projet'!$B$10,Paramètres!$A$1:$I$89,3,0)*0.475*44/12</f>
        <v>22.086973037219828</v>
      </c>
      <c r="AW47" s="21">
        <f>EXP(-LN(2)/2)*AW46+(1-EXP(-LN(2)/2))/(LN(2)/2)*AQ47*AT47*VLOOKUP('Données projet'!$B$10,Paramètres!$A$1:$I$89,3,0)*0.475*44/12</f>
        <v>5.3503612662991893</v>
      </c>
      <c r="AX47" s="21">
        <f t="shared" si="6"/>
        <v>80.320674104099666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22.95333333333333</v>
      </c>
      <c r="BD47" s="12">
        <f>IF('Données projet'!$A$88&gt;35,BD46+BC47-BL46,IF(A47&lt;'Données projet'!$A$88,$BA$205^A47,IF(A47='Données projet'!$A$88,'Données projet'!$B$88,BD46+BC47-BL46)))</f>
        <v>390.44666666666683</v>
      </c>
      <c r="BE47" s="13">
        <f>BD47*VLOOKUP('Données projet'!$B$11,Paramètres!$A$1:$I$89,3,0)*VLOOKUP('Données projet'!$B$11,Paramètres!$A$1:$I$89,5,0)</f>
        <v>182.72904000000008</v>
      </c>
      <c r="BF47" s="13">
        <f t="shared" si="37"/>
        <v>45.928814533042662</v>
      </c>
      <c r="BG47" s="20">
        <f t="shared" si="7"/>
        <v>398.24576331171608</v>
      </c>
      <c r="BH47" s="59">
        <f t="shared" si="8"/>
        <v>691.57909664504939</v>
      </c>
      <c r="BI47" s="59">
        <f ca="1">AVERAGE(OFFSET($BH$3,0,0,'Données projet'!$E$11+1,1))-AVERAGE(OFFSET($H$3,0,0,'Données projet'!$E$11+1,1))</f>
        <v>227.19831549982962</v>
      </c>
      <c r="BJ47" s="59">
        <f t="shared" si="38"/>
        <v>309.84543033784564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44.62532215865312</v>
      </c>
      <c r="BQ47" s="21">
        <f>EXP(-LN(2)/25)*BQ46+(1-EXP(-LN(2)/25))/(LN(2)/25)*Calculateur!BL47*Calculateur!BN47*VLOOKUP('Données projet'!$B$11,Paramètres!$A$1:$I$89,3,0)*0.475*44/12</f>
        <v>24.251931796057058</v>
      </c>
      <c r="BR47" s="21">
        <f>EXP(-LN(2)/2)*BR46+(1-EXP(-LN(2)/2))/(LN(2)/2)*BL47*BO47*VLOOKUP('Données projet'!$B$11,Paramètres!$A$1:$I$89,3,0)*0.475*44/12</f>
        <v>5.5657549748154764</v>
      </c>
      <c r="BS47" s="22">
        <f t="shared" si="9"/>
        <v>74.443008929525647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4.7435897435897401</v>
      </c>
      <c r="BY47" s="12">
        <f>IF('Données projet'!$A$114&gt;35,BY46+BX47-CG46,IF(A47&lt;'Données projet'!$A$114,$BV$205^A47,IF(A47='Données projet'!$A$114,'Données projet'!$B$114,BY46+BX47-CG46)))</f>
        <v>127.94871794871794</v>
      </c>
      <c r="BZ47" s="13">
        <f>BY47*VLOOKUP('Données projet'!$B$12,Paramètres!$A$1:$I$89,3,0)*VLOOKUP('Données projet'!$B$12,Paramètres!$A$1:$I$89,5,0)</f>
        <v>83.831999999999994</v>
      </c>
      <c r="CA47" s="13">
        <f t="shared" si="39"/>
        <v>23.071561469947873</v>
      </c>
      <c r="CB47" s="20">
        <f t="shared" si="10"/>
        <v>186.19036956015921</v>
      </c>
      <c r="CC47" s="59">
        <f t="shared" si="11"/>
        <v>479.52370289349255</v>
      </c>
      <c r="CD47" s="59">
        <f ca="1">AVERAGE(OFFSET($CC$3,0,0,'Données projet'!$E$12+1,1))-AVERAGE(OFFSET($H$3,0,0,'Données projet'!$E$12+1,1))</f>
        <v>91.274378490051788</v>
      </c>
      <c r="CE47" s="59">
        <f t="shared" si="40"/>
        <v>126.60105012427914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3.8368564235388352</v>
      </c>
      <c r="CM47" s="21">
        <f>EXP(-LN(2)/2)*CM46+(1-EXP(-LN(2)/2))/(LN(2)/2)*CG47*CJ47*VLOOKUP('Données projet'!$B$12,Paramètres!$A$1:$I$89,3,0)*0.475*44/12</f>
        <v>0.74958252662985259</v>
      </c>
      <c r="CN47" s="22">
        <f t="shared" si="12"/>
        <v>4.586438950168688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27.111666666666668</v>
      </c>
      <c r="N48" s="13">
        <f>IF('Données projet'!$A$36&gt;35,N47+M48-V47,IF(A48&lt;'Données projet'!$A$36,$K$205^A48,IF(A48='Données projet'!$A$36,'Données projet'!$B$36,N47+M48-V47)))</f>
        <v>574.38500000000022</v>
      </c>
      <c r="O48" s="13">
        <f>N48*VLOOKUP('Données projet'!$B$9,Paramètres!$A$1:$I$89,3,0)*VLOOKUP('Données projet'!$B$9,Paramètres!$A$1:$I$89,5,0)</f>
        <v>321.08121500000016</v>
      </c>
      <c r="P48" s="13">
        <f t="shared" si="33"/>
        <v>75.57827728734442</v>
      </c>
      <c r="Q48" s="20">
        <f t="shared" si="53"/>
        <v>690.84861573379169</v>
      </c>
      <c r="R48" s="59">
        <f t="shared" si="0"/>
        <v>984.18194906712506</v>
      </c>
      <c r="S48" s="59">
        <f ca="1">AVERAGE(OFFSET($R$3,0,0,'Données projet'!$E$9+1,1))-AVERAGE(OFFSET($H$3,0,0,'Données projet'!$E$9+1,1))</f>
        <v>350.09239406910712</v>
      </c>
      <c r="T48" s="59">
        <f t="shared" si="34"/>
        <v>473.30663081727369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61.302167679393143</v>
      </c>
      <c r="AA48" s="21">
        <f>EXP(-LN(2)/25)*AA47+(1-EXP(-LN(2)/25))/(LN(2)/25)*Calculateur!V48*Calculateur!X48*VLOOKUP('Données projet'!$B$9,Paramètres!$A$1:$I$89,3,0)*0.475*44/12</f>
        <v>26.244201124175575</v>
      </c>
      <c r="AB48" s="21">
        <f>EXP(-LN(2)/2)*AB47+(1-EXP(-LN(2)/2))/(LN(2)/2)*V48*Y48*VLOOKUP('Données projet'!$B$9,Paramètres!$A$1:$I$89,3,0)*0.475*44/12</f>
        <v>4.6342672731076275</v>
      </c>
      <c r="AC48" s="22">
        <f t="shared" si="3"/>
        <v>92.18063607667635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179.4725256147085</v>
      </c>
      <c r="AO48" s="59">
        <f t="shared" si="36"/>
        <v>282.16750121151176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51.846329762743558</v>
      </c>
      <c r="AV48" s="21">
        <f>EXP(-LN(2)/25)*AV47+(1-EXP(-LN(2)/25))/(LN(2)/25)*Calculateur!AQ48*Calculateur!AS48*VLOOKUP('Données projet'!$B$10,Paramètres!$A$1:$I$89,3,0)*0.475*44/12</f>
        <v>21.483003598013621</v>
      </c>
      <c r="AW48" s="21">
        <f>EXP(-LN(2)/2)*AW47+(1-EXP(-LN(2)/2))/(LN(2)/2)*AQ48*AT48*VLOOKUP('Données projet'!$B$10,Paramètres!$A$1:$I$89,3,0)*0.475*44/12</f>
        <v>3.7832767331980004</v>
      </c>
      <c r="AX48" s="21">
        <f t="shared" si="6"/>
        <v>77.112610093955169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22.95333333333333</v>
      </c>
      <c r="BD48" s="12">
        <f>IF('Données projet'!$A$88&gt;35,BD47+BC48-BL47,IF(A48&lt;'Données projet'!$A$88,$BA$205^A48,IF(A48='Données projet'!$A$88,'Données projet'!$B$88,BD47+BC48-BL47)))</f>
        <v>413.40000000000015</v>
      </c>
      <c r="BE48" s="13">
        <f>BD48*VLOOKUP('Données projet'!$B$11,Paramètres!$A$1:$I$89,3,0)*VLOOKUP('Données projet'!$B$11,Paramètres!$A$1:$I$89,5,0)</f>
        <v>193.47120000000007</v>
      </c>
      <c r="BF48" s="13">
        <f t="shared" si="37"/>
        <v>48.306575382296536</v>
      </c>
      <c r="BG48" s="20">
        <f t="shared" si="7"/>
        <v>421.0962921241665</v>
      </c>
      <c r="BH48" s="59">
        <f t="shared" si="8"/>
        <v>714.42962545749981</v>
      </c>
      <c r="BI48" s="59">
        <f ca="1">AVERAGE(OFFSET($BH$3,0,0,'Données projet'!$E$11+1,1))-AVERAGE(OFFSET($H$3,0,0,'Données projet'!$E$11+1,1))</f>
        <v>227.19831549982962</v>
      </c>
      <c r="BJ48" s="59">
        <f t="shared" si="38"/>
        <v>309.84543033784564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43.750246809880821</v>
      </c>
      <c r="BQ48" s="21">
        <f>EXP(-LN(2)/25)*BQ47+(1-EXP(-LN(2)/25))/(LN(2)/25)*Calculateur!BL48*Calculateur!BN48*VLOOKUP('Données projet'!$B$11,Paramètres!$A$1:$I$89,3,0)*0.475*44/12</f>
        <v>23.588761445740214</v>
      </c>
      <c r="BR48" s="21">
        <f>EXP(-LN(2)/2)*BR47+(1-EXP(-LN(2)/2))/(LN(2)/2)*BL48*BO48*VLOOKUP('Données projet'!$B$11,Paramètres!$A$1:$I$89,3,0)*0.475*44/12</f>
        <v>3.9355830851147857</v>
      </c>
      <c r="BS48" s="22">
        <f t="shared" si="9"/>
        <v>71.274591340735824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132.69230769230768</v>
      </c>
      <c r="BW48" s="12">
        <f>VLOOKUP(A48,'Données projet'!$A$113:$I$133,9,0)</f>
        <v>4.7435897435897401</v>
      </c>
      <c r="BX48" s="12">
        <f t="array" ref="BX48">INDEX(BW:BW,MIN(IF(ISNUMBER(BW48:BW244),ROW(BW48:BW244),"")))</f>
        <v>4.7435897435897401</v>
      </c>
      <c r="BY48" s="12">
        <f>IF('Données projet'!$A$114&gt;35,BY47+BX48-CG47,IF(A48&lt;'Données projet'!$A$114,$BV$205^A48,IF(A48='Données projet'!$A$114,'Données projet'!$B$114,BY47+BX48-CG47)))</f>
        <v>132.69230769230768</v>
      </c>
      <c r="BZ48" s="13">
        <f>BY48*VLOOKUP('Données projet'!$B$12,Paramètres!$A$1:$I$89,3,0)*VLOOKUP('Données projet'!$B$12,Paramètres!$A$1:$I$89,5,0)</f>
        <v>86.94</v>
      </c>
      <c r="CA48" s="13">
        <f t="shared" si="39"/>
        <v>23.825747510740353</v>
      </c>
      <c r="CB48" s="20">
        <f t="shared" si="10"/>
        <v>192.91701024787278</v>
      </c>
      <c r="CC48" s="59">
        <f t="shared" si="11"/>
        <v>486.2503435812061</v>
      </c>
      <c r="CD48" s="59">
        <f ca="1">AVERAGE(OFFSET($CC$3,0,0,'Données projet'!$E$12+1,1))-AVERAGE(OFFSET($H$3,0,0,'Données projet'!$E$12+1,1))</f>
        <v>91.274378490051788</v>
      </c>
      <c r="CE48" s="59">
        <f t="shared" si="40"/>
        <v>126.60105012427914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16.025641025641026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0.1075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4.9748240109314512</v>
      </c>
      <c r="CM48" s="21">
        <f>EXP(-LN(2)/2)*CM47+(1-EXP(-LN(2)/2))/(LN(2)/2)*CG48*CJ48*VLOOKUP('Données projet'!$B$12,Paramètres!$A$1:$I$89,3,0)*0.475*44/12</f>
        <v>3.0067930384780581</v>
      </c>
      <c r="CN48" s="22">
        <f t="shared" si="12"/>
        <v>7.9816170494095093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27.111666666666668</v>
      </c>
      <c r="N49" s="13">
        <f>IF('Données projet'!$A$36&gt;35,N48+M49-V48,IF(A49&lt;'Données projet'!$A$36,$K$205^A49,IF(A49='Données projet'!$A$36,'Données projet'!$B$36,N48+M49-V48)))</f>
        <v>601.4966666666669</v>
      </c>
      <c r="O49" s="13">
        <f>N49*VLOOKUP('Données projet'!$B$9,Paramètres!$A$1:$I$89,3,0)*VLOOKUP('Données projet'!$B$9,Paramètres!$A$1:$I$89,5,0)</f>
        <v>336.23663666666675</v>
      </c>
      <c r="P49" s="13">
        <f t="shared" si="33"/>
        <v>78.721908767357917</v>
      </c>
      <c r="Q49" s="20">
        <f t="shared" si="53"/>
        <v>722.71946663092638</v>
      </c>
      <c r="R49" s="59">
        <f t="shared" si="0"/>
        <v>1016.0527999642597</v>
      </c>
      <c r="S49" s="59">
        <f ca="1">AVERAGE(OFFSET($R$3,0,0,'Données projet'!$E$9+1,1))-AVERAGE(OFFSET($H$3,0,0,'Données projet'!$E$9+1,1))</f>
        <v>350.09239406910712</v>
      </c>
      <c r="T49" s="59">
        <f t="shared" si="34"/>
        <v>473.30663081727369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60.100069561830509</v>
      </c>
      <c r="AA49" s="21">
        <f>EXP(-LN(2)/25)*AA48+(1-EXP(-LN(2)/25))/(LN(2)/25)*Calculateur!V49*Calculateur!X49*VLOOKUP('Données projet'!$B$9,Paramètres!$A$1:$I$89,3,0)*0.475*44/12</f>
        <v>25.52655206431244</v>
      </c>
      <c r="AB49" s="21">
        <f>EXP(-LN(2)/2)*AB48+(1-EXP(-LN(2)/2))/(LN(2)/2)*V49*Y49*VLOOKUP('Données projet'!$B$9,Paramètres!$A$1:$I$89,3,0)*0.475*44/12</f>
        <v>3.2769218146452936</v>
      </c>
      <c r="AC49" s="22">
        <f t="shared" si="3"/>
        <v>88.903543440788241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179.4725256147085</v>
      </c>
      <c r="AO49" s="59">
        <f t="shared" si="36"/>
        <v>282.16750121151176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50.829654859234786</v>
      </c>
      <c r="AV49" s="21">
        <f>EXP(-LN(2)/25)*AV48+(1-EXP(-LN(2)/25))/(LN(2)/25)*Calculateur!AQ49*Calculateur!AS49*VLOOKUP('Données projet'!$B$10,Paramètres!$A$1:$I$89,3,0)*0.475*44/12</f>
        <v>20.895549734883879</v>
      </c>
      <c r="AW49" s="21">
        <f>EXP(-LN(2)/2)*AW48+(1-EXP(-LN(2)/2))/(LN(2)/2)*AQ49*AT49*VLOOKUP('Données projet'!$B$10,Paramètres!$A$1:$I$89,3,0)*0.475*44/12</f>
        <v>2.6751806331495951</v>
      </c>
      <c r="AX49" s="21">
        <f t="shared" si="6"/>
        <v>74.400385227268259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22.95333333333333</v>
      </c>
      <c r="BD49" s="12">
        <f>IF('Données projet'!$A$88&gt;35,BD48+BC49-BL48,IF(A49&lt;'Données projet'!$A$88,$BA$205^A49,IF(A49='Données projet'!$A$88,'Données projet'!$B$88,BD48+BC49-BL48)))</f>
        <v>436.35333333333347</v>
      </c>
      <c r="BE49" s="13">
        <f>BD49*VLOOKUP('Données projet'!$B$11,Paramètres!$A$1:$I$89,3,0)*VLOOKUP('Données projet'!$B$11,Paramètres!$A$1:$I$89,5,0)</f>
        <v>204.21336000000008</v>
      </c>
      <c r="BF49" s="13">
        <f t="shared" si="37"/>
        <v>50.669010210991836</v>
      </c>
      <c r="BG49" s="20">
        <f t="shared" si="7"/>
        <v>443.92012811747759</v>
      </c>
      <c r="BH49" s="59">
        <f t="shared" si="8"/>
        <v>737.25346145081085</v>
      </c>
      <c r="BI49" s="59">
        <f ca="1">AVERAGE(OFFSET($BH$3,0,0,'Données projet'!$E$11+1,1))-AVERAGE(OFFSET($H$3,0,0,'Données projet'!$E$11+1,1))</f>
        <v>227.19831549982962</v>
      </c>
      <c r="BJ49" s="59">
        <f t="shared" si="38"/>
        <v>309.84543033784564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42.892331154954682</v>
      </c>
      <c r="BQ49" s="21">
        <f>EXP(-LN(2)/25)*BQ48+(1-EXP(-LN(2)/25))/(LN(2)/25)*Calculateur!BL49*Calculateur!BN49*VLOOKUP('Données projet'!$B$11,Paramètres!$A$1:$I$89,3,0)*0.475*44/12</f>
        <v>22.943725523527398</v>
      </c>
      <c r="BR49" s="21">
        <f>EXP(-LN(2)/2)*BR48+(1-EXP(-LN(2)/2))/(LN(2)/2)*BL49*BO49*VLOOKUP('Données projet'!$B$11,Paramètres!$A$1:$I$89,3,0)*0.475*44/12</f>
        <v>2.7828774874077387</v>
      </c>
      <c r="BS49" s="22">
        <f t="shared" si="9"/>
        <v>68.618934165889826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4.2307692307692317</v>
      </c>
      <c r="BY49" s="12">
        <f>IF('Données projet'!$A$114&gt;35,BY48+BX49-CG48,IF(A49&lt;'Données projet'!$A$114,$BV$205^A49,IF(A49='Données projet'!$A$114,'Données projet'!$B$114,BY48+BX49-CG48)))</f>
        <v>120.89743589743588</v>
      </c>
      <c r="BZ49" s="13">
        <f>BY49*VLOOKUP('Données projet'!$B$12,Paramètres!$A$1:$I$89,3,0)*VLOOKUP('Données projet'!$B$12,Paramètres!$A$1:$I$89,5,0)</f>
        <v>79.211999999999989</v>
      </c>
      <c r="CA49" s="13">
        <f t="shared" si="39"/>
        <v>21.944403173112374</v>
      </c>
      <c r="CB49" s="20">
        <f t="shared" si="10"/>
        <v>176.18073552650404</v>
      </c>
      <c r="CC49" s="59">
        <f t="shared" si="11"/>
        <v>469.51406885983738</v>
      </c>
      <c r="CD49" s="59">
        <f ca="1">AVERAGE(OFFSET($CC$3,0,0,'Données projet'!$E$12+1,1))-AVERAGE(OFFSET($H$3,0,0,'Données projet'!$E$12+1,1))</f>
        <v>91.274378490051788</v>
      </c>
      <c r="CE49" s="59">
        <f t="shared" si="40"/>
        <v>126.60105012427914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4.838787186737906</v>
      </c>
      <c r="CM49" s="21">
        <f>EXP(-LN(2)/2)*CM48+(1-EXP(-LN(2)/2))/(LN(2)/2)*CG49*CJ49*VLOOKUP('Données projet'!$B$12,Paramètres!$A$1:$I$89,3,0)*0.475*44/12</f>
        <v>2.1261237471323389</v>
      </c>
      <c r="CN49" s="22">
        <f t="shared" si="12"/>
        <v>6.9649109338702448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27.111666666666668</v>
      </c>
      <c r="N50" s="13">
        <f>IF('Données projet'!$A$36&gt;35,N49+M50-V49,IF(A50&lt;'Données projet'!$A$36,$K$205^A50,IF(A50='Données projet'!$A$36,'Données projet'!$B$36,N49+M50-V49)))</f>
        <v>628.60833333333358</v>
      </c>
      <c r="O50" s="13">
        <f>N50*VLOOKUP('Données projet'!$B$9,Paramètres!$A$1:$I$89,3,0)*VLOOKUP('Données projet'!$B$9,Paramètres!$A$1:$I$89,5,0)</f>
        <v>351.39205833333347</v>
      </c>
      <c r="P50" s="13">
        <f t="shared" si="33"/>
        <v>81.849084253039365</v>
      </c>
      <c r="Q50" s="20">
        <f t="shared" si="53"/>
        <v>754.56165667126595</v>
      </c>
      <c r="R50" s="59">
        <f t="shared" si="0"/>
        <v>1047.8949900045993</v>
      </c>
      <c r="S50" s="59">
        <f ca="1">AVERAGE(OFFSET($R$3,0,0,'Données projet'!$E$9+1,1))-AVERAGE(OFFSET($H$3,0,0,'Données projet'!$E$9+1,1))</f>
        <v>350.09239406910712</v>
      </c>
      <c r="T50" s="59">
        <f t="shared" si="34"/>
        <v>473.30663081727369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58.921543855145828</v>
      </c>
      <c r="AA50" s="21">
        <f>EXP(-LN(2)/25)*AA49+(1-EXP(-LN(2)/25))/(LN(2)/25)*Calculateur!V50*Calculateur!X50*VLOOKUP('Données projet'!$B$9,Paramètres!$A$1:$I$89,3,0)*0.475*44/12</f>
        <v>24.828527155730786</v>
      </c>
      <c r="AB50" s="21">
        <f>EXP(-LN(2)/2)*AB49+(1-EXP(-LN(2)/2))/(LN(2)/2)*V50*Y50*VLOOKUP('Données projet'!$B$9,Paramètres!$A$1:$I$89,3,0)*0.475*44/12</f>
        <v>2.3171336365538142</v>
      </c>
      <c r="AC50" s="22">
        <f t="shared" si="3"/>
        <v>86.06720464743043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179.4725256147085</v>
      </c>
      <c r="AO50" s="59">
        <f t="shared" si="36"/>
        <v>282.16750121151176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49.83291633047336</v>
      </c>
      <c r="AV50" s="21">
        <f>EXP(-LN(2)/25)*AV49+(1-EXP(-LN(2)/25))/(LN(2)/25)*Calculateur!AQ50*Calculateur!AS50*VLOOKUP('Données projet'!$B$10,Paramètres!$A$1:$I$89,3,0)*0.475*44/12</f>
        <v>20.324159828534277</v>
      </c>
      <c r="AW50" s="21">
        <f>EXP(-LN(2)/2)*AW49+(1-EXP(-LN(2)/2))/(LN(2)/2)*AQ50*AT50*VLOOKUP('Données projet'!$B$10,Paramètres!$A$1:$I$89,3,0)*0.475*44/12</f>
        <v>1.8916383665990004</v>
      </c>
      <c r="AX50" s="21">
        <f t="shared" si="6"/>
        <v>72.048714525606627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22.95333333333333</v>
      </c>
      <c r="BD50" s="12">
        <f>IF('Données projet'!$A$88&gt;35,BD49+BC50-BL49,IF(A50&lt;'Données projet'!$A$88,$BA$205^A50,IF(A50='Données projet'!$A$88,'Données projet'!$B$88,BD49+BC50-BL49)))</f>
        <v>459.30666666666679</v>
      </c>
      <c r="BE50" s="13">
        <f>BD50*VLOOKUP('Données projet'!$B$11,Paramètres!$A$1:$I$89,3,0)*VLOOKUP('Données projet'!$B$11,Paramètres!$A$1:$I$89,5,0)</f>
        <v>214.95552000000006</v>
      </c>
      <c r="BF50" s="13">
        <f t="shared" si="37"/>
        <v>53.017017148216119</v>
      </c>
      <c r="BG50" s="20">
        <f t="shared" si="7"/>
        <v>466.71883553314319</v>
      </c>
      <c r="BH50" s="59">
        <f t="shared" si="8"/>
        <v>760.05216886647645</v>
      </c>
      <c r="BI50" s="59">
        <f ca="1">AVERAGE(OFFSET($BH$3,0,0,'Données projet'!$E$11+1,1))-AVERAGE(OFFSET($H$3,0,0,'Données projet'!$E$11+1,1))</f>
        <v>227.19831549982962</v>
      </c>
      <c r="BJ50" s="59">
        <f t="shared" si="38"/>
        <v>309.84543033784564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42.051238702744769</v>
      </c>
      <c r="BQ50" s="21">
        <f>EXP(-LN(2)/25)*BQ49+(1-EXP(-LN(2)/25))/(LN(2)/25)*Calculateur!BL50*Calculateur!BN50*VLOOKUP('Données projet'!$B$11,Paramètres!$A$1:$I$89,3,0)*0.475*44/12</f>
        <v>22.316328142528455</v>
      </c>
      <c r="BR50" s="21">
        <f>EXP(-LN(2)/2)*BR49+(1-EXP(-LN(2)/2))/(LN(2)/2)*BL50*BO50*VLOOKUP('Données projet'!$B$11,Paramètres!$A$1:$I$89,3,0)*0.475*44/12</f>
        <v>1.9677915425573931</v>
      </c>
      <c r="BS50" s="22">
        <f t="shared" si="9"/>
        <v>66.33535838783061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4.2307692307692317</v>
      </c>
      <c r="BY50" s="12">
        <f>IF('Données projet'!$A$114&gt;35,BY49+BX50-CG49,IF(A50&lt;'Données projet'!$A$114,$BV$205^A50,IF(A50='Données projet'!$A$114,'Données projet'!$B$114,BY49+BX50-CG49)))</f>
        <v>125.12820512820511</v>
      </c>
      <c r="BZ50" s="13">
        <f>BY50*VLOOKUP('Données projet'!$B$12,Paramètres!$A$1:$I$89,3,0)*VLOOKUP('Données projet'!$B$12,Paramètres!$A$1:$I$89,5,0)</f>
        <v>81.983999999999995</v>
      </c>
      <c r="CA50" s="13">
        <f t="shared" si="39"/>
        <v>22.621588649697706</v>
      </c>
      <c r="CB50" s="20">
        <f t="shared" si="10"/>
        <v>182.18806689822347</v>
      </c>
      <c r="CC50" s="59">
        <f t="shared" si="11"/>
        <v>475.52140023155675</v>
      </c>
      <c r="CD50" s="59">
        <f ca="1">AVERAGE(OFFSET($CC$3,0,0,'Données projet'!$E$12+1,1))-AVERAGE(OFFSET($H$3,0,0,'Données projet'!$E$12+1,1))</f>
        <v>91.274378490051788</v>
      </c>
      <c r="CE50" s="59">
        <f t="shared" si="40"/>
        <v>126.60105012427914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4.706470296655799</v>
      </c>
      <c r="CM50" s="21">
        <f>EXP(-LN(2)/2)*CM49+(1-EXP(-LN(2)/2))/(LN(2)/2)*CG50*CJ50*VLOOKUP('Données projet'!$B$12,Paramètres!$A$1:$I$89,3,0)*0.475*44/12</f>
        <v>1.5033965192390293</v>
      </c>
      <c r="CN50" s="22">
        <f t="shared" si="12"/>
        <v>6.209866815894828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27.111666666666668</v>
      </c>
      <c r="M51" s="12">
        <f t="array" ref="M51">INDEX(L:L,MIN(IF(ISNUMBER(L51:L247),ROW(L51:L247),"")))</f>
        <v>27.111666666666668</v>
      </c>
      <c r="N51" s="13">
        <f>IF('Données projet'!$A$36&gt;35,N50+M51-V50,IF(A51&lt;'Données projet'!$A$36,$K$205^A51,IF(A51='Données projet'!$A$36,'Données projet'!$B$36,N50+M51-V50)))</f>
        <v>655.72000000000025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350.09239406910712</v>
      </c>
      <c r="T51" s="59">
        <f t="shared" si="34"/>
        <v>473.30663081727369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101.43000000000006</v>
      </c>
      <c r="W51" s="16">
        <f>IF(ISNA(VLOOKUP(A51,'Données projet'!$A$35:$I$55,5,0)),0%,VLOOKUP(A51,'Données projet'!$A$35:$I$55,5,0)*VLOOKUP('Données projet'!$B$9,Paramètres!$A$1:$I$89,7,0))</f>
        <v>0.33</v>
      </c>
      <c r="X51" s="16">
        <f>IF(ISNA(VLOOKUP(A51,'Données projet'!$A$35:$I$55,6,0)),0%,VLOOKUP(A51,'Données projet'!$A$35:$I$55,6,0)*VLOOKUP('Données projet'!$B$9,Paramètres!$A$1:$I$89,7,0))</f>
        <v>0.11000000000000001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82.587200051718497</v>
      </c>
      <c r="AA51" s="21">
        <f>EXP(-LN(2)/25)*AA50+(1-EXP(-LN(2)/25))/(LN(2)/25)*Calculateur!V51*Calculateur!X51*VLOOKUP('Données projet'!$B$9,Paramètres!$A$1:$I$89,3,0)*0.475*44/12</f>
        <v>32.390703680313976</v>
      </c>
      <c r="AB51" s="21">
        <f>EXP(-LN(2)/2)*AB50+(1-EXP(-LN(2)/2))/(LN(2)/2)*V51*Y51*VLOOKUP('Données projet'!$B$9,Paramètres!$A$1:$I$89,3,0)*0.475*44/12</f>
        <v>14.47783250000329</v>
      </c>
      <c r="AC51" s="22">
        <f t="shared" si="3"/>
        <v>129.45573623203578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179.4725256147085</v>
      </c>
      <c r="AO51" s="59">
        <f t="shared" si="36"/>
        <v>282.16750121151176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0.36</v>
      </c>
      <c r="AS51" s="16">
        <f>IF(ISNA(VLOOKUP(A51,'Données projet'!$A$61:$I$81,6,0)),0%,VLOOKUP(A51,'Données projet'!$A$61:$I$81,6,0)*VLOOKUP('Données projet'!$B$10,Paramètres!$A$1:$I$89,7,0))</f>
        <v>0.12</v>
      </c>
      <c r="AT51" s="16">
        <f>IF(ISNA(VLOOKUP(A51,'Données projet'!$A$61:$I$81,7,0)),0%,VLOOKUP(A51,'Données projet'!$A$61:$I$81,7,0))</f>
        <v>0.2</v>
      </c>
      <c r="AU51" s="21">
        <f>EXP(-LN(2)/35)*AU50+(1-EXP(-LN(2)/35))/(LN(2)/35)*AQ51*AR51*VLOOKUP('Données projet'!$B$10,Paramètres!$A$1:$I$89,3,0)*0.475*44/12</f>
        <v>68.225686788856464</v>
      </c>
      <c r="AV51" s="21">
        <f>EXP(-LN(2)/25)*AV50+(1-EXP(-LN(2)/25))/(LN(2)/25)*Calculateur!AQ51*Calculateur!AS51*VLOOKUP('Données projet'!$B$10,Paramètres!$A$1:$I$89,3,0)*0.475*44/12</f>
        <v>26.199626817723519</v>
      </c>
      <c r="AW51" s="21">
        <f>EXP(-LN(2)/2)*AW50+(1-EXP(-LN(2)/2))/(LN(2)/2)*AQ51*AT51*VLOOKUP('Données projet'!$B$10,Paramètres!$A$1:$I$89,3,0)*0.475*44/12</f>
        <v>10.522258714109489</v>
      </c>
      <c r="AX51" s="21">
        <f t="shared" si="6"/>
        <v>104.94757232068946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482.26</v>
      </c>
      <c r="BB51" s="12">
        <f>VLOOKUP(A51,'Données projet'!$A$87:$I$107,9,0)</f>
        <v>22.95333333333333</v>
      </c>
      <c r="BC51" s="12">
        <f t="array" ref="BC51">INDEX(BB:BB,MIN(IF(ISNUMBER(BB51:BB247),ROW(BB51:BB247),"")))</f>
        <v>22.95333333333333</v>
      </c>
      <c r="BD51" s="12">
        <f>IF('Données projet'!$A$88&gt;35,BD50+BC51-BL50,IF(A51&lt;'Données projet'!$A$88,$BA$205^A51,IF(A51='Données projet'!$A$88,'Données projet'!$B$88,BD50+BC51-BL50)))</f>
        <v>482.2600000000001</v>
      </c>
      <c r="BE51" s="13">
        <f>BD51*VLOOKUP('Données projet'!$B$11,Paramètres!$A$1:$I$89,3,0)*VLOOKUP('Données projet'!$B$11,Paramètres!$A$1:$I$89,5,0)</f>
        <v>225.69768000000002</v>
      </c>
      <c r="BF51" s="13">
        <f t="shared" si="37"/>
        <v>55.35139948623074</v>
      </c>
      <c r="BG51" s="20">
        <f t="shared" si="7"/>
        <v>489.49381343851854</v>
      </c>
      <c r="BH51" s="59">
        <f t="shared" si="8"/>
        <v>782.82714677185186</v>
      </c>
      <c r="BI51" s="59">
        <f ca="1">AVERAGE(OFFSET($BH$3,0,0,'Données projet'!$E$11+1,1))-AVERAGE(OFFSET($H$3,0,0,'Données projet'!$E$11+1,1))</f>
        <v>227.19831549982962</v>
      </c>
      <c r="BJ51" s="59">
        <f t="shared" si="38"/>
        <v>309.84543033784564</v>
      </c>
      <c r="BK51" s="15">
        <f>IF(ISNA(VLOOKUP(A51,'Données projet'!$A$87:$I$107,3,0)),0,VLOOKUP(A51,'Données projet'!$A$87:$I$107,3,0))</f>
        <v>5</v>
      </c>
      <c r="BL51" s="15">
        <f>IF(ISNA(VLOOKUP(A51,'Données projet'!$A$87:$I$107,4,0)),0,VLOOKUP(A51,'Données projet'!$A$87:$I$107,4,0))</f>
        <v>100.36000000000001</v>
      </c>
      <c r="BM51" s="16">
        <f>IF(ISNA(VLOOKUP(A51,'Données projet'!$A$87:$I$107,5,0)),0%,VLOOKUP(A51,'Données projet'!$A$87:$I$107,5,0)*VLOOKUP('Données projet'!$B$11,Paramètres!$A$1:$I$89,7,0))</f>
        <v>0.33</v>
      </c>
      <c r="BN51" s="16">
        <f>IF(ISNA(VLOOKUP(A51,'Données projet'!$A$87:$I$107,6,0)),0%,VLOOKUP(A51,'Données projet'!$A$87:$I$107,6,0)*VLOOKUP('Données projet'!$B$11,Paramètres!$A$1:$I$89,7,0))</f>
        <v>0.11000000000000001</v>
      </c>
      <c r="BO51" s="16">
        <f>IF(ISNA(VLOOKUP(A51,'Données projet'!$A$87:$I$107,7,0)),0%,VLOOKUP(A51,'Données projet'!$A$87:$I$107,7,0))</f>
        <v>0.2</v>
      </c>
      <c r="BP51" s="21">
        <f>EXP(-LN(2)/35)*BP50+(1-EXP(-LN(2)/35))/(LN(2)/35)*BL51*BM51*VLOOKUP('Données projet'!$B$11,Paramètres!$A$1:$I$89,3,0)*0.475*44/12</f>
        <v>61.787855871534518</v>
      </c>
      <c r="BQ51" s="21">
        <f>EXP(-LN(2)/25)*BQ50+(1-EXP(-LN(2)/25))/(LN(2)/25)*Calculateur!BL51*Calculateur!BN51*VLOOKUP('Données projet'!$B$11,Paramètres!$A$1:$I$89,3,0)*0.475*44/12</f>
        <v>28.532839965230803</v>
      </c>
      <c r="BR51" s="21">
        <f>EXP(-LN(2)/2)*BR50+(1-EXP(-LN(2)/2))/(LN(2)/2)*BL51*BO51*VLOOKUP('Données projet'!$B$11,Paramètres!$A$1:$I$89,3,0)*0.475*44/12</f>
        <v>12.027284748049045</v>
      </c>
      <c r="BS51" s="22">
        <f t="shared" si="9"/>
        <v>102.34798058481437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4.2307692307692317</v>
      </c>
      <c r="BY51" s="12">
        <f>IF('Données projet'!$A$114&gt;35,BY50+BX51-CG50,IF(A51&lt;'Données projet'!$A$114,$BV$205^A51,IF(A51='Données projet'!$A$114,'Données projet'!$B$114,BY50+BX51-CG50)))</f>
        <v>129.35897435897434</v>
      </c>
      <c r="BZ51" s="13">
        <f>BY51*VLOOKUP('Données projet'!$B$12,Paramètres!$A$1:$I$89,3,0)*VLOOKUP('Données projet'!$B$12,Paramètres!$A$1:$I$89,5,0)</f>
        <v>84.755999999999986</v>
      </c>
      <c r="CA51" s="13">
        <f t="shared" si="39"/>
        <v>23.29611365958614</v>
      </c>
      <c r="CB51" s="20">
        <f t="shared" si="10"/>
        <v>188.19076462377916</v>
      </c>
      <c r="CC51" s="59">
        <f t="shared" si="11"/>
        <v>481.52409795711247</v>
      </c>
      <c r="CD51" s="59">
        <f ca="1">AVERAGE(OFFSET($CC$3,0,0,'Données projet'!$E$12+1,1))-AVERAGE(OFFSET($H$3,0,0,'Données projet'!$E$12+1,1))</f>
        <v>91.274378490051788</v>
      </c>
      <c r="CE51" s="59">
        <f t="shared" si="40"/>
        <v>126.60105012427914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4.5777716188912301</v>
      </c>
      <c r="CM51" s="21">
        <f>EXP(-LN(2)/2)*CM50+(1-EXP(-LN(2)/2))/(LN(2)/2)*CG51*CJ51*VLOOKUP('Données projet'!$B$12,Paramètres!$A$1:$I$89,3,0)*0.475*44/12</f>
        <v>1.0630618735661694</v>
      </c>
      <c r="CN51" s="22">
        <f t="shared" si="12"/>
        <v>5.6408334924574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25.72000000000001</v>
      </c>
      <c r="N52" s="13">
        <f>IF('Données projet'!$A$36&gt;35,N51+M52-V51,IF(A52&lt;'Données projet'!$A$36,$K$205^A52,IF(A52='Données projet'!$A$36,'Données projet'!$B$36,N51+M52-V51)))</f>
        <v>580.01000000000022</v>
      </c>
      <c r="O52" s="13">
        <f>N52*VLOOKUP('Données projet'!$B$9,Paramètres!$A$1:$I$89,3,0)*VLOOKUP('Données projet'!$B$9,Paramètres!$A$1:$I$89,5,0)</f>
        <v>324.22559000000012</v>
      </c>
      <c r="P52" s="13">
        <f t="shared" si="33"/>
        <v>76.231897434877695</v>
      </c>
      <c r="Q52" s="20">
        <f t="shared" si="53"/>
        <v>697.46345728241215</v>
      </c>
      <c r="R52" s="59">
        <f t="shared" si="0"/>
        <v>990.79679061574552</v>
      </c>
      <c r="S52" s="59">
        <f ca="1">AVERAGE(OFFSET($R$3,0,0,'Données projet'!$E$9+1,1))-AVERAGE(OFFSET($H$3,0,0,'Données projet'!$E$9+1,1))</f>
        <v>350.09239406910712</v>
      </c>
      <c r="T52" s="59">
        <f t="shared" si="34"/>
        <v>473.30663081727369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80.967715431922386</v>
      </c>
      <c r="AA52" s="21">
        <f>EXP(-LN(2)/25)*AA51+(1-EXP(-LN(2)/25))/(LN(2)/25)*Calculateur!V52*Calculateur!X52*VLOOKUP('Données projet'!$B$9,Paramètres!$A$1:$I$89,3,0)*0.475*44/12</f>
        <v>31.504978184822715</v>
      </c>
      <c r="AB52" s="21">
        <f>EXP(-LN(2)/2)*AB51+(1-EXP(-LN(2)/2))/(LN(2)/2)*V52*Y52*VLOOKUP('Données projet'!$B$9,Paramètres!$A$1:$I$89,3,0)*0.475*44/12</f>
        <v>10.237373537635314</v>
      </c>
      <c r="AC52" s="22">
        <f t="shared" si="3"/>
        <v>122.71006715438043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179.4725256147085</v>
      </c>
      <c r="AO52" s="59">
        <f t="shared" si="36"/>
        <v>282.16750121151176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66.887822684486935</v>
      </c>
      <c r="AV52" s="21">
        <f>EXP(-LN(2)/25)*AV51+(1-EXP(-LN(2)/25))/(LN(2)/25)*Calculateur!AQ52*Calculateur!AS52*VLOOKUP('Données projet'!$B$10,Paramètres!$A$1:$I$89,3,0)*0.475*44/12</f>
        <v>25.483196644614374</v>
      </c>
      <c r="AW52" s="21">
        <f>EXP(-LN(2)/2)*AW51+(1-EXP(-LN(2)/2))/(LN(2)/2)*AQ52*AT52*VLOOKUP('Données projet'!$B$10,Paramètres!$A$1:$I$89,3,0)*0.475*44/12</f>
        <v>7.4403604901460616</v>
      </c>
      <c r="AX52" s="21">
        <f t="shared" si="6"/>
        <v>99.811379819247364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20.861428571428569</v>
      </c>
      <c r="BD52" s="12">
        <f>IF('Données projet'!$A$88&gt;35,BD51+BC52-BL51,IF(A52&lt;'Données projet'!$A$88,$BA$205^A52,IF(A52='Données projet'!$A$88,'Données projet'!$B$88,BD51+BC52-BL51)))</f>
        <v>402.76142857142867</v>
      </c>
      <c r="BE52" s="13">
        <f>BD52*VLOOKUP('Données projet'!$B$11,Paramètres!$A$1:$I$89,3,0)*VLOOKUP('Données projet'!$B$11,Paramètres!$A$1:$I$89,5,0)</f>
        <v>188.49234857142861</v>
      </c>
      <c r="BF52" s="13">
        <f t="shared" si="37"/>
        <v>47.206478136726034</v>
      </c>
      <c r="BG52" s="20">
        <f t="shared" si="7"/>
        <v>410.50878985003595</v>
      </c>
      <c r="BH52" s="59">
        <f t="shared" si="8"/>
        <v>703.84212318336927</v>
      </c>
      <c r="BI52" s="59">
        <f ca="1">AVERAGE(OFFSET($BH$3,0,0,'Données projet'!$E$11+1,1))-AVERAGE(OFFSET($H$3,0,0,'Données projet'!$E$11+1,1))</f>
        <v>227.19831549982962</v>
      </c>
      <c r="BJ52" s="59">
        <f t="shared" si="38"/>
        <v>309.84543033784564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60.57623370476454</v>
      </c>
      <c r="BQ52" s="21">
        <f>EXP(-LN(2)/25)*BQ51+(1-EXP(-LN(2)/25))/(LN(2)/25)*Calculateur!BL52*Calculateur!BN52*VLOOKUP('Données projet'!$B$11,Paramètres!$A$1:$I$89,3,0)*0.475*44/12</f>
        <v>27.752607955904725</v>
      </c>
      <c r="BR52" s="21">
        <f>EXP(-LN(2)/2)*BR51+(1-EXP(-LN(2)/2))/(LN(2)/2)*BL52*BO52*VLOOKUP('Données projet'!$B$11,Paramètres!$A$1:$I$89,3,0)*0.475*44/12</f>
        <v>8.5045746046070168</v>
      </c>
      <c r="BS52" s="22">
        <f t="shared" si="9"/>
        <v>96.833416265276284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4.2307692307692317</v>
      </c>
      <c r="BY52" s="12">
        <f>IF('Données projet'!$A$114&gt;35,BY51+BX52-CG51,IF(A52&lt;'Données projet'!$A$114,$BV$205^A52,IF(A52='Données projet'!$A$114,'Données projet'!$B$114,BY51+BX52-CG51)))</f>
        <v>133.58974358974356</v>
      </c>
      <c r="BZ52" s="13">
        <f>BY52*VLOOKUP('Données projet'!$B$12,Paramètres!$A$1:$I$89,3,0)*VLOOKUP('Données projet'!$B$12,Paramètres!$A$1:$I$89,5,0)</f>
        <v>87.527999999999992</v>
      </c>
      <c r="CA52" s="13">
        <f t="shared" si="39"/>
        <v>23.968075193739601</v>
      </c>
      <c r="CB52" s="20">
        <f t="shared" si="10"/>
        <v>194.18899762909643</v>
      </c>
      <c r="CC52" s="59">
        <f t="shared" si="11"/>
        <v>487.52233096242975</v>
      </c>
      <c r="CD52" s="59">
        <f ca="1">AVERAGE(OFFSET($CC$3,0,0,'Données projet'!$E$12+1,1))-AVERAGE(OFFSET($H$3,0,0,'Données projet'!$E$12+1,1))</f>
        <v>91.274378490051788</v>
      </c>
      <c r="CE52" s="59">
        <f t="shared" si="40"/>
        <v>126.60105012427914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4.4525922132381028</v>
      </c>
      <c r="CM52" s="21">
        <f>EXP(-LN(2)/2)*CM51+(1-EXP(-LN(2)/2))/(LN(2)/2)*CG52*CJ52*VLOOKUP('Données projet'!$B$12,Paramètres!$A$1:$I$89,3,0)*0.475*44/12</f>
        <v>0.75169825961951464</v>
      </c>
      <c r="CN52" s="22">
        <f t="shared" si="12"/>
        <v>5.2042904728576174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25.72000000000001</v>
      </c>
      <c r="N53" s="13">
        <f>IF('Données projet'!$A$36&gt;35,N52+M53-V52,IF(A53&lt;'Données projet'!$A$36,$K$205^A53,IF(A53='Données projet'!$A$36,'Données projet'!$B$36,N52+M53-V52)))</f>
        <v>605.73000000000025</v>
      </c>
      <c r="O53" s="13">
        <f>N53*VLOOKUP('Données projet'!$B$9,Paramètres!$A$1:$I$89,3,0)*VLOOKUP('Données projet'!$B$9,Paramètres!$A$1:$I$89,5,0)</f>
        <v>338.60307000000012</v>
      </c>
      <c r="P53" s="13">
        <f t="shared" si="33"/>
        <v>79.211262719631009</v>
      </c>
      <c r="Q53" s="20">
        <f t="shared" si="53"/>
        <v>727.69329615335755</v>
      </c>
      <c r="R53" s="59">
        <f t="shared" si="0"/>
        <v>1021.0266294866908</v>
      </c>
      <c r="S53" s="59">
        <f ca="1">AVERAGE(OFFSET($R$3,0,0,'Données projet'!$E$9+1,1))-AVERAGE(OFFSET($H$3,0,0,'Données projet'!$E$9+1,1))</f>
        <v>350.09239406910712</v>
      </c>
      <c r="T53" s="59">
        <f t="shared" si="34"/>
        <v>473.30663081727369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79.379987917732393</v>
      </c>
      <c r="AA53" s="21">
        <f>EXP(-LN(2)/25)*AA52+(1-EXP(-LN(2)/25))/(LN(2)/25)*Calculateur!V53*Calculateur!X53*VLOOKUP('Données projet'!$B$9,Paramètres!$A$1:$I$89,3,0)*0.475*44/12</f>
        <v>30.643472899583941</v>
      </c>
      <c r="AB53" s="21">
        <f>EXP(-LN(2)/2)*AB52+(1-EXP(-LN(2)/2))/(LN(2)/2)*V53*Y53*VLOOKUP('Données projet'!$B$9,Paramètres!$A$1:$I$89,3,0)*0.475*44/12</f>
        <v>7.2389162500016466</v>
      </c>
      <c r="AC53" s="22">
        <f t="shared" si="3"/>
        <v>117.26237706731798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179.4725256147085</v>
      </c>
      <c r="AO53" s="59">
        <f t="shared" si="36"/>
        <v>282.16750121151176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65.576193279187564</v>
      </c>
      <c r="AV53" s="21">
        <f>EXP(-LN(2)/25)*AV52+(1-EXP(-LN(2)/25))/(LN(2)/25)*Calculateur!AQ53*Calculateur!AS53*VLOOKUP('Données projet'!$B$10,Paramètres!$A$1:$I$89,3,0)*0.475*44/12</f>
        <v>24.786357292264324</v>
      </c>
      <c r="AW53" s="21">
        <f>EXP(-LN(2)/2)*AW52+(1-EXP(-LN(2)/2))/(LN(2)/2)*AQ53*AT53*VLOOKUP('Données projet'!$B$10,Paramètres!$A$1:$I$89,3,0)*0.475*44/12</f>
        <v>5.2611293570547453</v>
      </c>
      <c r="AX53" s="21">
        <f t="shared" si="6"/>
        <v>95.623679928506633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20.861428571428569</v>
      </c>
      <c r="BD53" s="12">
        <f>IF('Données projet'!$A$88&gt;35,BD52+BC53-BL52,IF(A53&lt;'Données projet'!$A$88,$BA$205^A53,IF(A53='Données projet'!$A$88,'Données projet'!$B$88,BD52+BC53-BL52)))</f>
        <v>423.62285714285724</v>
      </c>
      <c r="BE53" s="13">
        <f>BD53*VLOOKUP('Données projet'!$B$11,Paramètres!$A$1:$I$89,3,0)*VLOOKUP('Données projet'!$B$11,Paramètres!$A$1:$I$89,5,0)</f>
        <v>198.25549714285719</v>
      </c>
      <c r="BF53" s="13">
        <f t="shared" si="37"/>
        <v>49.360583536036053</v>
      </c>
      <c r="BG53" s="20">
        <f t="shared" si="7"/>
        <v>431.26467384907232</v>
      </c>
      <c r="BH53" s="59">
        <f t="shared" si="8"/>
        <v>724.59800718240558</v>
      </c>
      <c r="BI53" s="59">
        <f ca="1">AVERAGE(OFFSET($BH$3,0,0,'Données projet'!$E$11+1,1))-AVERAGE(OFFSET($H$3,0,0,'Données projet'!$E$11+1,1))</f>
        <v>227.19831549982962</v>
      </c>
      <c r="BJ53" s="59">
        <f t="shared" si="38"/>
        <v>309.84543033784564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59.388370709668372</v>
      </c>
      <c r="BQ53" s="21">
        <f>EXP(-LN(2)/25)*BQ52+(1-EXP(-LN(2)/25))/(LN(2)/25)*Calculateur!BL53*Calculateur!BN53*VLOOKUP('Données projet'!$B$11,Paramètres!$A$1:$I$89,3,0)*0.475*44/12</f>
        <v>26.993711431904288</v>
      </c>
      <c r="BR53" s="21">
        <f>EXP(-LN(2)/2)*BR52+(1-EXP(-LN(2)/2))/(LN(2)/2)*BL53*BO53*VLOOKUP('Données projet'!$B$11,Paramètres!$A$1:$I$89,3,0)*0.475*44/12</f>
        <v>6.0136423740245233</v>
      </c>
      <c r="BS53" s="22">
        <f t="shared" si="9"/>
        <v>92.39572451559718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137.82051282051282</v>
      </c>
      <c r="BW53" s="12">
        <f>VLOOKUP(A53,'Données projet'!$A$113:$I$133,9,0)</f>
        <v>4.2307692307692317</v>
      </c>
      <c r="BX53" s="12">
        <f t="array" ref="BX53">INDEX(BW:BW,MIN(IF(ISNUMBER(BW53:BW249),ROW(BW53:BW249),"")))</f>
        <v>4.2307692307692317</v>
      </c>
      <c r="BY53" s="12">
        <f>IF('Données projet'!$A$114&gt;35,BY52+BX53-CG52,IF(A53&lt;'Données projet'!$A$114,$BV$205^A53,IF(A53='Données projet'!$A$114,'Données projet'!$B$114,BY52+BX53-CG52)))</f>
        <v>137.82051282051279</v>
      </c>
      <c r="BZ53" s="13">
        <f>BY53*VLOOKUP('Données projet'!$B$12,Paramètres!$A$1:$I$89,3,0)*VLOOKUP('Données projet'!$B$12,Paramètres!$A$1:$I$89,5,0)</f>
        <v>90.299999999999983</v>
      </c>
      <c r="CA53" s="13">
        <f t="shared" si="39"/>
        <v>24.637563750867056</v>
      </c>
      <c r="CB53" s="20">
        <f t="shared" si="10"/>
        <v>200.1829235327601</v>
      </c>
      <c r="CC53" s="59">
        <f t="shared" si="11"/>
        <v>493.51625686609339</v>
      </c>
      <c r="CD53" s="59">
        <f ca="1">AVERAGE(OFFSET($CC$3,0,0,'Données projet'!$E$12+1,1))-AVERAGE(OFFSET($H$3,0,0,'Données projet'!$E$12+1,1))</f>
        <v>91.274378490051788</v>
      </c>
      <c r="CE53" s="59">
        <f t="shared" si="40"/>
        <v>126.60105012427914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15.384615384615383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0.1075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5.5240070079586232</v>
      </c>
      <c r="CM53" s="21">
        <f>EXP(-LN(2)/2)*CM52+(1-EXP(-LN(2)/2))/(LN(2)/2)*CG53*CJ53*VLOOKUP('Données projet'!$B$12,Paramètres!$A$1:$I$89,3,0)*0.475*44/12</f>
        <v>2.9092187615886624</v>
      </c>
      <c r="CN53" s="22">
        <f t="shared" si="12"/>
        <v>8.4332257695472848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25.72000000000001</v>
      </c>
      <c r="N54" s="13">
        <f>IF('Données projet'!$A$36&gt;35,N53+M54-V53,IF(A54&lt;'Données projet'!$A$36,$K$205^A54,IF(A54='Données projet'!$A$36,'Données projet'!$B$36,N53+M54-V53)))</f>
        <v>631.45000000000027</v>
      </c>
      <c r="O54" s="13">
        <f>N54*VLOOKUP('Données projet'!$B$9,Paramètres!$A$1:$I$89,3,0)*VLOOKUP('Données projet'!$B$9,Paramètres!$A$1:$I$89,5,0)</f>
        <v>352.98055000000016</v>
      </c>
      <c r="P54" s="13">
        <f t="shared" si="33"/>
        <v>82.175934220475256</v>
      </c>
      <c r="Q54" s="20">
        <f t="shared" si="53"/>
        <v>757.89754335066129</v>
      </c>
      <c r="R54" s="59">
        <f t="shared" si="0"/>
        <v>1051.2308766839947</v>
      </c>
      <c r="S54" s="59">
        <f ca="1">AVERAGE(OFFSET($R$3,0,0,'Données projet'!$E$9+1,1))-AVERAGE(OFFSET($H$3,0,0,'Données projet'!$E$9+1,1))</f>
        <v>350.09239406910712</v>
      </c>
      <c r="T54" s="59">
        <f t="shared" si="34"/>
        <v>473.30663081727369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77.823394771677513</v>
      </c>
      <c r="AA54" s="21">
        <f>EXP(-LN(2)/25)*AA53+(1-EXP(-LN(2)/25))/(LN(2)/25)*Calculateur!V54*Calculateur!X54*VLOOKUP('Données projet'!$B$9,Paramètres!$A$1:$I$89,3,0)*0.475*44/12</f>
        <v>29.805525521674614</v>
      </c>
      <c r="AB54" s="21">
        <f>EXP(-LN(2)/2)*AB53+(1-EXP(-LN(2)/2))/(LN(2)/2)*V54*Y54*VLOOKUP('Données projet'!$B$9,Paramètres!$A$1:$I$89,3,0)*0.475*44/12</f>
        <v>5.1186867688176578</v>
      </c>
      <c r="AC54" s="22">
        <f t="shared" si="3"/>
        <v>112.74760706216978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179.4725256147085</v>
      </c>
      <c r="AO54" s="59">
        <f t="shared" si="36"/>
        <v>282.16750121151176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64.290284126511168</v>
      </c>
      <c r="AV54" s="21">
        <f>EXP(-LN(2)/25)*AV53+(1-EXP(-LN(2)/25))/(LN(2)/25)*Calculateur!AQ54*Calculateur!AS54*VLOOKUP('Données projet'!$B$10,Paramètres!$A$1:$I$89,3,0)*0.475*44/12</f>
        <v>24.108573048649475</v>
      </c>
      <c r="AW54" s="21">
        <f>EXP(-LN(2)/2)*AW53+(1-EXP(-LN(2)/2))/(LN(2)/2)*AQ54*AT54*VLOOKUP('Données projet'!$B$10,Paramètres!$A$1:$I$89,3,0)*0.475*44/12</f>
        <v>3.7201802450730317</v>
      </c>
      <c r="AX54" s="21">
        <f t="shared" si="6"/>
        <v>92.119037420233681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20.861428571428569</v>
      </c>
      <c r="BD54" s="12">
        <f>IF('Données projet'!$A$88&gt;35,BD53+BC54-BL53,IF(A54&lt;'Données projet'!$A$88,$BA$205^A54,IF(A54='Données projet'!$A$88,'Données projet'!$B$88,BD53+BC54-BL53)))</f>
        <v>444.48428571428582</v>
      </c>
      <c r="BE54" s="13">
        <f>BD54*VLOOKUP('Données projet'!$B$11,Paramètres!$A$1:$I$89,3,0)*VLOOKUP('Données projet'!$B$11,Paramètres!$A$1:$I$89,5,0)</f>
        <v>208.01864571428575</v>
      </c>
      <c r="BF54" s="13">
        <f t="shared" si="37"/>
        <v>51.50237134288971</v>
      </c>
      <c r="BG54" s="20">
        <f t="shared" si="7"/>
        <v>451.99910470791389</v>
      </c>
      <c r="BH54" s="59">
        <f t="shared" si="8"/>
        <v>745.3324380412472</v>
      </c>
      <c r="BI54" s="59">
        <f ca="1">AVERAGE(OFFSET($BH$3,0,0,'Données projet'!$E$11+1,1))-AVERAGE(OFFSET($H$3,0,0,'Données projet'!$E$11+1,1))</f>
        <v>227.19831549982962</v>
      </c>
      <c r="BJ54" s="59">
        <f t="shared" si="38"/>
        <v>309.84543033784564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58.223800983381153</v>
      </c>
      <c r="BQ54" s="21">
        <f>EXP(-LN(2)/25)*BQ53+(1-EXP(-LN(2)/25))/(LN(2)/25)*Calculateur!BL54*Calculateur!BN54*VLOOKUP('Données projet'!$B$11,Paramètres!$A$1:$I$89,3,0)*0.475*44/12</f>
        <v>26.255566973261274</v>
      </c>
      <c r="BR54" s="21">
        <f>EXP(-LN(2)/2)*BR53+(1-EXP(-LN(2)/2))/(LN(2)/2)*BL54*BO54*VLOOKUP('Données projet'!$B$11,Paramètres!$A$1:$I$89,3,0)*0.475*44/12</f>
        <v>4.2522873023035093</v>
      </c>
      <c r="BS54" s="22">
        <f t="shared" si="9"/>
        <v>88.731655258945935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4.1025641025641049</v>
      </c>
      <c r="BY54" s="12">
        <f>IF('Données projet'!$A$114&gt;35,BY53+BX54-CG53,IF(A54&lt;'Données projet'!$A$114,$BV$205^A54,IF(A54='Données projet'!$A$114,'Données projet'!$B$114,BY53+BX54-CG53)))</f>
        <v>126.53846153846152</v>
      </c>
      <c r="BZ54" s="13">
        <f>BY54*VLOOKUP('Données projet'!$B$12,Paramètres!$A$1:$I$89,3,0)*VLOOKUP('Données projet'!$B$12,Paramètres!$A$1:$I$89,5,0)</f>
        <v>82.907999999999987</v>
      </c>
      <c r="CA54" s="13">
        <f t="shared" si="39"/>
        <v>22.846720996433739</v>
      </c>
      <c r="CB54" s="20">
        <f t="shared" si="10"/>
        <v>184.18947240212205</v>
      </c>
      <c r="CC54" s="59">
        <f t="shared" si="11"/>
        <v>477.52280573545534</v>
      </c>
      <c r="CD54" s="59">
        <f ca="1">AVERAGE(OFFSET($CC$3,0,0,'Données projet'!$E$12+1,1))-AVERAGE(OFFSET($H$3,0,0,'Données projet'!$E$12+1,1))</f>
        <v>91.274378490051788</v>
      </c>
      <c r="CE54" s="59">
        <f t="shared" si="40"/>
        <v>126.60105012427914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5.3729527458310917</v>
      </c>
      <c r="CM54" s="21">
        <f>EXP(-LN(2)/2)*CM53+(1-EXP(-LN(2)/2))/(LN(2)/2)*CG54*CJ54*VLOOKUP('Données projet'!$B$12,Paramètres!$A$1:$I$89,3,0)*0.475*44/12</f>
        <v>2.0571283142744732</v>
      </c>
      <c r="CN54" s="22">
        <f t="shared" si="12"/>
        <v>7.4300810601055645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25.72000000000001</v>
      </c>
      <c r="N55" s="13">
        <f>IF('Données projet'!$A$36&gt;35,N54+M55-V54,IF(A55&lt;'Données projet'!$A$36,$K$205^A55,IF(A55='Données projet'!$A$36,'Données projet'!$B$36,N54+M55-V54)))</f>
        <v>657.1700000000003</v>
      </c>
      <c r="O55" s="13">
        <f>N55*VLOOKUP('Données projet'!$B$9,Paramètres!$A$1:$I$89,3,0)*VLOOKUP('Données projet'!$B$9,Paramètres!$A$1:$I$89,5,0)</f>
        <v>367.35803000000016</v>
      </c>
      <c r="P55" s="13">
        <f t="shared" si="33"/>
        <v>85.126578899620242</v>
      </c>
      <c r="Q55" s="20">
        <f t="shared" si="53"/>
        <v>788.07736050017218</v>
      </c>
      <c r="R55" s="59">
        <f t="shared" si="0"/>
        <v>1081.4106938335055</v>
      </c>
      <c r="S55" s="59">
        <f ca="1">AVERAGE(OFFSET($R$3,0,0,'Données projet'!$E$9+1,1))-AVERAGE(OFFSET($H$3,0,0,'Données projet'!$E$9+1,1))</f>
        <v>350.09239406910712</v>
      </c>
      <c r="T55" s="59">
        <f t="shared" si="34"/>
        <v>473.30663081727369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76.297325467788696</v>
      </c>
      <c r="AA55" s="21">
        <f>EXP(-LN(2)/25)*AA54+(1-EXP(-LN(2)/25))/(LN(2)/25)*Calculateur!V55*Calculateur!X55*VLOOKUP('Données projet'!$B$9,Paramètres!$A$1:$I$89,3,0)*0.475*44/12</f>
        <v>28.990491858879956</v>
      </c>
      <c r="AB55" s="21">
        <f>EXP(-LN(2)/2)*AB54+(1-EXP(-LN(2)/2))/(LN(2)/2)*V55*Y55*VLOOKUP('Données projet'!$B$9,Paramètres!$A$1:$I$89,3,0)*0.475*44/12</f>
        <v>3.6194581250008238</v>
      </c>
      <c r="AC55" s="22">
        <f t="shared" si="3"/>
        <v>108.90727545166948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179.4725256147085</v>
      </c>
      <c r="AO55" s="59">
        <f t="shared" si="36"/>
        <v>282.16750121151176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63.029590867991615</v>
      </c>
      <c r="AV55" s="21">
        <f>EXP(-LN(2)/25)*AV54+(1-EXP(-LN(2)/25))/(LN(2)/25)*Calculateur!AQ55*Calculateur!AS55*VLOOKUP('Données projet'!$B$10,Paramètres!$A$1:$I$89,3,0)*0.475*44/12</f>
        <v>23.449322850819399</v>
      </c>
      <c r="AW55" s="21">
        <f>EXP(-LN(2)/2)*AW54+(1-EXP(-LN(2)/2))/(LN(2)/2)*AQ55*AT55*VLOOKUP('Données projet'!$B$10,Paramètres!$A$1:$I$89,3,0)*0.475*44/12</f>
        <v>2.6305646785273731</v>
      </c>
      <c r="AX55" s="21">
        <f t="shared" si="6"/>
        <v>89.109478397338393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20.861428571428569</v>
      </c>
      <c r="BD55" s="12">
        <f>IF('Données projet'!$A$88&gt;35,BD54+BC55-BL54,IF(A55&lt;'Données projet'!$A$88,$BA$205^A55,IF(A55='Données projet'!$A$88,'Données projet'!$B$88,BD54+BC55-BL54)))</f>
        <v>465.34571428571439</v>
      </c>
      <c r="BE55" s="13">
        <f>BD55*VLOOKUP('Données projet'!$B$11,Paramètres!$A$1:$I$89,3,0)*VLOOKUP('Données projet'!$B$11,Paramètres!$A$1:$I$89,5,0)</f>
        <v>217.78179428571434</v>
      </c>
      <c r="BF55" s="13">
        <f t="shared" si="37"/>
        <v>53.632485687564376</v>
      </c>
      <c r="BG55" s="20">
        <f t="shared" si="7"/>
        <v>472.71320428679377</v>
      </c>
      <c r="BH55" s="59">
        <f t="shared" si="8"/>
        <v>766.04653762012708</v>
      </c>
      <c r="BI55" s="59">
        <f ca="1">AVERAGE(OFFSET($BH$3,0,0,'Données projet'!$E$11+1,1))-AVERAGE(OFFSET($H$3,0,0,'Données projet'!$E$11+1,1))</f>
        <v>227.19831549982962</v>
      </c>
      <c r="BJ55" s="59">
        <f t="shared" si="38"/>
        <v>309.84543033784564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57.08206775910903</v>
      </c>
      <c r="BQ55" s="21">
        <f>EXP(-LN(2)/25)*BQ54+(1-EXP(-LN(2)/25))/(LN(2)/25)*Calculateur!BL55*Calculateur!BN55*VLOOKUP('Données projet'!$B$11,Paramètres!$A$1:$I$89,3,0)*0.475*44/12</f>
        <v>25.537607113657184</v>
      </c>
      <c r="BR55" s="21">
        <f>EXP(-LN(2)/2)*BR54+(1-EXP(-LN(2)/2))/(LN(2)/2)*BL55*BO55*VLOOKUP('Données projet'!$B$11,Paramètres!$A$1:$I$89,3,0)*0.475*44/12</f>
        <v>3.0068211870122621</v>
      </c>
      <c r="BS55" s="22">
        <f t="shared" si="9"/>
        <v>85.626496059778475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4.1025641025641049</v>
      </c>
      <c r="BY55" s="12">
        <f>IF('Données projet'!$A$114&gt;35,BY54+BX55-CG54,IF(A55&lt;'Données projet'!$A$114,$BV$205^A55,IF(A55='Données projet'!$A$114,'Données projet'!$B$114,BY54+BX55-CG54)))</f>
        <v>130.64102564102564</v>
      </c>
      <c r="BZ55" s="13">
        <f>BY55*VLOOKUP('Données projet'!$B$12,Paramètres!$A$1:$I$89,3,0)*VLOOKUP('Données projet'!$B$12,Paramètres!$A$1:$I$89,5,0)</f>
        <v>85.596000000000004</v>
      </c>
      <c r="CA55" s="13">
        <f t="shared" si="39"/>
        <v>23.500004802338811</v>
      </c>
      <c r="CB55" s="20">
        <f t="shared" si="10"/>
        <v>190.00887503074011</v>
      </c>
      <c r="CC55" s="59">
        <f t="shared" si="11"/>
        <v>483.34220836407343</v>
      </c>
      <c r="CD55" s="59">
        <f ca="1">AVERAGE(OFFSET($CC$3,0,0,'Données projet'!$E$12+1,1))-AVERAGE(OFFSET($H$3,0,0,'Données projet'!$E$12+1,1))</f>
        <v>91.274378490051788</v>
      </c>
      <c r="CE55" s="59">
        <f t="shared" si="40"/>
        <v>126.60105012427914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5.2260290704450361</v>
      </c>
      <c r="CM55" s="21">
        <f>EXP(-LN(2)/2)*CM54+(1-EXP(-LN(2)/2))/(LN(2)/2)*CG55*CJ55*VLOOKUP('Données projet'!$B$12,Paramètres!$A$1:$I$89,3,0)*0.475*44/12</f>
        <v>1.4546093807943314</v>
      </c>
      <c r="CN55" s="22">
        <f t="shared" si="12"/>
        <v>6.6806384512393677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25.72000000000001</v>
      </c>
      <c r="N56" s="13">
        <f>IF('Données projet'!$A$36&gt;35,N55+M56-V55,IF(A56&lt;'Données projet'!$A$36,$K$205^A56,IF(A56='Données projet'!$A$36,'Données projet'!$B$36,N55+M56-V55)))</f>
        <v>682.89000000000033</v>
      </c>
      <c r="O56" s="13">
        <f>N56*VLOOKUP('Données projet'!$B$9,Paramètres!$A$1:$I$89,3,0)*VLOOKUP('Données projet'!$B$9,Paramètres!$A$1:$I$89,5,0)</f>
        <v>381.7355100000002</v>
      </c>
      <c r="P56" s="13">
        <f t="shared" si="33"/>
        <v>88.063808556932955</v>
      </c>
      <c r="Q56" s="20">
        <f t="shared" si="53"/>
        <v>818.23381315332517</v>
      </c>
      <c r="R56" s="59">
        <f t="shared" si="0"/>
        <v>1111.5671464866584</v>
      </c>
      <c r="S56" s="59">
        <f ca="1">AVERAGE(OFFSET($R$3,0,0,'Données projet'!$E$9+1,1))-AVERAGE(OFFSET($H$3,0,0,'Données projet'!$E$9+1,1))</f>
        <v>350.09239406910712</v>
      </c>
      <c r="T56" s="59">
        <f t="shared" si="34"/>
        <v>473.30663081727369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74.801181452138763</v>
      </c>
      <c r="AA56" s="21">
        <f>EXP(-LN(2)/25)*AA55+(1-EXP(-LN(2)/25))/(LN(2)/25)*Calculateur!V56*Calculateur!X56*VLOOKUP('Données projet'!$B$9,Paramètres!$A$1:$I$89,3,0)*0.475*44/12</f>
        <v>28.197745334455174</v>
      </c>
      <c r="AB56" s="21">
        <f>EXP(-LN(2)/2)*AB55+(1-EXP(-LN(2)/2))/(LN(2)/2)*V56*Y56*VLOOKUP('Données projet'!$B$9,Paramètres!$A$1:$I$89,3,0)*0.475*44/12</f>
        <v>2.5593433844088294</v>
      </c>
      <c r="AC56" s="22">
        <f t="shared" si="3"/>
        <v>105.55827017100277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179.4725256147085</v>
      </c>
      <c r="AO56" s="59">
        <f t="shared" si="36"/>
        <v>282.16750121151176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61.793619035324674</v>
      </c>
      <c r="AV56" s="21">
        <f>EXP(-LN(2)/25)*AV55+(1-EXP(-LN(2)/25))/(LN(2)/25)*Calculateur!AQ56*Calculateur!AS56*VLOOKUP('Données projet'!$B$10,Paramètres!$A$1:$I$89,3,0)*0.475*44/12</f>
        <v>22.80809988431745</v>
      </c>
      <c r="AW56" s="21">
        <f>EXP(-LN(2)/2)*AW55+(1-EXP(-LN(2)/2))/(LN(2)/2)*AQ56*AT56*VLOOKUP('Données projet'!$B$10,Paramètres!$A$1:$I$89,3,0)*0.475*44/12</f>
        <v>1.8600901225365161</v>
      </c>
      <c r="AX56" s="21">
        <f t="shared" si="6"/>
        <v>86.461809042178643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20.861428571428569</v>
      </c>
      <c r="BD56" s="12">
        <f>IF('Données projet'!$A$88&gt;35,BD55+BC56-BL55,IF(A56&lt;'Données projet'!$A$88,$BA$205^A56,IF(A56='Données projet'!$A$88,'Données projet'!$B$88,BD55+BC56-BL55)))</f>
        <v>486.20714285714297</v>
      </c>
      <c r="BE56" s="13">
        <f>BD56*VLOOKUP('Données projet'!$B$11,Paramètres!$A$1:$I$89,3,0)*VLOOKUP('Données projet'!$B$11,Paramètres!$A$1:$I$89,5,0)</f>
        <v>227.54494285714293</v>
      </c>
      <c r="BF56" s="13">
        <f t="shared" si="37"/>
        <v>55.751509682724055</v>
      </c>
      <c r="BG56" s="20">
        <f t="shared" si="7"/>
        <v>493.40798817360161</v>
      </c>
      <c r="BH56" s="59">
        <f t="shared" si="8"/>
        <v>786.74132150693492</v>
      </c>
      <c r="BI56" s="59">
        <f ca="1">AVERAGE(OFFSET($BH$3,0,0,'Données projet'!$E$11+1,1))-AVERAGE(OFFSET($H$3,0,0,'Données projet'!$E$11+1,1))</f>
        <v>227.19831549982962</v>
      </c>
      <c r="BJ56" s="59">
        <f t="shared" si="38"/>
        <v>309.84543033784564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55.962723226976379</v>
      </c>
      <c r="BQ56" s="21">
        <f>EXP(-LN(2)/25)*BQ55+(1-EXP(-LN(2)/25))/(LN(2)/25)*Calculateur!BL56*Calculateur!BN56*VLOOKUP('Données projet'!$B$11,Paramètres!$A$1:$I$89,3,0)*0.475*44/12</f>
        <v>24.839279904169839</v>
      </c>
      <c r="BR56" s="21">
        <f>EXP(-LN(2)/2)*BR55+(1-EXP(-LN(2)/2))/(LN(2)/2)*BL56*BO56*VLOOKUP('Données projet'!$B$11,Paramètres!$A$1:$I$89,3,0)*0.475*44/12</f>
        <v>2.1261436511517546</v>
      </c>
      <c r="BS56" s="22">
        <f t="shared" si="9"/>
        <v>82.928146782297972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4.1025641025641049</v>
      </c>
      <c r="BY56" s="12">
        <f>IF('Données projet'!$A$114&gt;35,BY55+BX56-CG55,IF(A56&lt;'Données projet'!$A$114,$BV$205^A56,IF(A56='Données projet'!$A$114,'Données projet'!$B$114,BY55+BX56-CG55)))</f>
        <v>134.74358974358975</v>
      </c>
      <c r="BZ56" s="13">
        <f>BY56*VLOOKUP('Données projet'!$B$12,Paramètres!$A$1:$I$89,3,0)*VLOOKUP('Données projet'!$B$12,Paramètres!$A$1:$I$89,5,0)</f>
        <v>88.284000000000006</v>
      </c>
      <c r="CA56" s="13">
        <f t="shared" si="39"/>
        <v>24.150904573487356</v>
      </c>
      <c r="CB56" s="20">
        <f t="shared" si="10"/>
        <v>195.82412546549048</v>
      </c>
      <c r="CC56" s="59">
        <f t="shared" si="11"/>
        <v>489.15745879882377</v>
      </c>
      <c r="CD56" s="59">
        <f ca="1">AVERAGE(OFFSET($CC$3,0,0,'Données projet'!$E$12+1,1))-AVERAGE(OFFSET($H$3,0,0,'Données projet'!$E$12+1,1))</f>
        <v>91.274378490051788</v>
      </c>
      <c r="CE56" s="59">
        <f t="shared" si="40"/>
        <v>126.60105012427914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5.0831230306887916</v>
      </c>
      <c r="CM56" s="21">
        <f>EXP(-LN(2)/2)*CM55+(1-EXP(-LN(2)/2))/(LN(2)/2)*CG56*CJ56*VLOOKUP('Données projet'!$B$12,Paramètres!$A$1:$I$89,3,0)*0.475*44/12</f>
        <v>1.0285641571372368</v>
      </c>
      <c r="CN56" s="22">
        <f t="shared" si="12"/>
        <v>6.1116871878260284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25.72000000000001</v>
      </c>
      <c r="M57" s="12">
        <f t="array" ref="M57">INDEX(L:L,MIN(IF(ISNUMBER(L57:L253),ROW(L57:L253),"")))</f>
        <v>25.72000000000001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350.09239406910712</v>
      </c>
      <c r="T57" s="59">
        <f t="shared" si="34"/>
        <v>473.30663081727369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708.61</v>
      </c>
      <c r="W57" s="16">
        <f>IF(ISNA(VLOOKUP(A57,'Données projet'!$A$35:$I$55,5,0)),0%,VLOOKUP(A57,'Données projet'!$A$35:$I$55,5,0)*VLOOKUP('Données projet'!$B$9,Paramètres!$A$1:$I$89,7,0))</f>
        <v>0.33</v>
      </c>
      <c r="X57" s="16">
        <f>IF(ISNA(VLOOKUP(A57,'Données projet'!$A$35:$I$55,6,0)),0%,VLOOKUP(A57,'Données projet'!$A$35:$I$55,6,0)*VLOOKUP('Données projet'!$B$9,Paramètres!$A$1:$I$89,7,0))</f>
        <v>0.11000000000000001</v>
      </c>
      <c r="Y57" s="16">
        <f>IF(ISNA(VLOOKUP(A57,'Données projet'!$A$35:$I$55,7,0)),0%,VLOOKUP(A57,'Données projet'!$A$35:$I$55,7,0))</f>
        <v>0.2</v>
      </c>
      <c r="Z57" s="21">
        <f>EXP(-LN(2)/35)*Z56+(1-EXP(-LN(2)/35))/(LN(2)/35)*V57*W57*VLOOKUP('Données projet'!$B$9,Paramètres!$A$1:$I$89,3,0)*0.475*44/12</f>
        <v>246.73928215579772</v>
      </c>
      <c r="AA57" s="21">
        <f>EXP(-LN(2)/25)*AA56+(1-EXP(-LN(2)/25))/(LN(2)/25)*Calculateur!V57*Calculateur!X57*VLOOKUP('Données projet'!$B$9,Paramètres!$A$1:$I$89,3,0)*0.475*44/12</f>
        <v>85.000724858553923</v>
      </c>
      <c r="AB57" s="21">
        <f>EXP(-LN(2)/2)*AB56+(1-EXP(-LN(2)/2))/(LN(2)/2)*V57*Y57*VLOOKUP('Données projet'!$B$9,Paramètres!$A$1:$I$89,3,0)*0.475*44/12</f>
        <v>91.508113212056003</v>
      </c>
      <c r="AC57" s="22">
        <f t="shared" si="3"/>
        <v>423.24812022640765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179.4725256147085</v>
      </c>
      <c r="AO57" s="59">
        <f t="shared" si="36"/>
        <v>282.16750121151176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60.58188385642795</v>
      </c>
      <c r="AV57" s="21">
        <f>EXP(-LN(2)/25)*AV56+(1-EXP(-LN(2)/25))/(LN(2)/25)*Calculateur!AQ57*Calculateur!AS57*VLOOKUP('Données projet'!$B$10,Paramètres!$A$1:$I$89,3,0)*0.475*44/12</f>
        <v>22.184411193554944</v>
      </c>
      <c r="AW57" s="21">
        <f>EXP(-LN(2)/2)*AW56+(1-EXP(-LN(2)/2))/(LN(2)/2)*AQ57*AT57*VLOOKUP('Données projet'!$B$10,Paramètres!$A$1:$I$89,3,0)*0.475*44/12</f>
        <v>1.3152823392636868</v>
      </c>
      <c r="AX57" s="21">
        <f t="shared" si="6"/>
        <v>84.081577389246576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20.861428571428569</v>
      </c>
      <c r="BD57" s="12">
        <f>IF('Données projet'!$A$88&gt;35,BD56+BC57-BL56,IF(A57&lt;'Données projet'!$A$88,$BA$205^A57,IF(A57='Données projet'!$A$88,'Données projet'!$B$88,BD56+BC57-BL56)))</f>
        <v>507.06857142857154</v>
      </c>
      <c r="BE57" s="13">
        <f>BD57*VLOOKUP('Données projet'!$B$11,Paramètres!$A$1:$I$89,3,0)*VLOOKUP('Données projet'!$B$11,Paramètres!$A$1:$I$89,5,0)</f>
        <v>237.30809142857149</v>
      </c>
      <c r="BF57" s="13">
        <f t="shared" si="37"/>
        <v>57.859973572356239</v>
      </c>
      <c r="BG57" s="20">
        <f t="shared" si="7"/>
        <v>514.0843798766158</v>
      </c>
      <c r="BH57" s="59">
        <f t="shared" si="8"/>
        <v>807.41771320994917</v>
      </c>
      <c r="BI57" s="59">
        <f ca="1">AVERAGE(OFFSET($BH$3,0,0,'Données projet'!$E$11+1,1))-AVERAGE(OFFSET($H$3,0,0,'Données projet'!$E$11+1,1))</f>
        <v>227.19831549982962</v>
      </c>
      <c r="BJ57" s="59">
        <f t="shared" si="38"/>
        <v>309.84543033784564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54.865328358386101</v>
      </c>
      <c r="BQ57" s="21">
        <f>EXP(-LN(2)/25)*BQ56+(1-EXP(-LN(2)/25))/(LN(2)/25)*Calculateur!BL57*Calculateur!BN57*VLOOKUP('Données projet'!$B$11,Paramètres!$A$1:$I$89,3,0)*0.475*44/12</f>
        <v>24.160048488949357</v>
      </c>
      <c r="BR57" s="21">
        <f>EXP(-LN(2)/2)*BR56+(1-EXP(-LN(2)/2))/(LN(2)/2)*BL57*BO57*VLOOKUP('Données projet'!$B$11,Paramètres!$A$1:$I$89,3,0)*0.475*44/12</f>
        <v>1.503410593506131</v>
      </c>
      <c r="BS57" s="22">
        <f t="shared" si="9"/>
        <v>80.528787440841583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4.1025641025641049</v>
      </c>
      <c r="BY57" s="12">
        <f>IF('Données projet'!$A$114&gt;35,BY56+BX57-CG56,IF(A57&lt;'Données projet'!$A$114,$BV$205^A57,IF(A57='Données projet'!$A$114,'Données projet'!$B$114,BY56+BX57-CG56)))</f>
        <v>138.84615384615387</v>
      </c>
      <c r="BZ57" s="13">
        <f>BY57*VLOOKUP('Données projet'!$B$12,Paramètres!$A$1:$I$89,3,0)*VLOOKUP('Données projet'!$B$12,Paramètres!$A$1:$I$89,5,0)</f>
        <v>90.972000000000008</v>
      </c>
      <c r="CA57" s="13">
        <f t="shared" si="39"/>
        <v>24.79950122812183</v>
      </c>
      <c r="CB57" s="20">
        <f t="shared" si="10"/>
        <v>201.63536463897887</v>
      </c>
      <c r="CC57" s="59">
        <f t="shared" si="11"/>
        <v>494.96869797231216</v>
      </c>
      <c r="CD57" s="59">
        <f ca="1">AVERAGE(OFFSET($CC$3,0,0,'Données projet'!$E$12+1,1))-AVERAGE(OFFSET($H$3,0,0,'Données projet'!$E$12+1,1))</f>
        <v>91.274378490051788</v>
      </c>
      <c r="CE57" s="59">
        <f t="shared" si="40"/>
        <v>126.60105012427914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4.9441247641047843</v>
      </c>
      <c r="CM57" s="21">
        <f>EXP(-LN(2)/2)*CM56+(1-EXP(-LN(2)/2))/(LN(2)/2)*CG57*CJ57*VLOOKUP('Données projet'!$B$12,Paramètres!$A$1:$I$89,3,0)*0.475*44/12</f>
        <v>0.72730469039716583</v>
      </c>
      <c r="CN57" s="22">
        <f t="shared" si="12"/>
        <v>5.6714294545019506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3.4106051316484809E-13</v>
      </c>
      <c r="O58" s="13">
        <f>N58*VLOOKUP('Données projet'!$B$9,Paramètres!$A$1:$I$89,3,0)*VLOOKUP('Données projet'!$B$9,Paramètres!$A$1:$I$89,5,0)</f>
        <v>1.9065282685915009E-13</v>
      </c>
      <c r="P58" s="13">
        <f t="shared" si="33"/>
        <v>2.6568987209435707E-12</v>
      </c>
      <c r="Q58" s="20">
        <f t="shared" si="53"/>
        <v>4.959485612423072E-12</v>
      </c>
      <c r="R58" s="59">
        <f t="shared" si="0"/>
        <v>293.33333333333826</v>
      </c>
      <c r="S58" s="59">
        <f ca="1">AVERAGE(OFFSET($R$3,0,0,'Données projet'!$E$9+1,1))-AVERAGE(OFFSET($H$3,0,0,'Données projet'!$E$9+1,1))</f>
        <v>350.09239406910712</v>
      </c>
      <c r="T58" s="59">
        <f t="shared" si="34"/>
        <v>473.30663081727369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241.90087532882438</v>
      </c>
      <c r="AA58" s="21">
        <f>EXP(-LN(2)/25)*AA57+(1-EXP(-LN(2)/25))/(LN(2)/25)*Calculateur!V58*Calculateur!X58*VLOOKUP('Données projet'!$B$9,Paramètres!$A$1:$I$89,3,0)*0.475*44/12</f>
        <v>82.676375567302912</v>
      </c>
      <c r="AB58" s="21">
        <f>EXP(-LN(2)/2)*AB57+(1-EXP(-LN(2)/2))/(LN(2)/2)*V58*Y58*VLOOKUP('Données projet'!$B$9,Paramètres!$A$1:$I$89,3,0)*0.475*44/12</f>
        <v>64.7060073858311</v>
      </c>
      <c r="AC58" s="22">
        <f t="shared" si="3"/>
        <v>389.28325828195841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179.4725256147085</v>
      </c>
      <c r="AO58" s="59">
        <f t="shared" si="36"/>
        <v>282.16750121151176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59.393910065303913</v>
      </c>
      <c r="AV58" s="21">
        <f>EXP(-LN(2)/25)*AV57+(1-EXP(-LN(2)/25))/(LN(2)/25)*Calculateur!AQ58*Calculateur!AS58*VLOOKUP('Données projet'!$B$10,Paramètres!$A$1:$I$89,3,0)*0.475*44/12</f>
        <v>21.577777302839703</v>
      </c>
      <c r="AW58" s="21">
        <f>EXP(-LN(2)/2)*AW57+(1-EXP(-LN(2)/2))/(LN(2)/2)*AQ58*AT58*VLOOKUP('Données projet'!$B$10,Paramètres!$A$1:$I$89,3,0)*0.475*44/12</f>
        <v>0.93004506126825814</v>
      </c>
      <c r="AX58" s="21">
        <f t="shared" si="6"/>
        <v>81.901732429411879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527.92999999999995</v>
      </c>
      <c r="BB58" s="12">
        <f>VLOOKUP(A58,'Données projet'!$A$87:$I$107,9,0)</f>
        <v>20.861428571428569</v>
      </c>
      <c r="BC58" s="12">
        <f t="array" ref="BC58">INDEX(BB:BB,MIN(IF(ISNUMBER(BB58:BB254),ROW(BB58:BB254),"")))</f>
        <v>20.861428571428569</v>
      </c>
      <c r="BD58" s="12">
        <f>IF('Données projet'!$A$88&gt;35,BD57+BC58-BL57,IF(A58&lt;'Données projet'!$A$88,$BA$205^A58,IF(A58='Données projet'!$A$88,'Données projet'!$B$88,BD57+BC58-BL57)))</f>
        <v>527.93000000000006</v>
      </c>
      <c r="BE58" s="13">
        <f>BD58*VLOOKUP('Données projet'!$B$11,Paramètres!$A$1:$I$89,3,0)*VLOOKUP('Données projet'!$B$11,Paramètres!$A$1:$I$89,5,0)</f>
        <v>247.07124000000005</v>
      </c>
      <c r="BF58" s="13">
        <f t="shared" si="37"/>
        <v>59.958361501905493</v>
      </c>
      <c r="BG58" s="20">
        <f t="shared" si="7"/>
        <v>534.74322261581869</v>
      </c>
      <c r="BH58" s="59">
        <f t="shared" si="8"/>
        <v>828.07655594915195</v>
      </c>
      <c r="BI58" s="59">
        <f ca="1">AVERAGE(OFFSET($BH$3,0,0,'Données projet'!$E$11+1,1))-AVERAGE(OFFSET($H$3,0,0,'Données projet'!$E$11+1,1))</f>
        <v>227.19831549982962</v>
      </c>
      <c r="BJ58" s="59">
        <f t="shared" si="38"/>
        <v>309.84543033784564</v>
      </c>
      <c r="BK58" s="15">
        <f>IF(ISNA(VLOOKUP(A58,'Données projet'!$A$87:$I$107,3,0)),0,VLOOKUP(A58,'Données projet'!$A$87:$I$107,3,0))</f>
        <v>6</v>
      </c>
      <c r="BL58" s="15">
        <f>IF(ISNA(VLOOKUP(A58,'Données projet'!$A$87:$I$107,4,0)),0,VLOOKUP(A58,'Données projet'!$A$87:$I$107,4,0))</f>
        <v>98.979999999999961</v>
      </c>
      <c r="BM58" s="16">
        <f>IF(ISNA(VLOOKUP(A58,'Données projet'!$A$87:$I$107,5,0)),0%,VLOOKUP(A58,'Données projet'!$A$87:$I$107,5,0)*VLOOKUP('Données projet'!$B$11,Paramètres!$A$1:$I$89,7,0))</f>
        <v>0.33</v>
      </c>
      <c r="BN58" s="16">
        <f>IF(ISNA(VLOOKUP(A58,'Données projet'!$A$87:$I$107,6,0)),0%,VLOOKUP(A58,'Données projet'!$A$87:$I$107,6,0)*VLOOKUP('Données projet'!$B$11,Paramètres!$A$1:$I$89,7,0))</f>
        <v>0.11000000000000001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74.067942076844304</v>
      </c>
      <c r="BQ58" s="21">
        <f>EXP(-LN(2)/25)*BQ57+(1-EXP(-LN(2)/25))/(LN(2)/25)*Calculateur!BL58*Calculateur!BN58*VLOOKUP('Données projet'!$B$11,Paramètres!$A$1:$I$89,3,0)*0.475*44/12</f>
        <v>30.232272427086148</v>
      </c>
      <c r="BR58" s="21">
        <f>EXP(-LN(2)/2)*BR57+(1-EXP(-LN(2)/2))/(LN(2)/2)*BL58*BO58*VLOOKUP('Données projet'!$B$11,Paramètres!$A$1:$I$89,3,0)*0.475*44/12</f>
        <v>11.552669648514147</v>
      </c>
      <c r="BS58" s="22">
        <f t="shared" si="9"/>
        <v>115.8528841524446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142.94871794871796</v>
      </c>
      <c r="BW58" s="12">
        <f>VLOOKUP(A58,'Données projet'!$A$113:$I$133,9,0)</f>
        <v>4.1025641025641049</v>
      </c>
      <c r="BX58" s="12">
        <f t="array" ref="BX58">INDEX(BW:BW,MIN(IF(ISNUMBER(BW58:BW254),ROW(BW58:BW254),"")))</f>
        <v>4.1025641025641049</v>
      </c>
      <c r="BY58" s="12">
        <f>IF('Données projet'!$A$114&gt;35,BY57+BX58-CG57,IF(A58&lt;'Données projet'!$A$114,$BV$205^A58,IF(A58='Données projet'!$A$114,'Données projet'!$B$114,BY57+BX58-CG57)))</f>
        <v>142.94871794871798</v>
      </c>
      <c r="BZ58" s="13">
        <f>BY58*VLOOKUP('Données projet'!$B$12,Paramètres!$A$1:$I$89,3,0)*VLOOKUP('Données projet'!$B$12,Paramètres!$A$1:$I$89,5,0)</f>
        <v>93.660000000000025</v>
      </c>
      <c r="CA58" s="13">
        <f t="shared" si="39"/>
        <v>25.44587063077217</v>
      </c>
      <c r="CB58" s="20">
        <f t="shared" si="10"/>
        <v>207.44272468192821</v>
      </c>
      <c r="CC58" s="59">
        <f t="shared" si="11"/>
        <v>500.77605801526153</v>
      </c>
      <c r="CD58" s="59">
        <f ca="1">AVERAGE(OFFSET($CC$3,0,0,'Données projet'!$E$12+1,1))-AVERAGE(OFFSET($H$3,0,0,'Données projet'!$E$12+1,1))</f>
        <v>91.274378490051788</v>
      </c>
      <c r="CE58" s="59">
        <f t="shared" si="40"/>
        <v>126.60105012427914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14.743589743589743</v>
      </c>
      <c r="CH58" s="16">
        <f>IF(ISNA(VLOOKUP(A58,'Données projet'!$A$113:$I$133,5,0)),0%,VLOOKUP(A58,'Données projet'!$A$113:$I$133,5,0)*VLOOKUP('Données projet'!$B$12,Paramètres!$A$1:$I$89,7,0))</f>
        <v>0.1075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1.147975715625992</v>
      </c>
      <c r="CL58" s="21">
        <f>EXP(-LN(2)/25)*CL57+(1-EXP(-LN(2)/25))/(LN(2)/25)*Calculateur!CG58*Calculateur!CI58*VLOOKUP('Données projet'!$B$12,Paramètres!$A$1:$I$89,3,0)*0.475*44/12</f>
        <v>5.9523831102506497</v>
      </c>
      <c r="CM58" s="21">
        <f>EXP(-LN(2)/2)*CM57+(1-EXP(-LN(2)/2))/(LN(2)/2)*CG58*CJ58*VLOOKUP('Données projet'!$B$12,Paramètres!$A$1:$I$89,3,0)*0.475*44/12</f>
        <v>2.7928995773406302</v>
      </c>
      <c r="CN58" s="22">
        <f t="shared" si="12"/>
        <v>9.8932584032172723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3.4106051316484809E-13</v>
      </c>
      <c r="O59" s="13">
        <f>N59*VLOOKUP('Données projet'!$B$9,Paramètres!$A$1:$I$89,3,0)*VLOOKUP('Données projet'!$B$9,Paramètres!$A$1:$I$89,5,0)</f>
        <v>1.9065282685915009E-13</v>
      </c>
      <c r="P59" s="13">
        <f t="shared" si="33"/>
        <v>2.6568987209435707E-12</v>
      </c>
      <c r="Q59" s="20">
        <f t="shared" si="53"/>
        <v>4.959485612423072E-12</v>
      </c>
      <c r="R59" s="59">
        <f t="shared" si="0"/>
        <v>293.33333333333826</v>
      </c>
      <c r="S59" s="59">
        <f ca="1">AVERAGE(OFFSET($R$3,0,0,'Données projet'!$E$9+1,1))-AVERAGE(OFFSET($H$3,0,0,'Données projet'!$E$9+1,1))</f>
        <v>350.09239406910712</v>
      </c>
      <c r="T59" s="59">
        <f t="shared" si="34"/>
        <v>473.30663081727369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237.15734670859123</v>
      </c>
      <c r="AA59" s="21">
        <f>EXP(-LN(2)/25)*AA58+(1-EXP(-LN(2)/25))/(LN(2)/25)*Calculateur!V59*Calculateur!X59*VLOOKUP('Données projet'!$B$9,Paramètres!$A$1:$I$89,3,0)*0.475*44/12</f>
        <v>80.415585729653387</v>
      </c>
      <c r="AB59" s="21">
        <f>EXP(-LN(2)/2)*AB58+(1-EXP(-LN(2)/2))/(LN(2)/2)*V59*Y59*VLOOKUP('Données projet'!$B$9,Paramètres!$A$1:$I$89,3,0)*0.475*44/12</f>
        <v>45.754056606028001</v>
      </c>
      <c r="AC59" s="22">
        <f t="shared" si="3"/>
        <v>363.32698904427264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179.4725256147085</v>
      </c>
      <c r="AO59" s="59">
        <f t="shared" si="36"/>
        <v>282.16750121151176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58.22923171563135</v>
      </c>
      <c r="AV59" s="21">
        <f>EXP(-LN(2)/25)*AV58+(1-EXP(-LN(2)/25))/(LN(2)/25)*Calculateur!AQ59*Calculateur!AS59*VLOOKUP('Données projet'!$B$10,Paramètres!$A$1:$I$89,3,0)*0.475*44/12</f>
        <v>20.987731847767559</v>
      </c>
      <c r="AW59" s="21">
        <f>EXP(-LN(2)/2)*AW58+(1-EXP(-LN(2)/2))/(LN(2)/2)*AQ59*AT59*VLOOKUP('Données projet'!$B$10,Paramètres!$A$1:$I$89,3,0)*0.475*44/12</f>
        <v>0.65764116963184349</v>
      </c>
      <c r="AX59" s="21">
        <f t="shared" si="6"/>
        <v>79.87460473303075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18.802857142857153</v>
      </c>
      <c r="BD59" s="12">
        <f>IF('Données projet'!$A$88&gt;35,BD58+BC59-BL58,IF(A59&lt;'Données projet'!$A$88,$BA$205^A59,IF(A59='Données projet'!$A$88,'Données projet'!$B$88,BD58+BC59-BL58)))</f>
        <v>447.75285714285729</v>
      </c>
      <c r="BE59" s="13">
        <f>BD59*VLOOKUP('Données projet'!$B$11,Paramètres!$A$1:$I$89,3,0)*VLOOKUP('Données projet'!$B$11,Paramètres!$A$1:$I$89,5,0)</f>
        <v>209.54833714285724</v>
      </c>
      <c r="BF59" s="13">
        <f t="shared" si="37"/>
        <v>51.836873635695675</v>
      </c>
      <c r="BG59" s="20">
        <f t="shared" si="7"/>
        <v>455.24590877264626</v>
      </c>
      <c r="BH59" s="59">
        <f t="shared" si="8"/>
        <v>748.57924210597957</v>
      </c>
      <c r="BI59" s="59">
        <f ca="1">AVERAGE(OFFSET($BH$3,0,0,'Données projet'!$E$11+1,1))-AVERAGE(OFFSET($H$3,0,0,'Données projet'!$E$11+1,1))</f>
        <v>227.19831549982962</v>
      </c>
      <c r="BJ59" s="59">
        <f t="shared" si="38"/>
        <v>309.84543033784564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72.615514909701204</v>
      </c>
      <c r="BQ59" s="21">
        <f>EXP(-LN(2)/25)*BQ58+(1-EXP(-LN(2)/25))/(LN(2)/25)*Calculateur!BL59*Calculateur!BN59*VLOOKUP('Données projet'!$B$11,Paramètres!$A$1:$I$89,3,0)*0.475*44/12</f>
        <v>29.405569347721368</v>
      </c>
      <c r="BR59" s="21">
        <f>EXP(-LN(2)/2)*BR58+(1-EXP(-LN(2)/2))/(LN(2)/2)*BL59*BO59*VLOOKUP('Données projet'!$B$11,Paramètres!$A$1:$I$89,3,0)*0.475*44/12</f>
        <v>8.1689710492723631</v>
      </c>
      <c r="BS59" s="22">
        <f t="shared" si="9"/>
        <v>110.19005530669493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3.7179487179487181</v>
      </c>
      <c r="BY59" s="12">
        <f>IF('Données projet'!$A$114&gt;35,BY58+BX59-CG58,IF(A59&lt;'Données projet'!$A$114,$BV$205^A59,IF(A59='Données projet'!$A$114,'Données projet'!$B$114,BY58+BX59-CG58)))</f>
        <v>131.92307692307696</v>
      </c>
      <c r="BZ59" s="13">
        <f>BY59*VLOOKUP('Données projet'!$B$12,Paramètres!$A$1:$I$89,3,0)*VLOOKUP('Données projet'!$B$12,Paramètres!$A$1:$I$89,5,0)</f>
        <v>86.436000000000021</v>
      </c>
      <c r="CA59" s="13">
        <f t="shared" si="39"/>
        <v>23.703663170000006</v>
      </c>
      <c r="CB59" s="20">
        <f t="shared" si="10"/>
        <v>191.82658002108337</v>
      </c>
      <c r="CC59" s="59">
        <f t="shared" si="11"/>
        <v>485.15991335441669</v>
      </c>
      <c r="CD59" s="59">
        <f ca="1">AVERAGE(OFFSET($CC$3,0,0,'Données projet'!$E$12+1,1))-AVERAGE(OFFSET($H$3,0,0,'Données projet'!$E$12+1,1))</f>
        <v>91.274378490051788</v>
      </c>
      <c r="CE59" s="59">
        <f t="shared" si="40"/>
        <v>126.60105012427914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1.1254646120386143</v>
      </c>
      <c r="CL59" s="21">
        <f>EXP(-LN(2)/25)*CL58+(1-EXP(-LN(2)/25))/(LN(2)/25)*Calculateur!CG59*Calculateur!CI59*VLOOKUP('Données projet'!$B$12,Paramètres!$A$1:$I$89,3,0)*0.475*44/12</f>
        <v>5.7896148810786219</v>
      </c>
      <c r="CM59" s="21">
        <f>EXP(-LN(2)/2)*CM58+(1-EXP(-LN(2)/2))/(LN(2)/2)*CG59*CJ59*VLOOKUP('Données projet'!$B$12,Paramètres!$A$1:$I$89,3,0)*0.475*44/12</f>
        <v>1.9748782303106023</v>
      </c>
      <c r="CN59" s="22">
        <f t="shared" si="12"/>
        <v>8.8899577234278393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3.4106051316484809E-13</v>
      </c>
      <c r="O60" s="13">
        <f>N60*VLOOKUP('Données projet'!$B$9,Paramètres!$A$1:$I$89,3,0)*VLOOKUP('Données projet'!$B$9,Paramètres!$A$1:$I$89,5,0)</f>
        <v>1.9065282685915009E-13</v>
      </c>
      <c r="P60" s="13">
        <f t="shared" si="33"/>
        <v>2.6568987209435707E-12</v>
      </c>
      <c r="Q60" s="20">
        <f t="shared" si="53"/>
        <v>4.959485612423072E-12</v>
      </c>
      <c r="R60" s="59">
        <f t="shared" si="0"/>
        <v>293.33333333333826</v>
      </c>
      <c r="S60" s="59">
        <f ca="1">AVERAGE(OFFSET($R$3,0,0,'Données projet'!$E$9+1,1))-AVERAGE(OFFSET($H$3,0,0,'Données projet'!$E$9+1,1))</f>
        <v>350.09239406910712</v>
      </c>
      <c r="T60" s="59">
        <f t="shared" si="34"/>
        <v>473.30663081727369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232.50683579133408</v>
      </c>
      <c r="AA60" s="21">
        <f>EXP(-LN(2)/25)*AA59+(1-EXP(-LN(2)/25))/(LN(2)/25)*Calculateur!V60*Calculateur!X60*VLOOKUP('Données projet'!$B$9,Paramètres!$A$1:$I$89,3,0)*0.475*44/12</f>
        <v>78.21661730900415</v>
      </c>
      <c r="AB60" s="21">
        <f>EXP(-LN(2)/2)*AB59+(1-EXP(-LN(2)/2))/(LN(2)/2)*V60*Y60*VLOOKUP('Données projet'!$B$9,Paramètres!$A$1:$I$89,3,0)*0.475*44/12</f>
        <v>32.35300369291555</v>
      </c>
      <c r="AC60" s="22">
        <f t="shared" si="3"/>
        <v>343.07645679325378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179.4725256147085</v>
      </c>
      <c r="AO60" s="59">
        <f t="shared" si="36"/>
        <v>282.16750121151176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57.087391998012222</v>
      </c>
      <c r="AV60" s="21">
        <f>EXP(-LN(2)/25)*AV59+(1-EXP(-LN(2)/25))/(LN(2)/25)*Calculateur!AQ60*Calculateur!AS60*VLOOKUP('Données projet'!$B$10,Paramètres!$A$1:$I$89,3,0)*0.475*44/12</f>
        <v>20.413821216693506</v>
      </c>
      <c r="AW60" s="21">
        <f>EXP(-LN(2)/2)*AW59+(1-EXP(-LN(2)/2))/(LN(2)/2)*AQ60*AT60*VLOOKUP('Données projet'!$B$10,Paramètres!$A$1:$I$89,3,0)*0.475*44/12</f>
        <v>0.46502253063412918</v>
      </c>
      <c r="AX60" s="21">
        <f t="shared" si="6"/>
        <v>77.966235745339858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18.802857142857153</v>
      </c>
      <c r="BD60" s="12">
        <f>IF('Données projet'!$A$88&gt;35,BD59+BC60-BL59,IF(A60&lt;'Données projet'!$A$88,$BA$205^A60,IF(A60='Données projet'!$A$88,'Données projet'!$B$88,BD59+BC60-BL59)))</f>
        <v>466.55571428571443</v>
      </c>
      <c r="BE60" s="13">
        <f>BD60*VLOOKUP('Données projet'!$B$11,Paramètres!$A$1:$I$89,3,0)*VLOOKUP('Données projet'!$B$11,Paramètres!$A$1:$I$89,5,0)</f>
        <v>218.34807428571435</v>
      </c>
      <c r="BF60" s="13">
        <f t="shared" si="37"/>
        <v>53.755690485315149</v>
      </c>
      <c r="BG60" s="20">
        <f t="shared" si="7"/>
        <v>473.91405697620968</v>
      </c>
      <c r="BH60" s="59">
        <f t="shared" si="8"/>
        <v>767.24739030954299</v>
      </c>
      <c r="BI60" s="59">
        <f ca="1">AVERAGE(OFFSET($BH$3,0,0,'Données projet'!$E$11+1,1))-AVERAGE(OFFSET($H$3,0,0,'Données projet'!$E$11+1,1))</f>
        <v>227.19831549982962</v>
      </c>
      <c r="BJ60" s="59">
        <f t="shared" si="38"/>
        <v>309.84543033784564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71.19156895341267</v>
      </c>
      <c r="BQ60" s="21">
        <f>EXP(-LN(2)/25)*BQ59+(1-EXP(-LN(2)/25))/(LN(2)/25)*Calculateur!BL60*Calculateur!BN60*VLOOKUP('Données projet'!$B$11,Paramètres!$A$1:$I$89,3,0)*0.475*44/12</f>
        <v>28.601472507536243</v>
      </c>
      <c r="BR60" s="21">
        <f>EXP(-LN(2)/2)*BR59+(1-EXP(-LN(2)/2))/(LN(2)/2)*BL60*BO60*VLOOKUP('Données projet'!$B$11,Paramètres!$A$1:$I$89,3,0)*0.475*44/12</f>
        <v>5.7763348242570745</v>
      </c>
      <c r="BS60" s="22">
        <f t="shared" si="9"/>
        <v>105.56937628520599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3.7179487179487181</v>
      </c>
      <c r="BY60" s="12">
        <f>IF('Données projet'!$A$114&gt;35,BY59+BX60-CG59,IF(A60&lt;'Données projet'!$A$114,$BV$205^A60,IF(A60='Données projet'!$A$114,'Données projet'!$B$114,BY59+BX60-CG59)))</f>
        <v>135.64102564102569</v>
      </c>
      <c r="BZ60" s="13">
        <f>BY60*VLOOKUP('Données projet'!$B$12,Paramètres!$A$1:$I$89,3,0)*VLOOKUP('Données projet'!$B$12,Paramètres!$A$1:$I$89,5,0)</f>
        <v>88.872000000000043</v>
      </c>
      <c r="CA60" s="13">
        <f t="shared" si="39"/>
        <v>24.292979182806427</v>
      </c>
      <c r="CB60" s="20">
        <f t="shared" si="10"/>
        <v>197.09567207672126</v>
      </c>
      <c r="CC60" s="59">
        <f t="shared" si="11"/>
        <v>490.42900541005457</v>
      </c>
      <c r="CD60" s="59">
        <f ca="1">AVERAGE(OFFSET($CC$3,0,0,'Données projet'!$E$12+1,1))-AVERAGE(OFFSET($H$3,0,0,'Données projet'!$E$12+1,1))</f>
        <v>91.274378490051788</v>
      </c>
      <c r="CE60" s="59">
        <f t="shared" si="40"/>
        <v>126.60105012427914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1.1033949374621674</v>
      </c>
      <c r="CL60" s="21">
        <f>EXP(-LN(2)/25)*CL59+(1-EXP(-LN(2)/25))/(LN(2)/25)*Calculateur!CG60*Calculateur!CI60*VLOOKUP('Données projet'!$B$12,Paramètres!$A$1:$I$89,3,0)*0.475*44/12</f>
        <v>5.6312975576929123</v>
      </c>
      <c r="CM60" s="21">
        <f>EXP(-LN(2)/2)*CM59+(1-EXP(-LN(2)/2))/(LN(2)/2)*CG60*CJ60*VLOOKUP('Données projet'!$B$12,Paramètres!$A$1:$I$89,3,0)*0.475*44/12</f>
        <v>1.3964497886703153</v>
      </c>
      <c r="CN60" s="22">
        <f t="shared" si="12"/>
        <v>8.1311422838253939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3.4106051316484809E-13</v>
      </c>
      <c r="O61" s="13">
        <f>N61*VLOOKUP('Données projet'!$B$9,Paramètres!$A$1:$I$89,3,0)*VLOOKUP('Données projet'!$B$9,Paramètres!$A$1:$I$89,5,0)</f>
        <v>1.9065282685915009E-13</v>
      </c>
      <c r="P61" s="13">
        <f t="shared" si="33"/>
        <v>2.6568987209435707E-12</v>
      </c>
      <c r="Q61" s="20">
        <f t="shared" si="53"/>
        <v>4.959485612423072E-12</v>
      </c>
      <c r="R61" s="59">
        <f t="shared" si="0"/>
        <v>293.33333333333826</v>
      </c>
      <c r="S61" s="59">
        <f ca="1">AVERAGE(OFFSET($R$3,0,0,'Données projet'!$E$9+1,1))-AVERAGE(OFFSET($H$3,0,0,'Données projet'!$E$9+1,1))</f>
        <v>350.09239406910712</v>
      </c>
      <c r="T61" s="59">
        <f t="shared" si="34"/>
        <v>473.30663081727369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227.94751855663276</v>
      </c>
      <c r="AA61" s="21">
        <f>EXP(-LN(2)/25)*AA60+(1-EXP(-LN(2)/25))/(LN(2)/25)*Calculateur!V61*Calculateur!X61*VLOOKUP('Données projet'!$B$9,Paramètres!$A$1:$I$89,3,0)*0.475*44/12</f>
        <v>76.077779795456294</v>
      </c>
      <c r="AB61" s="21">
        <f>EXP(-LN(2)/2)*AB60+(1-EXP(-LN(2)/2))/(LN(2)/2)*V61*Y61*VLOOKUP('Données projet'!$B$9,Paramètres!$A$1:$I$89,3,0)*0.475*44/12</f>
        <v>22.877028303014001</v>
      </c>
      <c r="AC61" s="22">
        <f t="shared" si="3"/>
        <v>326.90232665510308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179.4725256147085</v>
      </c>
      <c r="AO61" s="59">
        <f t="shared" si="36"/>
        <v>282.16750121151176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55.967943060802142</v>
      </c>
      <c r="AV61" s="21">
        <f>EXP(-LN(2)/25)*AV60+(1-EXP(-LN(2)/25))/(LN(2)/25)*Calculateur!AQ61*Calculateur!AS61*VLOOKUP('Données projet'!$B$10,Paramètres!$A$1:$I$89,3,0)*0.475*44/12</f>
        <v>19.85560420200682</v>
      </c>
      <c r="AW61" s="21">
        <f>EXP(-LN(2)/2)*AW60+(1-EXP(-LN(2)/2))/(LN(2)/2)*AQ61*AT61*VLOOKUP('Données projet'!$B$10,Paramètres!$A$1:$I$89,3,0)*0.475*44/12</f>
        <v>0.3288205848159218</v>
      </c>
      <c r="AX61" s="21">
        <f t="shared" si="6"/>
        <v>76.152367847624873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18.802857142857153</v>
      </c>
      <c r="BD61" s="12">
        <f>IF('Données projet'!$A$88&gt;35,BD60+BC61-BL60,IF(A61&lt;'Données projet'!$A$88,$BA$205^A61,IF(A61='Données projet'!$A$88,'Données projet'!$B$88,BD60+BC61-BL60)))</f>
        <v>485.35857142857157</v>
      </c>
      <c r="BE61" s="13">
        <f>BD61*VLOOKUP('Données projet'!$B$11,Paramètres!$A$1:$I$89,3,0)*VLOOKUP('Données projet'!$B$11,Paramètres!$A$1:$I$89,5,0)</f>
        <v>227.14781142857149</v>
      </c>
      <c r="BF61" s="13">
        <f t="shared" si="37"/>
        <v>55.665524513628384</v>
      </c>
      <c r="BG61" s="20">
        <f t="shared" si="7"/>
        <v>492.56656009933141</v>
      </c>
      <c r="BH61" s="59">
        <f t="shared" si="8"/>
        <v>785.89989343266473</v>
      </c>
      <c r="BI61" s="59">
        <f ca="1">AVERAGE(OFFSET($BH$3,0,0,'Données projet'!$E$11+1,1))-AVERAGE(OFFSET($H$3,0,0,'Données projet'!$E$11+1,1))</f>
        <v>227.19831549982962</v>
      </c>
      <c r="BJ61" s="59">
        <f t="shared" si="38"/>
        <v>309.84543033784564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69.79554570880569</v>
      </c>
      <c r="BQ61" s="21">
        <f>EXP(-LN(2)/25)*BQ60+(1-EXP(-LN(2)/25))/(LN(2)/25)*Calculateur!BL61*Calculateur!BN61*VLOOKUP('Données projet'!$B$11,Paramètres!$A$1:$I$89,3,0)*0.475*44/12</f>
        <v>27.819363737731596</v>
      </c>
      <c r="BR61" s="21">
        <f>EXP(-LN(2)/2)*BR60+(1-EXP(-LN(2)/2))/(LN(2)/2)*BL61*BO61*VLOOKUP('Données projet'!$B$11,Paramètres!$A$1:$I$89,3,0)*0.475*44/12</f>
        <v>4.0844855246361815</v>
      </c>
      <c r="BS61" s="22">
        <f t="shared" si="9"/>
        <v>101.69939497117346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3.7179487179487181</v>
      </c>
      <c r="BY61" s="12">
        <f>IF('Données projet'!$A$114&gt;35,BY60+BX61-CG60,IF(A61&lt;'Données projet'!$A$114,$BV$205^A61,IF(A61='Données projet'!$A$114,'Données projet'!$B$114,BY60+BX61-CG60)))</f>
        <v>139.35897435897442</v>
      </c>
      <c r="BZ61" s="13">
        <f>BY61*VLOOKUP('Données projet'!$B$12,Paramètres!$A$1:$I$89,3,0)*VLOOKUP('Données projet'!$B$12,Paramètres!$A$1:$I$89,5,0)</f>
        <v>91.308000000000035</v>
      </c>
      <c r="CA61" s="13">
        <f t="shared" si="39"/>
        <v>24.880417702348108</v>
      </c>
      <c r="CB61" s="20">
        <f t="shared" si="10"/>
        <v>202.36149416492299</v>
      </c>
      <c r="CC61" s="59">
        <f t="shared" si="11"/>
        <v>495.6948274982563</v>
      </c>
      <c r="CD61" s="59">
        <f ca="1">AVERAGE(OFFSET($CC$3,0,0,'Données projet'!$E$12+1,1))-AVERAGE(OFFSET($H$3,0,0,'Données projet'!$E$12+1,1))</f>
        <v>91.274378490051788</v>
      </c>
      <c r="CE61" s="59">
        <f t="shared" si="40"/>
        <v>126.60105012427914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1.0817580357429926</v>
      </c>
      <c r="CL61" s="21">
        <f>EXP(-LN(2)/25)*CL60+(1-EXP(-LN(2)/25))/(LN(2)/25)*Calculateur!CG61*Calculateur!CI61*VLOOKUP('Données projet'!$B$12,Paramètres!$A$1:$I$89,3,0)*0.475*44/12</f>
        <v>5.4773094298407319</v>
      </c>
      <c r="CM61" s="21">
        <f>EXP(-LN(2)/2)*CM60+(1-EXP(-LN(2)/2))/(LN(2)/2)*CG61*CJ61*VLOOKUP('Données projet'!$B$12,Paramètres!$A$1:$I$89,3,0)*0.475*44/12</f>
        <v>0.98743911515530125</v>
      </c>
      <c r="CN61" s="22">
        <f t="shared" si="12"/>
        <v>7.5465065807390257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3.4106051316484809E-13</v>
      </c>
      <c r="O62" s="13">
        <f>N62*VLOOKUP('Données projet'!$B$9,Paramètres!$A$1:$I$89,3,0)*VLOOKUP('Données projet'!$B$9,Paramètres!$A$1:$I$89,5,0)</f>
        <v>1.9065282685915009E-13</v>
      </c>
      <c r="P62" s="13">
        <f t="shared" si="33"/>
        <v>2.6568987209435707E-12</v>
      </c>
      <c r="Q62" s="20">
        <f t="shared" si="53"/>
        <v>4.959485612423072E-12</v>
      </c>
      <c r="R62" s="59">
        <f t="shared" si="0"/>
        <v>293.33333333333826</v>
      </c>
      <c r="S62" s="59">
        <f ca="1">AVERAGE(OFFSET($R$3,0,0,'Données projet'!$E$9+1,1))-AVERAGE(OFFSET($H$3,0,0,'Données projet'!$E$9+1,1))</f>
        <v>350.09239406910712</v>
      </c>
      <c r="T62" s="59">
        <f t="shared" si="34"/>
        <v>473.30663081727369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223.47760675199501</v>
      </c>
      <c r="AA62" s="21">
        <f>EXP(-LN(2)/25)*AA61+(1-EXP(-LN(2)/25))/(LN(2)/25)*Calculateur!V62*Calculateur!X62*VLOOKUP('Données projet'!$B$9,Paramètres!$A$1:$I$89,3,0)*0.475*44/12</f>
        <v>73.99742890619298</v>
      </c>
      <c r="AB62" s="21">
        <f>EXP(-LN(2)/2)*AB61+(1-EXP(-LN(2)/2))/(LN(2)/2)*V62*Y62*VLOOKUP('Données projet'!$B$9,Paramètres!$A$1:$I$89,3,0)*0.475*44/12</f>
        <v>16.176501846457775</v>
      </c>
      <c r="AC62" s="22">
        <f t="shared" si="3"/>
        <v>313.65153750464577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179.4725256147085</v>
      </c>
      <c r="AO62" s="59">
        <f t="shared" si="36"/>
        <v>282.16750121151176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54.870445834454323</v>
      </c>
      <c r="AV62" s="21">
        <f>EXP(-LN(2)/25)*AV61+(1-EXP(-LN(2)/25))/(LN(2)/25)*Calculateur!AQ62*Calculateur!AS62*VLOOKUP('Données projet'!$B$10,Paramètres!$A$1:$I$89,3,0)*0.475*44/12</f>
        <v>19.312651660942098</v>
      </c>
      <c r="AW62" s="21">
        <f>EXP(-LN(2)/2)*AW61+(1-EXP(-LN(2)/2))/(LN(2)/2)*AQ62*AT62*VLOOKUP('Données projet'!$B$10,Paramètres!$A$1:$I$89,3,0)*0.475*44/12</f>
        <v>0.23251126531706462</v>
      </c>
      <c r="AX62" s="21">
        <f t="shared" si="6"/>
        <v>74.415608760713482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18.802857142857153</v>
      </c>
      <c r="BD62" s="12">
        <f>IF('Données projet'!$A$88&gt;35,BD61+BC62-BL61,IF(A62&lt;'Données projet'!$A$88,$BA$205^A62,IF(A62='Données projet'!$A$88,'Données projet'!$B$88,BD61+BC62-BL61)))</f>
        <v>504.1614285714287</v>
      </c>
      <c r="BE62" s="13">
        <f>BD62*VLOOKUP('Données projet'!$B$11,Paramètres!$A$1:$I$89,3,0)*VLOOKUP('Données projet'!$B$11,Paramètres!$A$1:$I$89,5,0)</f>
        <v>235.94754857142865</v>
      </c>
      <c r="BF62" s="13">
        <f t="shared" si="37"/>
        <v>57.566763545989495</v>
      </c>
      <c r="BG62" s="20">
        <f t="shared" si="7"/>
        <v>511.20409360450321</v>
      </c>
      <c r="BH62" s="59">
        <f t="shared" si="8"/>
        <v>804.53742693783647</v>
      </c>
      <c r="BI62" s="59">
        <f ca="1">AVERAGE(OFFSET($BH$3,0,0,'Données projet'!$E$11+1,1))-AVERAGE(OFFSET($H$3,0,0,'Données projet'!$E$11+1,1))</f>
        <v>227.19831549982962</v>
      </c>
      <c r="BJ62" s="59">
        <f t="shared" si="38"/>
        <v>309.84543033784564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68.426897628535343</v>
      </c>
      <c r="BQ62" s="21">
        <f>EXP(-LN(2)/25)*BQ61+(1-EXP(-LN(2)/25))/(LN(2)/25)*Calculateur!BL62*Calculateur!BN62*VLOOKUP('Données projet'!$B$11,Paramètres!$A$1:$I$89,3,0)*0.475*44/12</f>
        <v>27.058641773366567</v>
      </c>
      <c r="BR62" s="21">
        <f>EXP(-LN(2)/2)*BR61+(1-EXP(-LN(2)/2))/(LN(2)/2)*BL62*BO62*VLOOKUP('Données projet'!$B$11,Paramètres!$A$1:$I$89,3,0)*0.475*44/12</f>
        <v>2.8881674121285372</v>
      </c>
      <c r="BS62" s="22">
        <f t="shared" si="9"/>
        <v>98.373706814030456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3.7179487179487181</v>
      </c>
      <c r="BY62" s="12">
        <f>IF('Données projet'!$A$114&gt;35,BY61+BX62-CG61,IF(A62&lt;'Données projet'!$A$114,$BV$205^A62,IF(A62='Données projet'!$A$114,'Données projet'!$B$114,BY61+BX62-CG61)))</f>
        <v>143.07692307692315</v>
      </c>
      <c r="BZ62" s="13">
        <f>BY62*VLOOKUP('Données projet'!$B$12,Paramètres!$A$1:$I$89,3,0)*VLOOKUP('Données projet'!$B$12,Paramètres!$A$1:$I$89,5,0)</f>
        <v>93.744000000000042</v>
      </c>
      <c r="CA62" s="13">
        <f t="shared" si="39"/>
        <v>25.466034575236794</v>
      </c>
      <c r="CB62" s="20">
        <f t="shared" si="10"/>
        <v>207.62414355187082</v>
      </c>
      <c r="CC62" s="59">
        <f t="shared" si="11"/>
        <v>500.95747688520413</v>
      </c>
      <c r="CD62" s="59">
        <f ca="1">AVERAGE(OFFSET($CC$3,0,0,'Données projet'!$E$12+1,1))-AVERAGE(OFFSET($H$3,0,0,'Données projet'!$E$12+1,1))</f>
        <v>91.274378490051788</v>
      </c>
      <c r="CE62" s="59">
        <f t="shared" si="40"/>
        <v>126.60105012427914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1.0605454204693237</v>
      </c>
      <c r="CL62" s="21">
        <f>EXP(-LN(2)/25)*CL61+(1-EXP(-LN(2)/25))/(LN(2)/25)*Calculateur!CG62*Calculateur!CI62*VLOOKUP('Données projet'!$B$12,Paramètres!$A$1:$I$89,3,0)*0.475*44/12</f>
        <v>5.327532115442553</v>
      </c>
      <c r="CM62" s="21">
        <f>EXP(-LN(2)/2)*CM61+(1-EXP(-LN(2)/2))/(LN(2)/2)*CG62*CJ62*VLOOKUP('Données projet'!$B$12,Paramètres!$A$1:$I$89,3,0)*0.475*44/12</f>
        <v>0.69822489433515778</v>
      </c>
      <c r="CN62" s="22">
        <f t="shared" si="12"/>
        <v>7.0863024302470343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3.4106051316484809E-13</v>
      </c>
      <c r="O63" s="13">
        <f>N63*VLOOKUP('Données projet'!$B$9,Paramètres!$A$1:$I$89,3,0)*VLOOKUP('Données projet'!$B$9,Paramètres!$A$1:$I$89,5,0)</f>
        <v>1.9065282685915009E-13</v>
      </c>
      <c r="P63" s="13">
        <f t="shared" si="33"/>
        <v>2.6568987209435707E-12</v>
      </c>
      <c r="Q63" s="20">
        <f t="shared" si="53"/>
        <v>4.959485612423072E-12</v>
      </c>
      <c r="R63" s="59">
        <f t="shared" si="0"/>
        <v>293.33333333333826</v>
      </c>
      <c r="S63" s="59">
        <f ca="1">AVERAGE(OFFSET($R$3,0,0,'Données projet'!$E$9+1,1))-AVERAGE(OFFSET($H$3,0,0,'Données projet'!$E$9+1,1))</f>
        <v>350.09239406910712</v>
      </c>
      <c r="T63" s="59">
        <f t="shared" si="34"/>
        <v>473.30663081727369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219.09534719146922</v>
      </c>
      <c r="AA63" s="21">
        <f>EXP(-LN(2)/25)*AA62+(1-EXP(-LN(2)/25))/(LN(2)/25)*Calculateur!V63*Calculateur!X63*VLOOKUP('Données projet'!$B$9,Paramètres!$A$1:$I$89,3,0)*0.475*44/12</f>
        <v>71.973965321397472</v>
      </c>
      <c r="AB63" s="21">
        <f>EXP(-LN(2)/2)*AB62+(1-EXP(-LN(2)/2))/(LN(2)/2)*V63*Y63*VLOOKUP('Données projet'!$B$9,Paramètres!$A$1:$I$89,3,0)*0.475*44/12</f>
        <v>11.438514151507</v>
      </c>
      <c r="AC63" s="22">
        <f t="shared" si="3"/>
        <v>302.50782666437368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179.4725256147085</v>
      </c>
      <c r="AO63" s="59">
        <f t="shared" si="36"/>
        <v>282.16750121151176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0.36</v>
      </c>
      <c r="AS63" s="16">
        <f>IF(ISNA(VLOOKUP(A63,'Données projet'!$A$61:$I$81,6,0)),0%,VLOOKUP(A63,'Données projet'!$A$61:$I$81,6,0)*VLOOKUP('Données projet'!$B$10,Paramètres!$A$1:$I$89,7,0))</f>
        <v>0.12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144.38629939736921</v>
      </c>
      <c r="AV63" s="21">
        <f>EXP(-LN(2)/25)*AV62+(1-EXP(-LN(2)/25))/(LN(2)/25)*Calculateur!AQ63*Calculateur!AS63*VLOOKUP('Données projet'!$B$10,Paramètres!$A$1:$I$89,3,0)*0.475*44/12</f>
        <v>48.862924514657642</v>
      </c>
      <c r="AW63" s="21">
        <f>EXP(-LN(2)/2)*AW62+(1-EXP(-LN(2)/2))/(LN(2)/2)*AQ63*AT63*VLOOKUP('Données projet'!$B$10,Paramètres!$A$1:$I$89,3,0)*0.475*44/12</f>
        <v>43.120397874724048</v>
      </c>
      <c r="AX63" s="21">
        <f t="shared" si="6"/>
        <v>236.36962178675088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18.802857142857153</v>
      </c>
      <c r="BD63" s="12">
        <f>IF('Données projet'!$A$88&gt;35,BD62+BC63-BL62,IF(A63&lt;'Données projet'!$A$88,$BA$205^A63,IF(A63='Données projet'!$A$88,'Données projet'!$B$88,BD62+BC63-BL62)))</f>
        <v>522.96428571428589</v>
      </c>
      <c r="BE63" s="13">
        <f>BD63*VLOOKUP('Données projet'!$B$11,Paramètres!$A$1:$I$89,3,0)*VLOOKUP('Données projet'!$B$11,Paramètres!$A$1:$I$89,5,0)</f>
        <v>244.74728571428579</v>
      </c>
      <c r="BF63" s="13">
        <f t="shared" si="37"/>
        <v>59.459764840712523</v>
      </c>
      <c r="BG63" s="20">
        <f t="shared" si="7"/>
        <v>529.827279716622</v>
      </c>
      <c r="BH63" s="59">
        <f t="shared" si="8"/>
        <v>823.16061304995537</v>
      </c>
      <c r="BI63" s="59">
        <f ca="1">AVERAGE(OFFSET($BH$3,0,0,'Données projet'!$E$11+1,1))-AVERAGE(OFFSET($H$3,0,0,'Données projet'!$E$11+1,1))</f>
        <v>227.19831549982962</v>
      </c>
      <c r="BJ63" s="59">
        <f t="shared" si="38"/>
        <v>309.84543033784564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67.085087902326208</v>
      </c>
      <c r="BQ63" s="21">
        <f>EXP(-LN(2)/25)*BQ62+(1-EXP(-LN(2)/25))/(LN(2)/25)*Calculateur!BL63*Calculateur!BN63*VLOOKUP('Données projet'!$B$11,Paramètres!$A$1:$I$89,3,0)*0.475*44/12</f>
        <v>26.318721791121732</v>
      </c>
      <c r="BR63" s="21">
        <f>EXP(-LN(2)/2)*BR62+(1-EXP(-LN(2)/2))/(LN(2)/2)*BL63*BO63*VLOOKUP('Données projet'!$B$11,Paramètres!$A$1:$I$89,3,0)*0.475*44/12</f>
        <v>2.0422427623180908</v>
      </c>
      <c r="BS63" s="22">
        <f t="shared" si="9"/>
        <v>95.446052455766036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146.7948717948718</v>
      </c>
      <c r="BW63" s="12">
        <f>VLOOKUP(A63,'Données projet'!$A$113:$I$133,9,0)</f>
        <v>3.7179487179487181</v>
      </c>
      <c r="BX63" s="12">
        <f t="array" ref="BX63">INDEX(BW:BW,MIN(IF(ISNUMBER(BW63:BW259),ROW(BW63:BW259),"")))</f>
        <v>3.7179487179487181</v>
      </c>
      <c r="BY63" s="12">
        <f>IF('Données projet'!$A$114&gt;35,BY62+BX63-CG62,IF(A63&lt;'Données projet'!$A$114,$BV$205^A63,IF(A63='Données projet'!$A$114,'Données projet'!$B$114,BY62+BX63-CG62)))</f>
        <v>146.79487179487188</v>
      </c>
      <c r="BZ63" s="13">
        <f>BY63*VLOOKUP('Données projet'!$B$12,Paramètres!$A$1:$I$89,3,0)*VLOOKUP('Données projet'!$B$12,Paramètres!$A$1:$I$89,5,0)</f>
        <v>96.180000000000064</v>
      </c>
      <c r="CA63" s="13">
        <f t="shared" si="39"/>
        <v>26.04988258033918</v>
      </c>
      <c r="CB63" s="20">
        <f t="shared" si="10"/>
        <v>212.88371216075754</v>
      </c>
      <c r="CC63" s="59">
        <f t="shared" si="11"/>
        <v>506.21704549409083</v>
      </c>
      <c r="CD63" s="59">
        <f ca="1">AVERAGE(OFFSET($CC$3,0,0,'Données projet'!$E$12+1,1))-AVERAGE(OFFSET($H$3,0,0,'Données projet'!$E$12+1,1))</f>
        <v>91.274378490051788</v>
      </c>
      <c r="CE63" s="59">
        <f t="shared" si="40"/>
        <v>126.60105012427914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14.102564102564102</v>
      </c>
      <c r="CH63" s="16">
        <f>IF(ISNA(VLOOKUP(A63,'Données projet'!$A$113:$I$133,5,0)),0%,VLOOKUP(A63,'Données projet'!$A$113:$I$133,5,0)*VLOOKUP('Données projet'!$B$12,Paramètres!$A$1:$I$89,7,0))</f>
        <v>0.1075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2.1378124996328332</v>
      </c>
      <c r="CL63" s="21">
        <f>EXP(-LN(2)/25)*CL62+(1-EXP(-LN(2)/25))/(LN(2)/25)*Calculateur!CG63*Calculateur!CI63*VLOOKUP('Données projet'!$B$12,Paramètres!$A$1:$I$89,3,0)*0.475*44/12</f>
        <v>6.2755907022809394</v>
      </c>
      <c r="CM63" s="21">
        <f>EXP(-LN(2)/2)*CM62+(1-EXP(-LN(2)/2))/(LN(2)/2)*CG63*CJ63*VLOOKUP('Données projet'!$B$12,Paramètres!$A$1:$I$89,3,0)*0.475*44/12</f>
        <v>2.6732667303160977</v>
      </c>
      <c r="CN63" s="22">
        <f t="shared" si="12"/>
        <v>11.086669932229871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3.4106051316484809E-13</v>
      </c>
      <c r="O64" s="13">
        <f>N64*VLOOKUP('Données projet'!$B$9,Paramètres!$A$1:$I$89,3,0)*VLOOKUP('Données projet'!$B$9,Paramètres!$A$1:$I$89,5,0)</f>
        <v>1.9065282685915009E-13</v>
      </c>
      <c r="P64" s="13">
        <f t="shared" si="33"/>
        <v>2.6568987209435707E-12</v>
      </c>
      <c r="Q64" s="20">
        <f t="shared" si="53"/>
        <v>4.959485612423072E-12</v>
      </c>
      <c r="R64" s="59">
        <f t="shared" si="0"/>
        <v>293.33333333333826</v>
      </c>
      <c r="S64" s="59">
        <f ca="1">AVERAGE(OFFSET($R$3,0,0,'Données projet'!$E$9+1,1))-AVERAGE(OFFSET($H$3,0,0,'Données projet'!$E$9+1,1))</f>
        <v>350.09239406910712</v>
      </c>
      <c r="T64" s="59">
        <f t="shared" si="34"/>
        <v>473.30663081727369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214.79902106801094</v>
      </c>
      <c r="AA64" s="21">
        <f>EXP(-LN(2)/25)*AA63+(1-EXP(-LN(2)/25))/(LN(2)/25)*Calculateur!V64*Calculateur!X64*VLOOKUP('Données projet'!$B$9,Paramètres!$A$1:$I$89,3,0)*0.475*44/12</f>
        <v>70.005833454737527</v>
      </c>
      <c r="AB64" s="21">
        <f>EXP(-LN(2)/2)*AB63+(1-EXP(-LN(2)/2))/(LN(2)/2)*V64*Y64*VLOOKUP('Données projet'!$B$9,Paramètres!$A$1:$I$89,3,0)*0.475*44/12</f>
        <v>8.0882509232288875</v>
      </c>
      <c r="AC64" s="22">
        <f t="shared" si="3"/>
        <v>292.89310544597737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179.4725256147085</v>
      </c>
      <c r="AO64" s="59">
        <f t="shared" si="36"/>
        <v>282.16750121151176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141.55497213313356</v>
      </c>
      <c r="AV64" s="21">
        <f>EXP(-LN(2)/25)*AV63+(1-EXP(-LN(2)/25))/(LN(2)/25)*Calculateur!AQ64*Calculateur!AS64*VLOOKUP('Données projet'!$B$10,Paramètres!$A$1:$I$89,3,0)*0.475*44/12</f>
        <v>47.52676527421481</v>
      </c>
      <c r="AW64" s="21">
        <f>EXP(-LN(2)/2)*AW63+(1-EXP(-LN(2)/2))/(LN(2)/2)*AQ64*AT64*VLOOKUP('Données projet'!$B$10,Paramètres!$A$1:$I$89,3,0)*0.475*44/12</f>
        <v>30.49072574467937</v>
      </c>
      <c r="AX64" s="21">
        <f t="shared" si="6"/>
        <v>219.57246315202775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18.802857142857153</v>
      </c>
      <c r="BD64" s="12">
        <f>IF('Données projet'!$A$88&gt;35,BD63+BC64-BL63,IF(A64&lt;'Données projet'!$A$88,$BA$205^A64,IF(A64='Données projet'!$A$88,'Données projet'!$B$88,BD63+BC64-BL63)))</f>
        <v>541.76714285714309</v>
      </c>
      <c r="BE64" s="13">
        <f>BD64*VLOOKUP('Données projet'!$B$11,Paramètres!$A$1:$I$89,3,0)*VLOOKUP('Données projet'!$B$11,Paramètres!$A$1:$I$89,5,0)</f>
        <v>253.54702285714296</v>
      </c>
      <c r="BF64" s="13">
        <f t="shared" si="37"/>
        <v>61.344858509923142</v>
      </c>
      <c r="BG64" s="20">
        <f t="shared" si="7"/>
        <v>548.43669338097345</v>
      </c>
      <c r="BH64" s="59">
        <f t="shared" si="8"/>
        <v>841.77002671430682</v>
      </c>
      <c r="BI64" s="59">
        <f ca="1">AVERAGE(OFFSET($BH$3,0,0,'Données projet'!$E$11+1,1))-AVERAGE(OFFSET($H$3,0,0,'Données projet'!$E$11+1,1))</f>
        <v>227.19831549982962</v>
      </c>
      <c r="BJ64" s="59">
        <f t="shared" si="38"/>
        <v>309.84543033784564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65.769590246424912</v>
      </c>
      <c r="BQ64" s="21">
        <f>EXP(-LN(2)/25)*BQ63+(1-EXP(-LN(2)/25))/(LN(2)/25)*Calculateur!BL64*Calculateur!BN64*VLOOKUP('Données projet'!$B$11,Paramètres!$A$1:$I$89,3,0)*0.475*44/12</f>
        <v>25.599034959702081</v>
      </c>
      <c r="BR64" s="21">
        <f>EXP(-LN(2)/2)*BR63+(1-EXP(-LN(2)/2))/(LN(2)/2)*BL64*BO64*VLOOKUP('Données projet'!$B$11,Paramètres!$A$1:$I$89,3,0)*0.475*44/12</f>
        <v>1.4440837060642686</v>
      </c>
      <c r="BS64" s="22">
        <f t="shared" si="9"/>
        <v>92.812708912191255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3.333333333333337</v>
      </c>
      <c r="BY64" s="12">
        <f>IF('Données projet'!$A$114&gt;35,BY63+BX64-CG63,IF(A64&lt;'Données projet'!$A$114,$BV$205^A64,IF(A64='Données projet'!$A$114,'Données projet'!$B$114,BY63+BX64-CG63)))</f>
        <v>136.02564102564111</v>
      </c>
      <c r="BZ64" s="13">
        <f>BY64*VLOOKUP('Données projet'!$B$12,Paramètres!$A$1:$I$89,3,0)*VLOOKUP('Données projet'!$B$12,Paramètres!$A$1:$I$89,5,0)</f>
        <v>89.124000000000052</v>
      </c>
      <c r="CA64" s="13">
        <f t="shared" si="39"/>
        <v>24.353834771915079</v>
      </c>
      <c r="CB64" s="20">
        <f t="shared" si="10"/>
        <v>197.64056222775218</v>
      </c>
      <c r="CC64" s="59">
        <f t="shared" si="11"/>
        <v>490.9738955610855</v>
      </c>
      <c r="CD64" s="59">
        <f ca="1">AVERAGE(OFFSET($CC$3,0,0,'Données projet'!$E$12+1,1))-AVERAGE(OFFSET($H$3,0,0,'Données projet'!$E$12+1,1))</f>
        <v>91.274378490051788</v>
      </c>
      <c r="CE64" s="59">
        <f t="shared" si="40"/>
        <v>126.60105012427914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2.0958913004519051</v>
      </c>
      <c r="CL64" s="21">
        <f>EXP(-LN(2)/25)*CL63+(1-EXP(-LN(2)/25))/(LN(2)/25)*Calculateur!CG64*Calculateur!CI64*VLOOKUP('Données projet'!$B$12,Paramètres!$A$1:$I$89,3,0)*0.475*44/12</f>
        <v>6.1039843445080955</v>
      </c>
      <c r="CM64" s="21">
        <f>EXP(-LN(2)/2)*CM63+(1-EXP(-LN(2)/2))/(LN(2)/2)*CG64*CJ64*VLOOKUP('Données projet'!$B$12,Paramètres!$A$1:$I$89,3,0)*0.475*44/12</f>
        <v>1.8902850329269023</v>
      </c>
      <c r="CN64" s="22">
        <f t="shared" si="12"/>
        <v>10.090160677886903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3.4106051316484809E-13</v>
      </c>
      <c r="O65" s="13">
        <f>N65*VLOOKUP('Données projet'!$B$9,Paramètres!$A$1:$I$89,3,0)*VLOOKUP('Données projet'!$B$9,Paramètres!$A$1:$I$89,5,0)</f>
        <v>1.9065282685915009E-13</v>
      </c>
      <c r="P65" s="13">
        <f t="shared" si="33"/>
        <v>2.6568987209435707E-12</v>
      </c>
      <c r="Q65" s="20">
        <f t="shared" si="53"/>
        <v>4.959485612423072E-12</v>
      </c>
      <c r="R65" s="59">
        <f t="shared" si="0"/>
        <v>293.33333333333826</v>
      </c>
      <c r="S65" s="59">
        <f ca="1">AVERAGE(OFFSET($R$3,0,0,'Données projet'!$E$9+1,1))-AVERAGE(OFFSET($H$3,0,0,'Données projet'!$E$9+1,1))</f>
        <v>350.09239406910712</v>
      </c>
      <c r="T65" s="59">
        <f t="shared" si="34"/>
        <v>473.30663081727369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210.5869432793335</v>
      </c>
      <c r="AA65" s="21">
        <f>EXP(-LN(2)/25)*AA64+(1-EXP(-LN(2)/25))/(LN(2)/25)*Calculateur!V65*Calculateur!X65*VLOOKUP('Données projet'!$B$9,Paramètres!$A$1:$I$89,3,0)*0.475*44/12</f>
        <v>68.091520257470947</v>
      </c>
      <c r="AB65" s="21">
        <f>EXP(-LN(2)/2)*AB64+(1-EXP(-LN(2)/2))/(LN(2)/2)*V65*Y65*VLOOKUP('Données projet'!$B$9,Paramètres!$A$1:$I$89,3,0)*0.475*44/12</f>
        <v>5.7192570757535002</v>
      </c>
      <c r="AC65" s="22">
        <f t="shared" si="3"/>
        <v>284.39772061255792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179.4725256147085</v>
      </c>
      <c r="AO65" s="59">
        <f t="shared" si="36"/>
        <v>282.16750121151176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138.77916546961043</v>
      </c>
      <c r="AV65" s="21">
        <f>EXP(-LN(2)/25)*AV64+(1-EXP(-LN(2)/25))/(LN(2)/25)*Calculateur!AQ65*Calculateur!AS65*VLOOKUP('Données projet'!$B$10,Paramètres!$A$1:$I$89,3,0)*0.475*44/12</f>
        <v>46.227143378467446</v>
      </c>
      <c r="AW65" s="21">
        <f>EXP(-LN(2)/2)*AW64+(1-EXP(-LN(2)/2))/(LN(2)/2)*AQ65*AT65*VLOOKUP('Données projet'!$B$10,Paramètres!$A$1:$I$89,3,0)*0.475*44/12</f>
        <v>21.560198937362028</v>
      </c>
      <c r="AX65" s="21">
        <f t="shared" si="6"/>
        <v>206.56650778543991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560.57000000000005</v>
      </c>
      <c r="BB65" s="12">
        <f>VLOOKUP(A65,'Données projet'!$A$87:$I$107,9,0)</f>
        <v>18.802857142857153</v>
      </c>
      <c r="BC65" s="12">
        <f t="array" ref="BC65">INDEX(BB:BB,MIN(IF(ISNUMBER(BB65:BB261),ROW(BB65:BB261),"")))</f>
        <v>18.802857142857153</v>
      </c>
      <c r="BD65" s="12">
        <f>IF('Données projet'!$A$88&gt;35,BD64+BC65-BL64,IF(A65&lt;'Données projet'!$A$88,$BA$205^A65,IF(A65='Données projet'!$A$88,'Données projet'!$B$88,BD64+BC65-BL64)))</f>
        <v>560.57000000000028</v>
      </c>
      <c r="BE65" s="13">
        <f>BD65*VLOOKUP('Données projet'!$B$11,Paramètres!$A$1:$I$89,3,0)*VLOOKUP('Données projet'!$B$11,Paramètres!$A$1:$I$89,5,0)</f>
        <v>262.34676000000013</v>
      </c>
      <c r="BF65" s="13">
        <f t="shared" si="37"/>
        <v>63.222350452164306</v>
      </c>
      <c r="BG65" s="20">
        <f t="shared" si="7"/>
        <v>567.03286737085307</v>
      </c>
      <c r="BH65" s="59">
        <f t="shared" si="8"/>
        <v>860.36620070418644</v>
      </c>
      <c r="BI65" s="59">
        <f ca="1">AVERAGE(OFFSET($BH$3,0,0,'Données projet'!$E$11+1,1))-AVERAGE(OFFSET($H$3,0,0,'Données projet'!$E$11+1,1))</f>
        <v>227.19831549982962</v>
      </c>
      <c r="BJ65" s="59">
        <f t="shared" si="38"/>
        <v>309.84543033784564</v>
      </c>
      <c r="BK65" s="15">
        <f>IF(ISNA(VLOOKUP(A65,'Données projet'!$A$87:$I$107,3,0)),0,VLOOKUP(A65,'Données projet'!$A$87:$I$107,3,0))</f>
        <v>7</v>
      </c>
      <c r="BL65" s="15">
        <f>IF(ISNA(VLOOKUP(A65,'Données projet'!$A$87:$I$107,4,0)),0,VLOOKUP(A65,'Données projet'!$A$87:$I$107,4,0))</f>
        <v>560.57000000000005</v>
      </c>
      <c r="BM65" s="16">
        <f>IF(ISNA(VLOOKUP(A65,'Données projet'!$A$87:$I$107,5,0)),0%,VLOOKUP(A65,'Données projet'!$A$87:$I$107,5,0)*VLOOKUP('Données projet'!$B$11,Paramètres!$A$1:$I$89,7,0))</f>
        <v>0.33</v>
      </c>
      <c r="BN65" s="16">
        <f>IF(ISNA(VLOOKUP(A65,'Données projet'!$A$87:$I$107,6,0)),0%,VLOOKUP(A65,'Données projet'!$A$87:$I$107,6,0)*VLOOKUP('Données projet'!$B$11,Paramètres!$A$1:$I$89,7,0))</f>
        <v>0.11000000000000001</v>
      </c>
      <c r="BO65" s="16">
        <f>IF(ISNA(VLOOKUP(A65,'Données projet'!$A$87:$I$107,7,0)),0%,VLOOKUP(A65,'Données projet'!$A$87:$I$107,7,0))</f>
        <v>0.2</v>
      </c>
      <c r="BP65" s="21">
        <f>EXP(-LN(2)/35)*BP64+(1-EXP(-LN(2)/35))/(LN(2)/35)*BL65*BM65*VLOOKUP('Données projet'!$B$11,Paramètres!$A$1:$I$89,3,0)*0.475*44/12</f>
        <v>179.32645134637164</v>
      </c>
      <c r="BQ65" s="21">
        <f>EXP(-LN(2)/25)*BQ64+(1-EXP(-LN(2)/25))/(LN(2)/25)*Calculateur!BL65*Calculateur!BN65*VLOOKUP('Données projet'!$B$11,Paramètres!$A$1:$I$89,3,0)*0.475*44/12</f>
        <v>63.030483993224031</v>
      </c>
      <c r="BR65" s="21">
        <f>EXP(-LN(2)/2)*BR64+(1-EXP(-LN(2)/2))/(LN(2)/2)*BL65*BO65*VLOOKUP('Données projet'!$B$11,Paramètres!$A$1:$I$89,3,0)*0.475*44/12</f>
        <v>60.42861634584392</v>
      </c>
      <c r="BS65" s="22">
        <f t="shared" si="9"/>
        <v>302.7855516854396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3.333333333333337</v>
      </c>
      <c r="BY65" s="12">
        <f>IF('Données projet'!$A$114&gt;35,BY64+BX65-CG64,IF(A65&lt;'Données projet'!$A$114,$BV$205^A65,IF(A65='Données projet'!$A$114,'Données projet'!$B$114,BY64+BX65-CG64)))</f>
        <v>139.35897435897445</v>
      </c>
      <c r="BZ65" s="13">
        <f>BY65*VLOOKUP('Données projet'!$B$12,Paramètres!$A$1:$I$89,3,0)*VLOOKUP('Données projet'!$B$12,Paramètres!$A$1:$I$89,5,0)</f>
        <v>91.308000000000064</v>
      </c>
      <c r="CA65" s="13">
        <f t="shared" si="39"/>
        <v>24.880417702348119</v>
      </c>
      <c r="CB65" s="20">
        <f t="shared" si="10"/>
        <v>202.36149416492307</v>
      </c>
      <c r="CC65" s="59">
        <f t="shared" si="11"/>
        <v>495.69482749825636</v>
      </c>
      <c r="CD65" s="59">
        <f ca="1">AVERAGE(OFFSET($CC$3,0,0,'Données projet'!$E$12+1,1))-AVERAGE(OFFSET($H$3,0,0,'Données projet'!$E$12+1,1))</f>
        <v>91.274378490051788</v>
      </c>
      <c r="CE65" s="59">
        <f t="shared" si="40"/>
        <v>126.60105012427914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2.0547921504175082</v>
      </c>
      <c r="CL65" s="21">
        <f>EXP(-LN(2)/25)*CL64+(1-EXP(-LN(2)/25))/(LN(2)/25)*Calculateur!CG65*Calculateur!CI65*VLOOKUP('Données projet'!$B$12,Paramètres!$A$1:$I$89,3,0)*0.475*44/12</f>
        <v>5.9370705716129359</v>
      </c>
      <c r="CM65" s="21">
        <f>EXP(-LN(2)/2)*CM64+(1-EXP(-LN(2)/2))/(LN(2)/2)*CG65*CJ65*VLOOKUP('Données projet'!$B$12,Paramètres!$A$1:$I$89,3,0)*0.475*44/12</f>
        <v>1.3366333651580491</v>
      </c>
      <c r="CN65" s="22">
        <f t="shared" si="12"/>
        <v>9.3284960871884923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3.4106051316484809E-13</v>
      </c>
      <c r="O66" s="13">
        <f>N66*VLOOKUP('Données projet'!$B$9,Paramètres!$A$1:$I$89,3,0)*VLOOKUP('Données projet'!$B$9,Paramètres!$A$1:$I$89,5,0)</f>
        <v>1.9065282685915009E-13</v>
      </c>
      <c r="P66" s="13">
        <f t="shared" si="33"/>
        <v>2.6568987209435707E-12</v>
      </c>
      <c r="Q66" s="20">
        <f t="shared" si="53"/>
        <v>4.959485612423072E-12</v>
      </c>
      <c r="R66" s="59">
        <f t="shared" si="0"/>
        <v>293.33333333333826</v>
      </c>
      <c r="S66" s="59">
        <f ca="1">AVERAGE(OFFSET($R$3,0,0,'Données projet'!$E$9+1,1))-AVERAGE(OFFSET($H$3,0,0,'Données projet'!$E$9+1,1))</f>
        <v>350.09239406910712</v>
      </c>
      <c r="T66" s="59">
        <f t="shared" si="34"/>
        <v>473.30663081727369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206.45746176697824</v>
      </c>
      <c r="AA66" s="21">
        <f>EXP(-LN(2)/25)*AA65+(1-EXP(-LN(2)/25))/(LN(2)/25)*Calculateur!V66*Calculateur!X66*VLOOKUP('Données projet'!$B$9,Paramètres!$A$1:$I$89,3,0)*0.475*44/12</f>
        <v>66.229554055252976</v>
      </c>
      <c r="AB66" s="21">
        <f>EXP(-LN(2)/2)*AB65+(1-EXP(-LN(2)/2))/(LN(2)/2)*V66*Y66*VLOOKUP('Données projet'!$B$9,Paramètres!$A$1:$I$89,3,0)*0.475*44/12</f>
        <v>4.0441254616144438</v>
      </c>
      <c r="AC66" s="22">
        <f t="shared" si="3"/>
        <v>276.73114128384566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179.4725256147085</v>
      </c>
      <c r="AO66" s="59">
        <f t="shared" si="36"/>
        <v>282.16750121151176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136.05779068168411</v>
      </c>
      <c r="AV66" s="21">
        <f>EXP(-LN(2)/25)*AV65+(1-EXP(-LN(2)/25))/(LN(2)/25)*Calculateur!AQ66*Calculateur!AS66*VLOOKUP('Données projet'!$B$10,Paramètres!$A$1:$I$89,3,0)*0.475*44/12</f>
        <v>44.963059711803439</v>
      </c>
      <c r="AW66" s="21">
        <f>EXP(-LN(2)/2)*AW65+(1-EXP(-LN(2)/2))/(LN(2)/2)*AQ66*AT66*VLOOKUP('Données projet'!$B$10,Paramètres!$A$1:$I$89,3,0)*0.475*44/12</f>
        <v>15.245362872339687</v>
      </c>
      <c r="AX66" s="21">
        <f t="shared" si="6"/>
        <v>196.26621326582722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2.2737367544323206E-13</v>
      </c>
      <c r="BE66" s="13">
        <f>BD66*VLOOKUP('Données projet'!$B$11,Paramètres!$A$1:$I$89,3,0)*VLOOKUP('Données projet'!$B$11,Paramètres!$A$1:$I$89,5,0)</f>
        <v>1.064108801074326E-13</v>
      </c>
      <c r="BF66" s="13">
        <f t="shared" si="37"/>
        <v>1.5870730813698654E-12</v>
      </c>
      <c r="BG66" s="20">
        <f t="shared" si="7"/>
        <v>2.9494845662396269E-12</v>
      </c>
      <c r="BH66" s="59">
        <f t="shared" si="8"/>
        <v>293.33333333333627</v>
      </c>
      <c r="BI66" s="59">
        <f ca="1">AVERAGE(OFFSET($BH$3,0,0,'Données projet'!$E$11+1,1))-AVERAGE(OFFSET($H$3,0,0,'Données projet'!$E$11+1,1))</f>
        <v>227.19831549982962</v>
      </c>
      <c r="BJ66" s="59">
        <f t="shared" si="38"/>
        <v>309.84543033784564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175.80996901380439</v>
      </c>
      <c r="BQ66" s="21">
        <f>EXP(-LN(2)/25)*BQ65+(1-EXP(-LN(2)/25))/(LN(2)/25)*Calculateur!BL66*Calculateur!BN66*VLOOKUP('Données projet'!$B$11,Paramètres!$A$1:$I$89,3,0)*0.475*44/12</f>
        <v>61.306912093800229</v>
      </c>
      <c r="BR66" s="21">
        <f>EXP(-LN(2)/2)*BR65+(1-EXP(-LN(2)/2))/(LN(2)/2)*BL66*BO66*VLOOKUP('Données projet'!$B$11,Paramètres!$A$1:$I$89,3,0)*0.475*44/12</f>
        <v>42.729484395866486</v>
      </c>
      <c r="BS66" s="22">
        <f t="shared" si="9"/>
        <v>279.84636550347113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3.333333333333337</v>
      </c>
      <c r="BY66" s="12">
        <f>IF('Données projet'!$A$114&gt;35,BY65+BX66-CG65,IF(A66&lt;'Données projet'!$A$114,$BV$205^A66,IF(A66='Données projet'!$A$114,'Données projet'!$B$114,BY65+BX66-CG65)))</f>
        <v>142.69230769230779</v>
      </c>
      <c r="BZ66" s="13">
        <f>BY66*VLOOKUP('Données projet'!$B$12,Paramètres!$A$1:$I$89,3,0)*VLOOKUP('Données projet'!$B$12,Paramètres!$A$1:$I$89,5,0)</f>
        <v>93.492000000000061</v>
      </c>
      <c r="CA66" s="13">
        <f t="shared" si="39"/>
        <v>25.405536424380745</v>
      </c>
      <c r="CB66" s="20">
        <f t="shared" si="10"/>
        <v>207.07987593912989</v>
      </c>
      <c r="CC66" s="59">
        <f t="shared" si="11"/>
        <v>500.41320927246318</v>
      </c>
      <c r="CD66" s="59">
        <f ca="1">AVERAGE(OFFSET($CC$3,0,0,'Données projet'!$E$12+1,1))-AVERAGE(OFFSET($H$3,0,0,'Données projet'!$E$12+1,1))</f>
        <v>91.274378490051788</v>
      </c>
      <c r="CE66" s="59">
        <f t="shared" si="40"/>
        <v>126.60105012427914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2.0144989296472797</v>
      </c>
      <c r="CL66" s="21">
        <f>EXP(-LN(2)/25)*CL65+(1-EXP(-LN(2)/25))/(LN(2)/25)*Calculateur!CG66*Calculateur!CI66*VLOOKUP('Données projet'!$B$12,Paramètres!$A$1:$I$89,3,0)*0.475*44/12</f>
        <v>5.7747210646152078</v>
      </c>
      <c r="CM66" s="21">
        <f>EXP(-LN(2)/2)*CM65+(1-EXP(-LN(2)/2))/(LN(2)/2)*CG66*CJ66*VLOOKUP('Données projet'!$B$12,Paramètres!$A$1:$I$89,3,0)*0.475*44/12</f>
        <v>0.94514251646345138</v>
      </c>
      <c r="CN66" s="22">
        <f t="shared" si="12"/>
        <v>8.7343625107259388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3.4106051316484809E-13</v>
      </c>
      <c r="O67" s="13">
        <f>N67*VLOOKUP('Données projet'!$B$9,Paramètres!$A$1:$I$89,3,0)*VLOOKUP('Données projet'!$B$9,Paramètres!$A$1:$I$89,5,0)</f>
        <v>1.9065282685915009E-13</v>
      </c>
      <c r="P67" s="13">
        <f t="shared" si="33"/>
        <v>2.6568987209435707E-12</v>
      </c>
      <c r="Q67" s="20">
        <f t="shared" ref="Q67:Q98" si="54">(O67+P67)*0.475*44/12</f>
        <v>4.959485612423072E-12</v>
      </c>
      <c r="R67" s="59">
        <f t="shared" ref="R67:R130" si="55">Q67+(I67+J67)*44/12</f>
        <v>293.33333333333826</v>
      </c>
      <c r="S67" s="59">
        <f ca="1">AVERAGE(OFFSET($R$3,0,0,'Données projet'!$E$9+1,1))-AVERAGE(OFFSET($H$3,0,0,'Données projet'!$E$9+1,1))</f>
        <v>350.09239406910712</v>
      </c>
      <c r="T67" s="59">
        <f t="shared" si="34"/>
        <v>473.30663081727369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202.40895686834526</v>
      </c>
      <c r="AA67" s="21">
        <f>EXP(-LN(2)/25)*AA66+(1-EXP(-LN(2)/25))/(LN(2)/25)*Calculateur!V67*Calculateur!X67*VLOOKUP('Données projet'!$B$9,Paramètres!$A$1:$I$89,3,0)*0.475*44/12</f>
        <v>64.418503416751207</v>
      </c>
      <c r="AB67" s="21">
        <f>EXP(-LN(2)/2)*AB66+(1-EXP(-LN(2)/2))/(LN(2)/2)*V67*Y67*VLOOKUP('Données projet'!$B$9,Paramètres!$A$1:$I$89,3,0)*0.475*44/12</f>
        <v>2.8596285378767501</v>
      </c>
      <c r="AC67" s="22">
        <f t="shared" si="3"/>
        <v>269.68708882297318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179.4725256147085</v>
      </c>
      <c r="AO67" s="59">
        <f t="shared" si="36"/>
        <v>282.16750121151176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133.3897803934743</v>
      </c>
      <c r="AV67" s="21">
        <f>EXP(-LN(2)/25)*AV66+(1-EXP(-LN(2)/25))/(LN(2)/25)*Calculateur!AQ67*Calculateur!AS67*VLOOKUP('Données projet'!$B$10,Paramètres!$A$1:$I$89,3,0)*0.475*44/12</f>
        <v>43.733542479479631</v>
      </c>
      <c r="AW67" s="21">
        <f>EXP(-LN(2)/2)*AW66+(1-EXP(-LN(2)/2))/(LN(2)/2)*AQ67*AT67*VLOOKUP('Données projet'!$B$10,Paramètres!$A$1:$I$89,3,0)*0.475*44/12</f>
        <v>10.780099468681016</v>
      </c>
      <c r="AX67" s="21">
        <f t="shared" si="6"/>
        <v>187.90342234163495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2.2737367544323206E-13</v>
      </c>
      <c r="BE67" s="13">
        <f>BD67*VLOOKUP('Données projet'!$B$11,Paramètres!$A$1:$I$89,3,0)*VLOOKUP('Données projet'!$B$11,Paramètres!$A$1:$I$89,5,0)</f>
        <v>1.064108801074326E-13</v>
      </c>
      <c r="BF67" s="13">
        <f t="shared" si="37"/>
        <v>1.5870730813698654E-12</v>
      </c>
      <c r="BG67" s="20">
        <f t="shared" si="7"/>
        <v>2.9494845662396269E-12</v>
      </c>
      <c r="BH67" s="59">
        <f t="shared" si="8"/>
        <v>293.33333333333627</v>
      </c>
      <c r="BI67" s="59">
        <f ca="1">AVERAGE(OFFSET($BH$3,0,0,'Données projet'!$E$11+1,1))-AVERAGE(OFFSET($H$3,0,0,'Données projet'!$E$11+1,1))</f>
        <v>227.19831549982962</v>
      </c>
      <c r="BJ67" s="59">
        <f t="shared" si="38"/>
        <v>309.84543033784564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172.36244275493635</v>
      </c>
      <c r="BQ67" s="21">
        <f>EXP(-LN(2)/25)*BQ66+(1-EXP(-LN(2)/25))/(LN(2)/25)*Calculateur!BL67*Calculateur!BN67*VLOOKUP('Données projet'!$B$11,Paramètres!$A$1:$I$89,3,0)*0.475*44/12</f>
        <v>59.630471358604872</v>
      </c>
      <c r="BR67" s="21">
        <f>EXP(-LN(2)/2)*BR66+(1-EXP(-LN(2)/2))/(LN(2)/2)*BL67*BO67*VLOOKUP('Données projet'!$B$11,Paramètres!$A$1:$I$89,3,0)*0.475*44/12</f>
        <v>30.21430817292196</v>
      </c>
      <c r="BS67" s="22">
        <f t="shared" si="9"/>
        <v>262.20722228646321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3.333333333333337</v>
      </c>
      <c r="BY67" s="12">
        <f>IF('Données projet'!$A$114&gt;35,BY66+BX67-CG66,IF(A67&lt;'Données projet'!$A$114,$BV$205^A67,IF(A67='Données projet'!$A$114,'Données projet'!$B$114,BY66+BX67-CG66)))</f>
        <v>146.02564102564114</v>
      </c>
      <c r="BZ67" s="13">
        <f>BY67*VLOOKUP('Données projet'!$B$12,Paramètres!$A$1:$I$89,3,0)*VLOOKUP('Données projet'!$B$12,Paramètres!$A$1:$I$89,5,0)</f>
        <v>95.676000000000073</v>
      </c>
      <c r="CA67" s="13">
        <f t="shared" si="39"/>
        <v>25.929229078869284</v>
      </c>
      <c r="CB67" s="20">
        <f t="shared" si="10"/>
        <v>211.79577397903077</v>
      </c>
      <c r="CC67" s="59">
        <f t="shared" si="11"/>
        <v>505.12910731236411</v>
      </c>
      <c r="CD67" s="59">
        <f ca="1">AVERAGE(OFFSET($CC$3,0,0,'Données projet'!$E$12+1,1))-AVERAGE(OFFSET($H$3,0,0,'Données projet'!$E$12+1,1))</f>
        <v>91.274378490051788</v>
      </c>
      <c r="CE67" s="59">
        <f t="shared" si="40"/>
        <v>126.60105012427914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1.9749958343599174</v>
      </c>
      <c r="CL67" s="21">
        <f>EXP(-LN(2)/25)*CL66+(1-EXP(-LN(2)/25))/(LN(2)/25)*Calculateur!CG67*Calculateur!CI67*VLOOKUP('Données projet'!$B$12,Paramètres!$A$1:$I$89,3,0)*0.475*44/12</f>
        <v>5.6168110134239226</v>
      </c>
      <c r="CM67" s="21">
        <f>EXP(-LN(2)/2)*CM66+(1-EXP(-LN(2)/2))/(LN(2)/2)*CG67*CJ67*VLOOKUP('Données projet'!$B$12,Paramètres!$A$1:$I$89,3,0)*0.475*44/12</f>
        <v>0.66831668257902466</v>
      </c>
      <c r="CN67" s="22">
        <f t="shared" si="12"/>
        <v>8.2601235303628648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3.4106051316484809E-13</v>
      </c>
      <c r="O68" s="13">
        <f>N68*VLOOKUP('Données projet'!$B$9,Paramètres!$A$1:$I$89,3,0)*VLOOKUP('Données projet'!$B$9,Paramètres!$A$1:$I$89,5,0)</f>
        <v>1.9065282685915009E-13</v>
      </c>
      <c r="P68" s="13">
        <f t="shared" si="33"/>
        <v>2.6568987209435707E-12</v>
      </c>
      <c r="Q68" s="20">
        <f t="shared" si="54"/>
        <v>4.959485612423072E-12</v>
      </c>
      <c r="R68" s="59">
        <f t="shared" si="55"/>
        <v>293.33333333333826</v>
      </c>
      <c r="S68" s="59">
        <f ca="1">AVERAGE(OFFSET($R$3,0,0,'Données projet'!$E$9+1,1))-AVERAGE(OFFSET($H$3,0,0,'Données projet'!$E$9+1,1))</f>
        <v>350.09239406910712</v>
      </c>
      <c r="T68" s="59">
        <f t="shared" si="34"/>
        <v>473.30663081727369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198.4398406814303</v>
      </c>
      <c r="AA68" s="21">
        <f>EXP(-LN(2)/25)*AA67+(1-EXP(-LN(2)/25))/(LN(2)/25)*Calculateur!V68*Calculateur!X68*VLOOKUP('Données projet'!$B$9,Paramètres!$A$1:$I$89,3,0)*0.475*44/12</f>
        <v>62.656976053198278</v>
      </c>
      <c r="AB68" s="21">
        <f>EXP(-LN(2)/2)*AB67+(1-EXP(-LN(2)/2))/(LN(2)/2)*V68*Y68*VLOOKUP('Données projet'!$B$9,Paramètres!$A$1:$I$89,3,0)*0.475*44/12</f>
        <v>2.0220627308072219</v>
      </c>
      <c r="AC68" s="22">
        <f t="shared" ref="AC68:AC131" si="57">SUM(Z68:AB68)</f>
        <v>263.11887946543584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179.4725256147085</v>
      </c>
      <c r="AO68" s="59">
        <f t="shared" si="36"/>
        <v>282.16750121151176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130.77408815969071</v>
      </c>
      <c r="AV68" s="21">
        <f>EXP(-LN(2)/25)*AV67+(1-EXP(-LN(2)/25))/(LN(2)/25)*Calculateur!AQ68*Calculateur!AS68*VLOOKUP('Données projet'!$B$10,Paramètres!$A$1:$I$89,3,0)*0.475*44/12</f>
        <v>42.537646460531214</v>
      </c>
      <c r="AW68" s="21">
        <f>EXP(-LN(2)/2)*AW67+(1-EXP(-LN(2)/2))/(LN(2)/2)*AQ68*AT68*VLOOKUP('Données projet'!$B$10,Paramètres!$A$1:$I$89,3,0)*0.475*44/12</f>
        <v>7.6226814361698443</v>
      </c>
      <c r="AX68" s="21">
        <f t="shared" ref="AX68:AX131" si="60">SUM(AU68:AW68)</f>
        <v>180.93441605639177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2.2737367544323206E-13</v>
      </c>
      <c r="BE68" s="13">
        <f>BD68*VLOOKUP('Données projet'!$B$11,Paramètres!$A$1:$I$89,3,0)*VLOOKUP('Données projet'!$B$11,Paramètres!$A$1:$I$89,5,0)</f>
        <v>1.064108801074326E-13</v>
      </c>
      <c r="BF68" s="13">
        <f t="shared" si="37"/>
        <v>1.5870730813698654E-12</v>
      </c>
      <c r="BG68" s="20">
        <f t="shared" ref="BG68:BG131" si="61">(BE68+BF68)*0.475*44/12</f>
        <v>2.9494845662396269E-12</v>
      </c>
      <c r="BH68" s="59">
        <f t="shared" ref="BH68:BH131" si="62">BG68+(AY68+AZ68)*44/12</f>
        <v>293.33333333333627</v>
      </c>
      <c r="BI68" s="59">
        <f ca="1">AVERAGE(OFFSET($BH$3,0,0,'Données projet'!$E$11+1,1))-AVERAGE(OFFSET($H$3,0,0,'Données projet'!$E$11+1,1))</f>
        <v>227.19831549982962</v>
      </c>
      <c r="BJ68" s="59">
        <f t="shared" si="38"/>
        <v>309.84543033784564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168.98252038322133</v>
      </c>
      <c r="BQ68" s="21">
        <f>EXP(-LN(2)/25)*BQ67+(1-EXP(-LN(2)/25))/(LN(2)/25)*Calculateur!BL68*Calculateur!BN68*VLOOKUP('Données projet'!$B$11,Paramètres!$A$1:$I$89,3,0)*0.475*44/12</f>
        <v>57.999872983473622</v>
      </c>
      <c r="BR68" s="21">
        <f>EXP(-LN(2)/2)*BR67+(1-EXP(-LN(2)/2))/(LN(2)/2)*BL68*BO68*VLOOKUP('Données projet'!$B$11,Paramètres!$A$1:$I$89,3,0)*0.475*44/12</f>
        <v>21.364742197933243</v>
      </c>
      <c r="BS68" s="22">
        <f t="shared" ref="BS68:BS131" si="63">SUM(BP68:BR68)</f>
        <v>248.34713556462822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149.35897435897436</v>
      </c>
      <c r="BW68" s="12">
        <f>VLOOKUP(A68,'Données projet'!$A$113:$I$133,9,0)</f>
        <v>3.333333333333337</v>
      </c>
      <c r="BX68" s="12">
        <f t="array" ref="BX68">INDEX(BW:BW,MIN(IF(ISNUMBER(BW68:BW264),ROW(BW68:BW264),"")))</f>
        <v>3.333333333333337</v>
      </c>
      <c r="BY68" s="12">
        <f>IF('Données projet'!$A$114&gt;35,BY67+BX68-CG67,IF(A68&lt;'Données projet'!$A$114,$BV$205^A68,IF(A68='Données projet'!$A$114,'Données projet'!$B$114,BY67+BX68-CG67)))</f>
        <v>149.35897435897448</v>
      </c>
      <c r="BZ68" s="13">
        <f>BY68*VLOOKUP('Données projet'!$B$12,Paramètres!$A$1:$I$89,3,0)*VLOOKUP('Données projet'!$B$12,Paramètres!$A$1:$I$89,5,0)</f>
        <v>97.86000000000007</v>
      </c>
      <c r="CA68" s="13">
        <f t="shared" si="39"/>
        <v>26.451531966006364</v>
      </c>
      <c r="CB68" s="20">
        <f t="shared" ref="CB68:CB131" si="64">(BZ68+CA68)*0.475*44/12</f>
        <v>216.50925150746119</v>
      </c>
      <c r="CC68" s="59">
        <f t="shared" ref="CC68:CC131" si="65">CB68+(BT68+BU68)*44/12</f>
        <v>509.84258484079453</v>
      </c>
      <c r="CD68" s="59">
        <f ca="1">AVERAGE(OFFSET($CC$3,0,0,'Données projet'!$E$12+1,1))-AVERAGE(OFFSET($H$3,0,0,'Données projet'!$E$12+1,1))</f>
        <v>91.274378490051788</v>
      </c>
      <c r="CE68" s="59">
        <f t="shared" si="40"/>
        <v>126.60105012427914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12.820512820512819</v>
      </c>
      <c r="CH68" s="16">
        <f>IF(ISNA(VLOOKUP(A68,'Données projet'!$A$113:$I$133,5,0)),0%,VLOOKUP(A68,'Données projet'!$A$113:$I$133,5,0)*VLOOKUP('Données projet'!$B$12,Paramètres!$A$1:$I$89,7,0))</f>
        <v>0.1075</v>
      </c>
      <c r="CI68" s="16">
        <f>IF(ISNA(VLOOKUP(A68,'Données projet'!$A$113:$I$133,6,0)),0%,VLOOKUP(A68,'Données projet'!$A$113:$I$133,6,0)*VLOOKUP('Données projet'!$B$12,Paramètres!$A$1:$I$89,7,0))</f>
        <v>0.1075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2.934507123394885</v>
      </c>
      <c r="CL68" s="21">
        <f>EXP(-LN(2)/25)*CL67+(1-EXP(-LN(2)/25))/(LN(2)/25)*Calculateur!CG68*Calculateur!CI68*VLOOKUP('Données projet'!$B$12,Paramètres!$A$1:$I$89,3,0)*0.475*44/12</f>
        <v>6.4575283233392282</v>
      </c>
      <c r="CM68" s="21">
        <f>EXP(-LN(2)/2)*CM67+(1-EXP(-LN(2)/2))/(LN(2)/2)*CG68*CJ68*VLOOKUP('Données projet'!$B$12,Paramètres!$A$1:$I$89,3,0)*0.475*44/12</f>
        <v>2.4539777789030408</v>
      </c>
      <c r="CN68" s="22">
        <f t="shared" ref="CN68:CN131" si="66">SUM(CK68:CM68)</f>
        <v>11.846013225637154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3.4106051316484809E-13</v>
      </c>
      <c r="O69" s="13">
        <f>N69*VLOOKUP('Données projet'!$B$9,Paramètres!$A$1:$I$89,3,0)*VLOOKUP('Données projet'!$B$9,Paramètres!$A$1:$I$89,5,0)</f>
        <v>1.9065282685915009E-13</v>
      </c>
      <c r="P69" s="13">
        <f t="shared" ref="P69:P132" si="87">EXP(-1.0587+0.8836*LN(O69)+0.284)</f>
        <v>2.6568987209435707E-12</v>
      </c>
      <c r="Q69" s="20">
        <f t="shared" si="54"/>
        <v>4.959485612423072E-12</v>
      </c>
      <c r="R69" s="59">
        <f t="shared" si="55"/>
        <v>293.33333333333826</v>
      </c>
      <c r="S69" s="59">
        <f ca="1">AVERAGE(OFFSET($R$3,0,0,'Données projet'!$E$9+1,1))-AVERAGE(OFFSET($H$3,0,0,'Données projet'!$E$9+1,1))</f>
        <v>350.09239406910712</v>
      </c>
      <c r="T69" s="59">
        <f t="shared" ref="T69:T132" si="88">$T$3</f>
        <v>473.30663081727369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194.54855644201891</v>
      </c>
      <c r="AA69" s="21">
        <f>EXP(-LN(2)/25)*AA68+(1-EXP(-LN(2)/25))/(LN(2)/25)*Calculateur!V69*Calculateur!X69*VLOOKUP('Données projet'!$B$9,Paramètres!$A$1:$I$89,3,0)*0.475*44/12</f>
        <v>60.943617748036402</v>
      </c>
      <c r="AB69" s="21">
        <f>EXP(-LN(2)/2)*AB68+(1-EXP(-LN(2)/2))/(LN(2)/2)*V69*Y69*VLOOKUP('Données projet'!$B$9,Paramètres!$A$1:$I$89,3,0)*0.475*44/12</f>
        <v>1.429814268938375</v>
      </c>
      <c r="AC69" s="22">
        <f t="shared" si="57"/>
        <v>256.92198845899372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179.4725256147085</v>
      </c>
      <c r="AO69" s="59">
        <f t="shared" ref="AO69:AO132" si="90">$AO$3</f>
        <v>282.16750121151176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128.20968805519686</v>
      </c>
      <c r="AV69" s="21">
        <f>EXP(-LN(2)/25)*AV68+(1-EXP(-LN(2)/25))/(LN(2)/25)*Calculateur!AQ69*Calculateur!AS69*VLOOKUP('Données projet'!$B$10,Paramètres!$A$1:$I$89,3,0)*0.475*44/12</f>
        <v>41.374452281110379</v>
      </c>
      <c r="AW69" s="21">
        <f>EXP(-LN(2)/2)*AW68+(1-EXP(-LN(2)/2))/(LN(2)/2)*AQ69*AT69*VLOOKUP('Données projet'!$B$10,Paramètres!$A$1:$I$89,3,0)*0.475*44/12</f>
        <v>5.3900497343405087</v>
      </c>
      <c r="AX69" s="21">
        <f t="shared" si="60"/>
        <v>174.97419007064778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2.2737367544323206E-13</v>
      </c>
      <c r="BE69" s="13">
        <f>BD69*VLOOKUP('Données projet'!$B$11,Paramètres!$A$1:$I$89,3,0)*VLOOKUP('Données projet'!$B$11,Paramètres!$A$1:$I$89,5,0)</f>
        <v>1.064108801074326E-13</v>
      </c>
      <c r="BF69" s="13">
        <f t="shared" ref="BF69:BF132" si="91">EXP(-1.0587+0.8836*LN(BE69)+0.284)</f>
        <v>1.5870730813698654E-12</v>
      </c>
      <c r="BG69" s="20">
        <f t="shared" si="61"/>
        <v>2.9494845662396269E-12</v>
      </c>
      <c r="BH69" s="59">
        <f t="shared" si="62"/>
        <v>293.33333333333627</v>
      </c>
      <c r="BI69" s="59">
        <f ca="1">AVERAGE(OFFSET($BH$3,0,0,'Données projet'!$E$11+1,1))-AVERAGE(OFFSET($H$3,0,0,'Données projet'!$E$11+1,1))</f>
        <v>227.19831549982962</v>
      </c>
      <c r="BJ69" s="59">
        <f t="shared" ref="BJ69:BJ132" si="92">$BJ$3</f>
        <v>309.84543033784564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165.66887622766654</v>
      </c>
      <c r="BQ69" s="21">
        <f>EXP(-LN(2)/25)*BQ68+(1-EXP(-LN(2)/25))/(LN(2)/25)*Calculateur!BL69*Calculateur!BN69*VLOOKUP('Données projet'!$B$11,Paramètres!$A$1:$I$89,3,0)*0.475*44/12</f>
        <v>56.413863406659779</v>
      </c>
      <c r="BR69" s="21">
        <f>EXP(-LN(2)/2)*BR68+(1-EXP(-LN(2)/2))/(LN(2)/2)*BL69*BO69*VLOOKUP('Données projet'!$B$11,Paramètres!$A$1:$I$89,3,0)*0.475*44/12</f>
        <v>15.10715408646098</v>
      </c>
      <c r="BS69" s="22">
        <f t="shared" si="63"/>
        <v>237.1898937207873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3.0769230769230718</v>
      </c>
      <c r="BY69" s="12">
        <f>IF('Données projet'!$A$114&gt;35,BY68+BX69-CG68,IF(A69&lt;'Données projet'!$A$114,$BV$205^A69,IF(A69='Données projet'!$A$114,'Données projet'!$B$114,BY68+BX69-CG68)))</f>
        <v>139.61538461538473</v>
      </c>
      <c r="BZ69" s="13">
        <f>BY69*VLOOKUP('Données projet'!$B$12,Paramètres!$A$1:$I$89,3,0)*VLOOKUP('Données projet'!$B$12,Paramètres!$A$1:$I$89,5,0)</f>
        <v>91.47600000000007</v>
      </c>
      <c r="CA69" s="13">
        <f t="shared" ref="CA69:CA132" si="93">EXP(-1.0587+0.8836*LN(BZ69)+0.284)</f>
        <v>24.92086293606954</v>
      </c>
      <c r="CB69" s="20">
        <f t="shared" si="64"/>
        <v>202.72453628032122</v>
      </c>
      <c r="CC69" s="59">
        <f t="shared" si="65"/>
        <v>496.05786961365453</v>
      </c>
      <c r="CD69" s="59">
        <f ca="1">AVERAGE(OFFSET($CC$3,0,0,'Données projet'!$E$12+1,1))-AVERAGE(OFFSET($H$3,0,0,'Données projet'!$E$12+1,1))</f>
        <v>91.274378490051788</v>
      </c>
      <c r="CE69" s="59">
        <f t="shared" ref="CE69:CE132" si="94">$CE$3</f>
        <v>126.60105012427914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2.8769632285777211</v>
      </c>
      <c r="CL69" s="21">
        <f>EXP(-LN(2)/25)*CL68+(1-EXP(-LN(2)/25))/(LN(2)/25)*Calculateur!CG69*Calculateur!CI69*VLOOKUP('Données projet'!$B$12,Paramètres!$A$1:$I$89,3,0)*0.475*44/12</f>
        <v>6.280946871750861</v>
      </c>
      <c r="CM69" s="21">
        <f>EXP(-LN(2)/2)*CM68+(1-EXP(-LN(2)/2))/(LN(2)/2)*CG69*CJ69*VLOOKUP('Données projet'!$B$12,Paramètres!$A$1:$I$89,3,0)*0.475*44/12</f>
        <v>1.7352243283434425</v>
      </c>
      <c r="CN69" s="22">
        <f t="shared" si="66"/>
        <v>10.893134428672024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3.4106051316484809E-13</v>
      </c>
      <c r="O70" s="13">
        <f>N70*VLOOKUP('Données projet'!$B$9,Paramètres!$A$1:$I$89,3,0)*VLOOKUP('Données projet'!$B$9,Paramètres!$A$1:$I$89,5,0)</f>
        <v>1.9065282685915009E-13</v>
      </c>
      <c r="P70" s="13">
        <f t="shared" si="87"/>
        <v>2.6568987209435707E-12</v>
      </c>
      <c r="Q70" s="20">
        <f t="shared" si="54"/>
        <v>4.959485612423072E-12</v>
      </c>
      <c r="R70" s="59">
        <f t="shared" si="55"/>
        <v>293.33333333333826</v>
      </c>
      <c r="S70" s="59">
        <f ca="1">AVERAGE(OFFSET($R$3,0,0,'Données projet'!$E$9+1,1))-AVERAGE(OFFSET($H$3,0,0,'Données projet'!$E$9+1,1))</f>
        <v>350.09239406910712</v>
      </c>
      <c r="T70" s="59">
        <f t="shared" si="88"/>
        <v>473.30663081727369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190.73357791309337</v>
      </c>
      <c r="AA70" s="21">
        <f>EXP(-LN(2)/25)*AA69+(1-EXP(-LN(2)/25))/(LN(2)/25)*Calculateur!V70*Calculateur!X70*VLOOKUP('Données projet'!$B$9,Paramètres!$A$1:$I$89,3,0)*0.475*44/12</f>
        <v>59.27711131583078</v>
      </c>
      <c r="AB70" s="21">
        <f>EXP(-LN(2)/2)*AB69+(1-EXP(-LN(2)/2))/(LN(2)/2)*V70*Y70*VLOOKUP('Données projet'!$B$9,Paramètres!$A$1:$I$89,3,0)*0.475*44/12</f>
        <v>1.0110313654036109</v>
      </c>
      <c r="AC70" s="22">
        <f t="shared" si="57"/>
        <v>251.02172059432777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179.4725256147085</v>
      </c>
      <c r="AO70" s="59">
        <f t="shared" si="90"/>
        <v>282.16750121151176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125.69557427262254</v>
      </c>
      <c r="AV70" s="21">
        <f>EXP(-LN(2)/25)*AV69+(1-EXP(-LN(2)/25))/(LN(2)/25)*Calculateur!AQ70*Calculateur!AS70*VLOOKUP('Données projet'!$B$10,Paramètres!$A$1:$I$89,3,0)*0.475*44/12</f>
        <v>40.243065707695536</v>
      </c>
      <c r="AW70" s="21">
        <f>EXP(-LN(2)/2)*AW69+(1-EXP(-LN(2)/2))/(LN(2)/2)*AQ70*AT70*VLOOKUP('Données projet'!$B$10,Paramètres!$A$1:$I$89,3,0)*0.475*44/12</f>
        <v>3.811340718084923</v>
      </c>
      <c r="AX70" s="21">
        <f t="shared" si="60"/>
        <v>169.74998069840299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2.2737367544323206E-13</v>
      </c>
      <c r="BE70" s="13">
        <f>BD70*VLOOKUP('Données projet'!$B$11,Paramètres!$A$1:$I$89,3,0)*VLOOKUP('Données projet'!$B$11,Paramètres!$A$1:$I$89,5,0)</f>
        <v>1.064108801074326E-13</v>
      </c>
      <c r="BF70" s="13">
        <f t="shared" si="91"/>
        <v>1.5870730813698654E-12</v>
      </c>
      <c r="BG70" s="20">
        <f t="shared" si="61"/>
        <v>2.9494845662396269E-12</v>
      </c>
      <c r="BH70" s="59">
        <f t="shared" si="62"/>
        <v>293.33333333333627</v>
      </c>
      <c r="BI70" s="59">
        <f ca="1">AVERAGE(OFFSET($BH$3,0,0,'Données projet'!$E$11+1,1))-AVERAGE(OFFSET($H$3,0,0,'Données projet'!$E$11+1,1))</f>
        <v>227.19831549982962</v>
      </c>
      <c r="BJ70" s="59">
        <f t="shared" si="92"/>
        <v>309.84543033784564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162.42021061287883</v>
      </c>
      <c r="BQ70" s="21">
        <f>EXP(-LN(2)/25)*BQ69+(1-EXP(-LN(2)/25))/(LN(2)/25)*Calculateur!BL70*Calculateur!BN70*VLOOKUP('Données projet'!$B$11,Paramètres!$A$1:$I$89,3,0)*0.475*44/12</f>
        <v>54.871223345128527</v>
      </c>
      <c r="BR70" s="21">
        <f>EXP(-LN(2)/2)*BR69+(1-EXP(-LN(2)/2))/(LN(2)/2)*BL70*BO70*VLOOKUP('Données projet'!$B$11,Paramètres!$A$1:$I$89,3,0)*0.475*44/12</f>
        <v>10.682371098966621</v>
      </c>
      <c r="BS70" s="22">
        <f t="shared" si="63"/>
        <v>227.97380505697399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3.0769230769230718</v>
      </c>
      <c r="BY70" s="12">
        <f>IF('Données projet'!$A$114&gt;35,BY69+BX70-CG69,IF(A70&lt;'Données projet'!$A$114,$BV$205^A70,IF(A70='Données projet'!$A$114,'Données projet'!$B$114,BY69+BX70-CG69)))</f>
        <v>142.69230769230779</v>
      </c>
      <c r="BZ70" s="13">
        <f>BY70*VLOOKUP('Données projet'!$B$12,Paramètres!$A$1:$I$89,3,0)*VLOOKUP('Données projet'!$B$12,Paramètres!$A$1:$I$89,5,0)</f>
        <v>93.492000000000061</v>
      </c>
      <c r="CA70" s="13">
        <f t="shared" si="93"/>
        <v>25.405536424380745</v>
      </c>
      <c r="CB70" s="20">
        <f t="shared" si="64"/>
        <v>207.07987593912989</v>
      </c>
      <c r="CC70" s="59">
        <f t="shared" si="65"/>
        <v>500.41320927246318</v>
      </c>
      <c r="CD70" s="59">
        <f ca="1">AVERAGE(OFFSET($CC$3,0,0,'Données projet'!$E$12+1,1))-AVERAGE(OFFSET($H$3,0,0,'Données projet'!$E$12+1,1))</f>
        <v>91.274378490051788</v>
      </c>
      <c r="CE70" s="59">
        <f t="shared" si="94"/>
        <v>126.60105012427914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2.8205477344396117</v>
      </c>
      <c r="CL70" s="21">
        <f>EXP(-LN(2)/25)*CL69+(1-EXP(-LN(2)/25))/(LN(2)/25)*Calculateur!CG70*Calculateur!CI70*VLOOKUP('Données projet'!$B$12,Paramètres!$A$1:$I$89,3,0)*0.475*44/12</f>
        <v>6.109194049242193</v>
      </c>
      <c r="CM70" s="21">
        <f>EXP(-LN(2)/2)*CM69+(1-EXP(-LN(2)/2))/(LN(2)/2)*CG70*CJ70*VLOOKUP('Données projet'!$B$12,Paramètres!$A$1:$I$89,3,0)*0.475*44/12</f>
        <v>1.2269888894515206</v>
      </c>
      <c r="CN70" s="22">
        <f t="shared" si="66"/>
        <v>10.156730673133326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3.4106051316484809E-13</v>
      </c>
      <c r="O71" s="13">
        <f>N71*VLOOKUP('Données projet'!$B$9,Paramètres!$A$1:$I$89,3,0)*VLOOKUP('Données projet'!$B$9,Paramètres!$A$1:$I$89,5,0)</f>
        <v>1.9065282685915009E-13</v>
      </c>
      <c r="P71" s="13">
        <f t="shared" si="87"/>
        <v>2.6568987209435707E-12</v>
      </c>
      <c r="Q71" s="20">
        <f t="shared" si="54"/>
        <v>4.959485612423072E-12</v>
      </c>
      <c r="R71" s="59">
        <f t="shared" si="55"/>
        <v>293.33333333333826</v>
      </c>
      <c r="S71" s="59">
        <f ca="1">AVERAGE(OFFSET($R$3,0,0,'Données projet'!$E$9+1,1))-AVERAGE(OFFSET($H$3,0,0,'Données projet'!$E$9+1,1))</f>
        <v>350.09239406910712</v>
      </c>
      <c r="T71" s="59">
        <f t="shared" si="88"/>
        <v>473.30663081727369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186.99340878621291</v>
      </c>
      <c r="AA71" s="21">
        <f>EXP(-LN(2)/25)*AA70+(1-EXP(-LN(2)/25))/(LN(2)/25)*Calculateur!V71*Calculateur!X71*VLOOKUP('Données projet'!$B$9,Paramètres!$A$1:$I$89,3,0)*0.475*44/12</f>
        <v>57.656175589651582</v>
      </c>
      <c r="AB71" s="21">
        <f>EXP(-LN(2)/2)*AB70+(1-EXP(-LN(2)/2))/(LN(2)/2)*V71*Y71*VLOOKUP('Données projet'!$B$9,Paramètres!$A$1:$I$89,3,0)*0.475*44/12</f>
        <v>0.71490713446918752</v>
      </c>
      <c r="AC71" s="22">
        <f t="shared" si="57"/>
        <v>245.36449151033369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179.4725256147085</v>
      </c>
      <c r="AO71" s="59">
        <f t="shared" si="90"/>
        <v>282.16750121151176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123.23076072786651</v>
      </c>
      <c r="AV71" s="21">
        <f>EXP(-LN(2)/25)*AV70+(1-EXP(-LN(2)/25))/(LN(2)/25)*Calculateur!AQ71*Calculateur!AS71*VLOOKUP('Données projet'!$B$10,Paramètres!$A$1:$I$89,3,0)*0.475*44/12</f>
        <v>39.142616959627752</v>
      </c>
      <c r="AW71" s="21">
        <f>EXP(-LN(2)/2)*AW70+(1-EXP(-LN(2)/2))/(LN(2)/2)*AQ71*AT71*VLOOKUP('Données projet'!$B$10,Paramètres!$A$1:$I$89,3,0)*0.475*44/12</f>
        <v>2.6950248671702548</v>
      </c>
      <c r="AX71" s="21">
        <f t="shared" si="60"/>
        <v>165.06840255466452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2.2737367544323206E-13</v>
      </c>
      <c r="BE71" s="13">
        <f>BD71*VLOOKUP('Données projet'!$B$11,Paramètres!$A$1:$I$89,3,0)*VLOOKUP('Données projet'!$B$11,Paramètres!$A$1:$I$89,5,0)</f>
        <v>1.064108801074326E-13</v>
      </c>
      <c r="BF71" s="13">
        <f t="shared" si="91"/>
        <v>1.5870730813698654E-12</v>
      </c>
      <c r="BG71" s="20">
        <f t="shared" si="61"/>
        <v>2.9494845662396269E-12</v>
      </c>
      <c r="BH71" s="59">
        <f t="shared" si="62"/>
        <v>293.33333333333627</v>
      </c>
      <c r="BI71" s="59">
        <f ca="1">AVERAGE(OFFSET($BH$3,0,0,'Données projet'!$E$11+1,1))-AVERAGE(OFFSET($H$3,0,0,'Données projet'!$E$11+1,1))</f>
        <v>227.19831549982962</v>
      </c>
      <c r="BJ71" s="59">
        <f t="shared" si="92"/>
        <v>309.84543033784564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159.23524934930674</v>
      </c>
      <c r="BQ71" s="21">
        <f>EXP(-LN(2)/25)*BQ70+(1-EXP(-LN(2)/25))/(LN(2)/25)*Calculateur!BL71*Calculateur!BN71*VLOOKUP('Données projet'!$B$11,Paramètres!$A$1:$I$89,3,0)*0.475*44/12</f>
        <v>53.370766857203762</v>
      </c>
      <c r="BR71" s="21">
        <f>EXP(-LN(2)/2)*BR70+(1-EXP(-LN(2)/2))/(LN(2)/2)*BL71*BO71*VLOOKUP('Données projet'!$B$11,Paramètres!$A$1:$I$89,3,0)*0.475*44/12</f>
        <v>7.5535770432304901</v>
      </c>
      <c r="BS71" s="22">
        <f t="shared" si="63"/>
        <v>220.15959324974099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3.0769230769230718</v>
      </c>
      <c r="BY71" s="12">
        <f>IF('Données projet'!$A$114&gt;35,BY70+BX71-CG70,IF(A71&lt;'Données projet'!$A$114,$BV$205^A71,IF(A71='Données projet'!$A$114,'Données projet'!$B$114,BY70+BX71-CG70)))</f>
        <v>145.76923076923086</v>
      </c>
      <c r="BZ71" s="13">
        <f>BY71*VLOOKUP('Données projet'!$B$12,Paramètres!$A$1:$I$89,3,0)*VLOOKUP('Données projet'!$B$12,Paramètres!$A$1:$I$89,5,0)</f>
        <v>95.508000000000067</v>
      </c>
      <c r="CA71" s="13">
        <f t="shared" si="93"/>
        <v>25.888994821204975</v>
      </c>
      <c r="CB71" s="20">
        <f t="shared" si="64"/>
        <v>211.43309931359877</v>
      </c>
      <c r="CC71" s="59">
        <f t="shared" si="65"/>
        <v>504.76643264693212</v>
      </c>
      <c r="CD71" s="59">
        <f ca="1">AVERAGE(OFFSET($CC$3,0,0,'Données projet'!$E$12+1,1))-AVERAGE(OFFSET($H$3,0,0,'Données projet'!$E$12+1,1))</f>
        <v>91.274378490051788</v>
      </c>
      <c r="CE71" s="59">
        <f t="shared" si="94"/>
        <v>126.60105012427914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2.765238513731497</v>
      </c>
      <c r="CL71" s="21">
        <f>EXP(-LN(2)/25)*CL70+(1-EXP(-LN(2)/25))/(LN(2)/25)*Calculateur!CG71*Calculateur!CI71*VLOOKUP('Données projet'!$B$12,Paramètres!$A$1:$I$89,3,0)*0.475*44/12</f>
        <v>5.9421378166971133</v>
      </c>
      <c r="CM71" s="21">
        <f>EXP(-LN(2)/2)*CM70+(1-EXP(-LN(2)/2))/(LN(2)/2)*CG71*CJ71*VLOOKUP('Données projet'!$B$12,Paramètres!$A$1:$I$89,3,0)*0.475*44/12</f>
        <v>0.86761216417172138</v>
      </c>
      <c r="CN71" s="22">
        <f t="shared" si="66"/>
        <v>9.5749884946003316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3.4106051316484809E-13</v>
      </c>
      <c r="O72" s="13">
        <f>N72*VLOOKUP('Données projet'!$B$9,Paramètres!$A$1:$I$89,3,0)*VLOOKUP('Données projet'!$B$9,Paramètres!$A$1:$I$89,5,0)</f>
        <v>1.9065282685915009E-13</v>
      </c>
      <c r="P72" s="13">
        <f t="shared" si="87"/>
        <v>2.6568987209435707E-12</v>
      </c>
      <c r="Q72" s="20">
        <f t="shared" si="54"/>
        <v>4.959485612423072E-12</v>
      </c>
      <c r="R72" s="59">
        <f t="shared" si="55"/>
        <v>293.33333333333826</v>
      </c>
      <c r="S72" s="59">
        <f ca="1">AVERAGE(OFFSET($R$3,0,0,'Données projet'!$E$9+1,1))-AVERAGE(OFFSET($H$3,0,0,'Données projet'!$E$9+1,1))</f>
        <v>350.09239406910712</v>
      </c>
      <c r="T72" s="59">
        <f t="shared" si="88"/>
        <v>473.30663081727369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183.32658209463267</v>
      </c>
      <c r="AA72" s="21">
        <f>EXP(-LN(2)/25)*AA71+(1-EXP(-LN(2)/25))/(LN(2)/25)*Calculateur!V72*Calculateur!X72*VLOOKUP('Données projet'!$B$9,Paramètres!$A$1:$I$89,3,0)*0.475*44/12</f>
        <v>56.079564436146057</v>
      </c>
      <c r="AB72" s="21">
        <f>EXP(-LN(2)/2)*AB71+(1-EXP(-LN(2)/2))/(LN(2)/2)*V72*Y72*VLOOKUP('Données projet'!$B$9,Paramètres!$A$1:$I$89,3,0)*0.475*44/12</f>
        <v>0.50551568270180547</v>
      </c>
      <c r="AC72" s="22">
        <f t="shared" si="57"/>
        <v>239.91166221348053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179.4725256147085</v>
      </c>
      <c r="AO72" s="59">
        <f t="shared" si="90"/>
        <v>282.16750121151176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120.81428067333533</v>
      </c>
      <c r="AV72" s="21">
        <f>EXP(-LN(2)/25)*AV71+(1-EXP(-LN(2)/25))/(LN(2)/25)*Calculateur!AQ72*Calculateur!AS72*VLOOKUP('Données projet'!$B$10,Paramètres!$A$1:$I$89,3,0)*0.475*44/12</f>
        <v>38.072260040445968</v>
      </c>
      <c r="AW72" s="21">
        <f>EXP(-LN(2)/2)*AW71+(1-EXP(-LN(2)/2))/(LN(2)/2)*AQ72*AT72*VLOOKUP('Données projet'!$B$10,Paramètres!$A$1:$I$89,3,0)*0.475*44/12</f>
        <v>1.9056703590424617</v>
      </c>
      <c r="AX72" s="21">
        <f t="shared" si="60"/>
        <v>160.79221107282376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2.2737367544323206E-13</v>
      </c>
      <c r="BE72" s="13">
        <f>BD72*VLOOKUP('Données projet'!$B$11,Paramètres!$A$1:$I$89,3,0)*VLOOKUP('Données projet'!$B$11,Paramètres!$A$1:$I$89,5,0)</f>
        <v>1.064108801074326E-13</v>
      </c>
      <c r="BF72" s="13">
        <f t="shared" si="91"/>
        <v>1.5870730813698654E-12</v>
      </c>
      <c r="BG72" s="20">
        <f t="shared" si="61"/>
        <v>2.9494845662396269E-12</v>
      </c>
      <c r="BH72" s="59">
        <f t="shared" si="62"/>
        <v>293.33333333333627</v>
      </c>
      <c r="BI72" s="59">
        <f ca="1">AVERAGE(OFFSET($BH$3,0,0,'Données projet'!$E$11+1,1))-AVERAGE(OFFSET($H$3,0,0,'Données projet'!$E$11+1,1))</f>
        <v>227.19831549982962</v>
      </c>
      <c r="BJ72" s="59">
        <f t="shared" si="92"/>
        <v>309.84543033784564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156.11274323347874</v>
      </c>
      <c r="BQ72" s="21">
        <f>EXP(-LN(2)/25)*BQ71+(1-EXP(-LN(2)/25))/(LN(2)/25)*Calculateur!BL72*Calculateur!BN72*VLOOKUP('Données projet'!$B$11,Paramètres!$A$1:$I$89,3,0)*0.475*44/12</f>
        <v>51.911340430846877</v>
      </c>
      <c r="BR72" s="21">
        <f>EXP(-LN(2)/2)*BR71+(1-EXP(-LN(2)/2))/(LN(2)/2)*BL72*BO72*VLOOKUP('Données projet'!$B$11,Paramètres!$A$1:$I$89,3,0)*0.475*44/12</f>
        <v>5.3411855494833107</v>
      </c>
      <c r="BS72" s="22">
        <f t="shared" si="63"/>
        <v>213.36526921380892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3.0769230769230718</v>
      </c>
      <c r="BY72" s="12">
        <f>IF('Données projet'!$A$114&gt;35,BY71+BX72-CG71,IF(A72&lt;'Données projet'!$A$114,$BV$205^A72,IF(A72='Données projet'!$A$114,'Données projet'!$B$114,BY71+BX72-CG71)))</f>
        <v>148.84615384615392</v>
      </c>
      <c r="BZ72" s="13">
        <f>BY72*VLOOKUP('Données projet'!$B$12,Paramètres!$A$1:$I$89,3,0)*VLOOKUP('Données projet'!$B$12,Paramètres!$A$1:$I$89,5,0)</f>
        <v>97.524000000000058</v>
      </c>
      <c r="CA72" s="13">
        <f t="shared" si="93"/>
        <v>26.371266729522745</v>
      </c>
      <c r="CB72" s="20">
        <f t="shared" si="64"/>
        <v>215.78425622058555</v>
      </c>
      <c r="CC72" s="59">
        <f t="shared" si="65"/>
        <v>509.11758955391883</v>
      </c>
      <c r="CD72" s="59">
        <f ca="1">AVERAGE(OFFSET($CC$3,0,0,'Données projet'!$E$12+1,1))-AVERAGE(OFFSET($H$3,0,0,'Données projet'!$E$12+1,1))</f>
        <v>91.274378490051788</v>
      </c>
      <c r="CE72" s="59">
        <f t="shared" si="94"/>
        <v>126.60105012427914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2.7110138731061748</v>
      </c>
      <c r="CL72" s="21">
        <f>EXP(-LN(2)/25)*CL71+(1-EXP(-LN(2)/25))/(LN(2)/25)*Calculateur!CG72*Calculateur!CI72*VLOOKUP('Données projet'!$B$12,Paramètres!$A$1:$I$89,3,0)*0.475*44/12</f>
        <v>5.7796497456160836</v>
      </c>
      <c r="CM72" s="21">
        <f>EXP(-LN(2)/2)*CM71+(1-EXP(-LN(2)/2))/(LN(2)/2)*CG72*CJ72*VLOOKUP('Données projet'!$B$12,Paramètres!$A$1:$I$89,3,0)*0.475*44/12</f>
        <v>0.61349444472576042</v>
      </c>
      <c r="CN72" s="22">
        <f t="shared" si="66"/>
        <v>9.1041580634480184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3.4106051316484809E-13</v>
      </c>
      <c r="O73" s="13">
        <f>N73*VLOOKUP('Données projet'!$B$9,Paramètres!$A$1:$I$89,3,0)*VLOOKUP('Données projet'!$B$9,Paramètres!$A$1:$I$89,5,0)</f>
        <v>1.9065282685915009E-13</v>
      </c>
      <c r="P73" s="13">
        <f t="shared" si="87"/>
        <v>2.6568987209435707E-12</v>
      </c>
      <c r="Q73" s="20">
        <f t="shared" si="54"/>
        <v>4.959485612423072E-12</v>
      </c>
      <c r="R73" s="59">
        <f t="shared" si="55"/>
        <v>293.33333333333826</v>
      </c>
      <c r="S73" s="59">
        <f ca="1">AVERAGE(OFFSET($R$3,0,0,'Données projet'!$E$9+1,1))-AVERAGE(OFFSET($H$3,0,0,'Données projet'!$E$9+1,1))</f>
        <v>350.09239406910712</v>
      </c>
      <c r="T73" s="59">
        <f t="shared" si="88"/>
        <v>473.30663081727369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179.73165963793087</v>
      </c>
      <c r="AA73" s="21">
        <f>EXP(-LN(2)/25)*AA72+(1-EXP(-LN(2)/25))/(LN(2)/25)*Calculateur!V73*Calculateur!X73*VLOOKUP('Données projet'!$B$9,Paramètres!$A$1:$I$89,3,0)*0.475*44/12</f>
        <v>54.54606579754352</v>
      </c>
      <c r="AB73" s="21">
        <f>EXP(-LN(2)/2)*AB72+(1-EXP(-LN(2)/2))/(LN(2)/2)*V73*Y73*VLOOKUP('Données projet'!$B$9,Paramètres!$A$1:$I$89,3,0)*0.475*44/12</f>
        <v>0.35745356723459376</v>
      </c>
      <c r="AC73" s="22">
        <f t="shared" si="57"/>
        <v>234.63517900270898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179.4725256147085</v>
      </c>
      <c r="AO73" s="59">
        <f t="shared" si="90"/>
        <v>282.16750121151176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118.4451863187662</v>
      </c>
      <c r="AV73" s="21">
        <f>EXP(-LN(2)/25)*AV72+(1-EXP(-LN(2)/25))/(LN(2)/25)*Calculateur!AQ73*Calculateur!AS73*VLOOKUP('Données projet'!$B$10,Paramètres!$A$1:$I$89,3,0)*0.475*44/12</f>
        <v>37.031172087506832</v>
      </c>
      <c r="AW73" s="21">
        <f>EXP(-LN(2)/2)*AW72+(1-EXP(-LN(2)/2))/(LN(2)/2)*AQ73*AT73*VLOOKUP('Données projet'!$B$10,Paramètres!$A$1:$I$89,3,0)*0.475*44/12</f>
        <v>1.3475124335851276</v>
      </c>
      <c r="AX73" s="21">
        <f t="shared" si="60"/>
        <v>156.82387083985819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2.2737367544323206E-13</v>
      </c>
      <c r="BE73" s="13">
        <f>BD73*VLOOKUP('Données projet'!$B$11,Paramètres!$A$1:$I$89,3,0)*VLOOKUP('Données projet'!$B$11,Paramètres!$A$1:$I$89,5,0)</f>
        <v>1.064108801074326E-13</v>
      </c>
      <c r="BF73" s="13">
        <f t="shared" si="91"/>
        <v>1.5870730813698654E-12</v>
      </c>
      <c r="BG73" s="20">
        <f t="shared" si="61"/>
        <v>2.9494845662396269E-12</v>
      </c>
      <c r="BH73" s="59">
        <f t="shared" si="62"/>
        <v>293.33333333333627</v>
      </c>
      <c r="BI73" s="59">
        <f ca="1">AVERAGE(OFFSET($BH$3,0,0,'Données projet'!$E$11+1,1))-AVERAGE(OFFSET($H$3,0,0,'Données projet'!$E$11+1,1))</f>
        <v>227.19831549982962</v>
      </c>
      <c r="BJ73" s="59">
        <f t="shared" si="92"/>
        <v>309.84543033784564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153.05146755804145</v>
      </c>
      <c r="BQ73" s="21">
        <f>EXP(-LN(2)/25)*BQ72+(1-EXP(-LN(2)/25))/(LN(2)/25)*Calculateur!BL73*Calculateur!BN73*VLOOKUP('Données projet'!$B$11,Paramètres!$A$1:$I$89,3,0)*0.475*44/12</f>
        <v>50.49182209686662</v>
      </c>
      <c r="BR73" s="21">
        <f>EXP(-LN(2)/2)*BR72+(1-EXP(-LN(2)/2))/(LN(2)/2)*BL73*BO73*VLOOKUP('Données projet'!$B$11,Paramètres!$A$1:$I$89,3,0)*0.475*44/12</f>
        <v>3.776788521615245</v>
      </c>
      <c r="BS73" s="22">
        <f t="shared" si="63"/>
        <v>207.32007817652334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151.92307692307691</v>
      </c>
      <c r="BW73" s="12">
        <f>VLOOKUP(A73,'Données projet'!$A$113:$I$133,9,0)</f>
        <v>3.0769230769230718</v>
      </c>
      <c r="BX73" s="12">
        <f t="array" ref="BX73">INDEX(BW:BW,MIN(IF(ISNUMBER(BW73:BW269),ROW(BW73:BW269),"")))</f>
        <v>3.0769230769230718</v>
      </c>
      <c r="BY73" s="12">
        <f>IF('Données projet'!$A$114&gt;35,BY72+BX73-CG72,IF(A73&lt;'Données projet'!$A$114,$BV$205^A73,IF(A73='Données projet'!$A$114,'Données projet'!$B$114,BY72+BX73-CG72)))</f>
        <v>151.92307692307699</v>
      </c>
      <c r="BZ73" s="13">
        <f>BY73*VLOOKUP('Données projet'!$B$12,Paramètres!$A$1:$I$89,3,0)*VLOOKUP('Données projet'!$B$12,Paramètres!$A$1:$I$89,5,0)</f>
        <v>99.540000000000049</v>
      </c>
      <c r="CA73" s="13">
        <f t="shared" si="93"/>
        <v>26.852379502175079</v>
      </c>
      <c r="CB73" s="20">
        <f t="shared" si="64"/>
        <v>220.13339429962164</v>
      </c>
      <c r="CC73" s="59">
        <f t="shared" si="65"/>
        <v>513.46672763295498</v>
      </c>
      <c r="CD73" s="59">
        <f ca="1">AVERAGE(OFFSET($CC$3,0,0,'Données projet'!$E$12+1,1))-AVERAGE(OFFSET($H$3,0,0,'Données projet'!$E$12+1,1))</f>
        <v>91.274378490051788</v>
      </c>
      <c r="CE73" s="59">
        <f t="shared" si="94"/>
        <v>126.60105012427914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12.179487179487179</v>
      </c>
      <c r="CH73" s="16">
        <f>IF(ISNA(VLOOKUP(A73,'Données projet'!$A$113:$I$133,5,0)),0%,VLOOKUP(A73,'Données projet'!$A$113:$I$133,5,0)*VLOOKUP('Données projet'!$B$12,Paramètres!$A$1:$I$89,7,0))</f>
        <v>0.1075</v>
      </c>
      <c r="CI73" s="16">
        <f>IF(ISNA(VLOOKUP(A73,'Données projet'!$A$113:$I$133,6,0)),0%,VLOOKUP(A73,'Données projet'!$A$113:$I$133,6,0)*VLOOKUP('Données projet'!$B$12,Paramètres!$A$1:$I$89,7,0))</f>
        <v>0.1075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3.6061803096920912</v>
      </c>
      <c r="CL73" s="21">
        <f>EXP(-LN(2)/25)*CL72+(1-EXP(-LN(2)/25))/(LN(2)/25)*Calculateur!CG73*Calculateur!CI73*VLOOKUP('Données projet'!$B$12,Paramètres!$A$1:$I$89,3,0)*0.475*44/12</f>
        <v>6.5661987567136455</v>
      </c>
      <c r="CM73" s="21">
        <f>EXP(-LN(2)/2)*CM72+(1-EXP(-LN(2)/2))/(LN(2)/2)*CG73*CJ73*VLOOKUP('Données projet'!$B$12,Paramètres!$A$1:$I$89,3,0)*0.475*44/12</f>
        <v>2.3161422767236099</v>
      </c>
      <c r="CN73" s="22">
        <f t="shared" si="66"/>
        <v>12.488521343129348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1.9065282685915009E-13</v>
      </c>
      <c r="P74" s="13">
        <f t="shared" si="87"/>
        <v>2.6568987209435707E-12</v>
      </c>
      <c r="Q74" s="20">
        <f t="shared" si="54"/>
        <v>4.959485612423072E-12</v>
      </c>
      <c r="R74" s="59">
        <f t="shared" si="55"/>
        <v>293.33333333333826</v>
      </c>
      <c r="S74" s="59">
        <f ca="1">AVERAGE(OFFSET($R$3,0,0,'Données projet'!$E$9+1,1))-AVERAGE(OFFSET($H$3,0,0,'Données projet'!$E$9+1,1))</f>
        <v>350.09239406910712</v>
      </c>
      <c r="T74" s="59">
        <f t="shared" si="88"/>
        <v>473.30663081727369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176.20723141791882</v>
      </c>
      <c r="AA74" s="21">
        <f>EXP(-LN(2)/25)*AA73+(1-EXP(-LN(2)/25))/(LN(2)/25)*Calculateur!V74*Calculateur!X74*VLOOKUP('Données projet'!$B$9,Paramètres!$A$1:$I$89,3,0)*0.475*44/12</f>
        <v>53.054500759856758</v>
      </c>
      <c r="AB74" s="21">
        <f>EXP(-LN(2)/2)*AB73+(1-EXP(-LN(2)/2))/(LN(2)/2)*V74*Y74*VLOOKUP('Données projet'!$B$9,Paramètres!$A$1:$I$89,3,0)*0.475*44/12</f>
        <v>0.25275784135090273</v>
      </c>
      <c r="AC74" s="22">
        <f t="shared" si="57"/>
        <v>229.51449001912647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179.4725256147085</v>
      </c>
      <c r="AO74" s="59">
        <f t="shared" si="90"/>
        <v>282.16750121151176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116.1225484594853</v>
      </c>
      <c r="AV74" s="21">
        <f>EXP(-LN(2)/25)*AV73+(1-EXP(-LN(2)/25))/(LN(2)/25)*Calculateur!AQ74*Calculateur!AS74*VLOOKUP('Données projet'!$B$10,Paramètres!$A$1:$I$89,3,0)*0.475*44/12</f>
        <v>36.01855273938925</v>
      </c>
      <c r="AW74" s="21">
        <f>EXP(-LN(2)/2)*AW73+(1-EXP(-LN(2)/2))/(LN(2)/2)*AQ74*AT74*VLOOKUP('Données projet'!$B$10,Paramètres!$A$1:$I$89,3,0)*0.475*44/12</f>
        <v>0.95283517952123109</v>
      </c>
      <c r="AX74" s="21">
        <f t="shared" si="60"/>
        <v>153.09393637839577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2.2737367544323206E-13</v>
      </c>
      <c r="BE74" s="13">
        <f>BD74*VLOOKUP('Données projet'!$B$11,Paramètres!$A$1:$I$89,3,0)*VLOOKUP('Données projet'!$B$11,Paramètres!$A$1:$I$89,5,0)</f>
        <v>1.064108801074326E-13</v>
      </c>
      <c r="BF74" s="13">
        <f t="shared" si="91"/>
        <v>1.5870730813698654E-12</v>
      </c>
      <c r="BG74" s="20">
        <f t="shared" si="61"/>
        <v>2.9494845662396269E-12</v>
      </c>
      <c r="BH74" s="59">
        <f t="shared" si="62"/>
        <v>293.33333333333627</v>
      </c>
      <c r="BI74" s="59">
        <f ca="1">AVERAGE(OFFSET($BH$3,0,0,'Données projet'!$E$11+1,1))-AVERAGE(OFFSET($H$3,0,0,'Données projet'!$E$11+1,1))</f>
        <v>227.19831549982962</v>
      </c>
      <c r="BJ74" s="59">
        <f t="shared" si="92"/>
        <v>309.84543033784564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150.05022163140572</v>
      </c>
      <c r="BQ74" s="21">
        <f>EXP(-LN(2)/25)*BQ73+(1-EXP(-LN(2)/25))/(LN(2)/25)*Calculateur!BL74*Calculateur!BN74*VLOOKUP('Données projet'!$B$11,Paramètres!$A$1:$I$89,3,0)*0.475*44/12</f>
        <v>49.111120566378283</v>
      </c>
      <c r="BR74" s="21">
        <f>EXP(-LN(2)/2)*BR73+(1-EXP(-LN(2)/2))/(LN(2)/2)*BL74*BO74*VLOOKUP('Données projet'!$B$11,Paramètres!$A$1:$I$89,3,0)*0.475*44/12</f>
        <v>2.6705927747416554</v>
      </c>
      <c r="BS74" s="22">
        <f t="shared" si="63"/>
        <v>201.83193497252566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2.9487179487179502</v>
      </c>
      <c r="BY74" s="12">
        <f>IF('Données projet'!$A$114&gt;35,BY73+BX74-CG73,IF(A74&lt;'Données projet'!$A$114,$BV$205^A74,IF(A74='Données projet'!$A$114,'Données projet'!$B$114,BY73+BX74-CG73)))</f>
        <v>142.69230769230776</v>
      </c>
      <c r="BZ74" s="13">
        <f>BY74*VLOOKUP('Données projet'!$B$12,Paramètres!$A$1:$I$89,3,0)*VLOOKUP('Données projet'!$B$12,Paramètres!$A$1:$I$89,5,0)</f>
        <v>93.492000000000047</v>
      </c>
      <c r="CA74" s="13">
        <f t="shared" si="93"/>
        <v>25.405536424380745</v>
      </c>
      <c r="CB74" s="20">
        <f t="shared" si="64"/>
        <v>207.07987593912989</v>
      </c>
      <c r="CC74" s="59">
        <f t="shared" si="65"/>
        <v>500.41320927246318</v>
      </c>
      <c r="CD74" s="59">
        <f ca="1">AVERAGE(OFFSET($CC$3,0,0,'Données projet'!$E$12+1,1))-AVERAGE(OFFSET($H$3,0,0,'Données projet'!$E$12+1,1))</f>
        <v>91.274378490051788</v>
      </c>
      <c r="CE74" s="59">
        <f t="shared" si="94"/>
        <v>126.60105012427914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3.5354653133718306</v>
      </c>
      <c r="CL74" s="21">
        <f>EXP(-LN(2)/25)*CL73+(1-EXP(-LN(2)/25))/(LN(2)/25)*Calculateur!CG74*Calculateur!CI74*VLOOKUP('Données projet'!$B$12,Paramètres!$A$1:$I$89,3,0)*0.475*44/12</f>
        <v>6.3866457064099258</v>
      </c>
      <c r="CM74" s="21">
        <f>EXP(-LN(2)/2)*CM73+(1-EXP(-LN(2)/2))/(LN(2)/2)*CG74*CJ74*VLOOKUP('Données projet'!$B$12,Paramètres!$A$1:$I$89,3,0)*0.475*44/12</f>
        <v>1.6377599100641138</v>
      </c>
      <c r="CN74" s="22">
        <f t="shared" si="66"/>
        <v>11.55987092984587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1.9065282685915009E-13</v>
      </c>
      <c r="P75" s="13">
        <f t="shared" si="87"/>
        <v>2.6568987209435707E-12</v>
      </c>
      <c r="Q75" s="20">
        <f t="shared" si="54"/>
        <v>4.959485612423072E-12</v>
      </c>
      <c r="R75" s="59">
        <f t="shared" si="55"/>
        <v>293.33333333333826</v>
      </c>
      <c r="S75" s="59">
        <f ca="1">AVERAGE(OFFSET($R$3,0,0,'Données projet'!$E$9+1,1))-AVERAGE(OFFSET($H$3,0,0,'Données projet'!$E$9+1,1))</f>
        <v>350.09239406910712</v>
      </c>
      <c r="T75" s="59">
        <f t="shared" si="88"/>
        <v>473.30663081727369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172.75191508561224</v>
      </c>
      <c r="AA75" s="21">
        <f>EXP(-LN(2)/25)*AA74+(1-EXP(-LN(2)/25))/(LN(2)/25)*Calculateur!V75*Calculateur!X75*VLOOKUP('Données projet'!$B$9,Paramètres!$A$1:$I$89,3,0)*0.475*44/12</f>
        <v>51.60372264656354</v>
      </c>
      <c r="AB75" s="21">
        <f>EXP(-LN(2)/2)*AB74+(1-EXP(-LN(2)/2))/(LN(2)/2)*V75*Y75*VLOOKUP('Données projet'!$B$9,Paramètres!$A$1:$I$89,3,0)*0.475*44/12</f>
        <v>0.17872678361729688</v>
      </c>
      <c r="AC75" s="22">
        <f t="shared" si="57"/>
        <v>224.53436451579307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179.4725256147085</v>
      </c>
      <c r="AO75" s="59">
        <f t="shared" si="90"/>
        <v>282.16750121151176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113.8454561119557</v>
      </c>
      <c r="AV75" s="21">
        <f>EXP(-LN(2)/25)*AV74+(1-EXP(-LN(2)/25))/(LN(2)/25)*Calculateur!AQ75*Calculateur!AS75*VLOOKUP('Données projet'!$B$10,Paramètres!$A$1:$I$89,3,0)*0.475*44/12</f>
        <v>35.033623520597281</v>
      </c>
      <c r="AW75" s="21">
        <f>EXP(-LN(2)/2)*AW74+(1-EXP(-LN(2)/2))/(LN(2)/2)*AQ75*AT75*VLOOKUP('Données projet'!$B$10,Paramètres!$A$1:$I$89,3,0)*0.475*44/12</f>
        <v>0.67375621679256392</v>
      </c>
      <c r="AX75" s="21">
        <f t="shared" si="60"/>
        <v>149.55283584934554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2.2737367544323206E-13</v>
      </c>
      <c r="BE75" s="13">
        <f>BD75*VLOOKUP('Données projet'!$B$11,Paramètres!$A$1:$I$89,3,0)*VLOOKUP('Données projet'!$B$11,Paramètres!$A$1:$I$89,5,0)</f>
        <v>1.064108801074326E-13</v>
      </c>
      <c r="BF75" s="13">
        <f t="shared" si="91"/>
        <v>1.5870730813698654E-12</v>
      </c>
      <c r="BG75" s="20">
        <f t="shared" si="61"/>
        <v>2.9494845662396269E-12</v>
      </c>
      <c r="BH75" s="59">
        <f t="shared" si="62"/>
        <v>293.33333333333627</v>
      </c>
      <c r="BI75" s="59">
        <f ca="1">AVERAGE(OFFSET($BH$3,0,0,'Données projet'!$E$11+1,1))-AVERAGE(OFFSET($H$3,0,0,'Données projet'!$E$11+1,1))</f>
        <v>227.19831549982962</v>
      </c>
      <c r="BJ75" s="59">
        <f t="shared" si="92"/>
        <v>309.84543033784564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147.10782830681205</v>
      </c>
      <c r="BQ75" s="21">
        <f>EXP(-LN(2)/25)*BQ74+(1-EXP(-LN(2)/25))/(LN(2)/25)*Calculateur!BL75*Calculateur!BN75*VLOOKUP('Données projet'!$B$11,Paramètres!$A$1:$I$89,3,0)*0.475*44/12</f>
        <v>47.76817439184908</v>
      </c>
      <c r="BR75" s="21">
        <f>EXP(-LN(2)/2)*BR74+(1-EXP(-LN(2)/2))/(LN(2)/2)*BL75*BO75*VLOOKUP('Données projet'!$B$11,Paramètres!$A$1:$I$89,3,0)*0.475*44/12</f>
        <v>1.8883942608076225</v>
      </c>
      <c r="BS75" s="22">
        <f t="shared" si="63"/>
        <v>196.76439695946874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2.9487179487179502</v>
      </c>
      <c r="BY75" s="12">
        <f>IF('Données projet'!$A$114&gt;35,BY74+BX75-CG74,IF(A75&lt;'Données projet'!$A$114,$BV$205^A75,IF(A75='Données projet'!$A$114,'Données projet'!$B$114,BY74+BX75-CG74)))</f>
        <v>145.64102564102572</v>
      </c>
      <c r="BZ75" s="13">
        <f>BY75*VLOOKUP('Données projet'!$B$12,Paramètres!$A$1:$I$89,3,0)*VLOOKUP('Données projet'!$B$12,Paramètres!$A$1:$I$89,5,0)</f>
        <v>95.424000000000049</v>
      </c>
      <c r="CA75" s="13">
        <f t="shared" si="93"/>
        <v>25.868874603839831</v>
      </c>
      <c r="CB75" s="20">
        <f t="shared" si="64"/>
        <v>211.25175660168779</v>
      </c>
      <c r="CC75" s="59">
        <f t="shared" si="65"/>
        <v>504.58508993502107</v>
      </c>
      <c r="CD75" s="59">
        <f ca="1">AVERAGE(OFFSET($CC$3,0,0,'Données projet'!$E$12+1,1))-AVERAGE(OFFSET($H$3,0,0,'Données projet'!$E$12+1,1))</f>
        <v>91.274378490051788</v>
      </c>
      <c r="CE75" s="59">
        <f t="shared" si="94"/>
        <v>126.60105012427914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3.4661369949975214</v>
      </c>
      <c r="CL75" s="21">
        <f>EXP(-LN(2)/25)*CL74+(1-EXP(-LN(2)/25))/(LN(2)/25)*Calculateur!CG75*Calculateur!CI75*VLOOKUP('Données projet'!$B$12,Paramètres!$A$1:$I$89,3,0)*0.475*44/12</f>
        <v>6.2120025437090458</v>
      </c>
      <c r="CM75" s="21">
        <f>EXP(-LN(2)/2)*CM74+(1-EXP(-LN(2)/2))/(LN(2)/2)*CG75*CJ75*VLOOKUP('Données projet'!$B$12,Paramètres!$A$1:$I$89,3,0)*0.475*44/12</f>
        <v>1.1580711383618052</v>
      </c>
      <c r="CN75" s="22">
        <f t="shared" si="66"/>
        <v>10.836210677068372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1.9065282685915009E-13</v>
      </c>
      <c r="P76" s="13">
        <f t="shared" si="87"/>
        <v>2.6568987209435707E-12</v>
      </c>
      <c r="Q76" s="20">
        <f t="shared" si="54"/>
        <v>4.959485612423072E-12</v>
      </c>
      <c r="R76" s="59">
        <f t="shared" si="55"/>
        <v>293.33333333333826</v>
      </c>
      <c r="S76" s="59">
        <f ca="1">AVERAGE(OFFSET($R$3,0,0,'Données projet'!$E$9+1,1))-AVERAGE(OFFSET($H$3,0,0,'Données projet'!$E$9+1,1))</f>
        <v>350.09239406910712</v>
      </c>
      <c r="T76" s="59">
        <f t="shared" si="88"/>
        <v>473.30663081727369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169.36435539904733</v>
      </c>
      <c r="AA76" s="21">
        <f>EXP(-LN(2)/25)*AA75+(1-EXP(-LN(2)/25))/(LN(2)/25)*Calculateur!V76*Calculateur!X76*VLOOKUP('Données projet'!$B$9,Paramètres!$A$1:$I$89,3,0)*0.475*44/12</f>
        <v>50.192616137071425</v>
      </c>
      <c r="AB76" s="21">
        <f>EXP(-LN(2)/2)*AB75+(1-EXP(-LN(2)/2))/(LN(2)/2)*V76*Y76*VLOOKUP('Données projet'!$B$9,Paramètres!$A$1:$I$89,3,0)*0.475*44/12</f>
        <v>0.12637892067545137</v>
      </c>
      <c r="AC76" s="22">
        <f t="shared" si="57"/>
        <v>219.68335045679419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179.4725256147085</v>
      </c>
      <c r="AO76" s="59">
        <f t="shared" si="90"/>
        <v>282.16750121151176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111.61301615647196</v>
      </c>
      <c r="AV76" s="21">
        <f>EXP(-LN(2)/25)*AV75+(1-EXP(-LN(2)/25))/(LN(2)/25)*Calculateur!AQ76*Calculateur!AS76*VLOOKUP('Données projet'!$B$10,Paramètres!$A$1:$I$89,3,0)*0.475*44/12</f>
        <v>34.075627243088356</v>
      </c>
      <c r="AW76" s="21">
        <f>EXP(-LN(2)/2)*AW75+(1-EXP(-LN(2)/2))/(LN(2)/2)*AQ76*AT76*VLOOKUP('Données projet'!$B$10,Paramètres!$A$1:$I$89,3,0)*0.475*44/12</f>
        <v>0.4764175897606156</v>
      </c>
      <c r="AX76" s="21">
        <f t="shared" si="60"/>
        <v>146.16506098932092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2.2737367544323206E-13</v>
      </c>
      <c r="BE76" s="13">
        <f>BD76*VLOOKUP('Données projet'!$B$11,Paramètres!$A$1:$I$89,3,0)*VLOOKUP('Données projet'!$B$11,Paramètres!$A$1:$I$89,5,0)</f>
        <v>1.064108801074326E-13</v>
      </c>
      <c r="BF76" s="13">
        <f t="shared" si="91"/>
        <v>1.5870730813698654E-12</v>
      </c>
      <c r="BG76" s="20">
        <f t="shared" si="61"/>
        <v>2.9494845662396269E-12</v>
      </c>
      <c r="BH76" s="59">
        <f t="shared" si="62"/>
        <v>293.33333333333627</v>
      </c>
      <c r="BI76" s="59">
        <f ca="1">AVERAGE(OFFSET($BH$3,0,0,'Données projet'!$E$11+1,1))-AVERAGE(OFFSET($H$3,0,0,'Données projet'!$E$11+1,1))</f>
        <v>227.19831549982962</v>
      </c>
      <c r="BJ76" s="59">
        <f t="shared" si="92"/>
        <v>309.84543033784564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144.22313352063094</v>
      </c>
      <c r="BQ76" s="21">
        <f>EXP(-LN(2)/25)*BQ75+(1-EXP(-LN(2)/25))/(LN(2)/25)*Calculateur!BL76*Calculateur!BN76*VLOOKUP('Données projet'!$B$11,Paramètres!$A$1:$I$89,3,0)*0.475*44/12</f>
        <v>46.461951151084854</v>
      </c>
      <c r="BR76" s="21">
        <f>EXP(-LN(2)/2)*BR75+(1-EXP(-LN(2)/2))/(LN(2)/2)*BL76*BO76*VLOOKUP('Données projet'!$B$11,Paramètres!$A$1:$I$89,3,0)*0.475*44/12</f>
        <v>1.3352963873708277</v>
      </c>
      <c r="BS76" s="22">
        <f t="shared" si="63"/>
        <v>192.02038105908662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2.9487179487179502</v>
      </c>
      <c r="BY76" s="12">
        <f>IF('Données projet'!$A$114&gt;35,BY75+BX76-CG75,IF(A76&lt;'Données projet'!$A$114,$BV$205^A76,IF(A76='Données projet'!$A$114,'Données projet'!$B$114,BY75+BX76-CG75)))</f>
        <v>148.58974358974368</v>
      </c>
      <c r="BZ76" s="13">
        <f>BY76*VLOOKUP('Données projet'!$B$12,Paramètres!$A$1:$I$89,3,0)*VLOOKUP('Données projet'!$B$12,Paramètres!$A$1:$I$89,5,0)</f>
        <v>97.356000000000066</v>
      </c>
      <c r="CA76" s="13">
        <f t="shared" si="93"/>
        <v>26.331122045685671</v>
      </c>
      <c r="CB76" s="20">
        <f t="shared" si="64"/>
        <v>215.42173756290265</v>
      </c>
      <c r="CC76" s="59">
        <f t="shared" si="65"/>
        <v>508.75507089623596</v>
      </c>
      <c r="CD76" s="59">
        <f ca="1">AVERAGE(OFFSET($CC$3,0,0,'Données projet'!$E$12+1,1))-AVERAGE(OFFSET($H$3,0,0,'Données projet'!$E$12+1,1))</f>
        <v>91.274378490051788</v>
      </c>
      <c r="CE76" s="59">
        <f t="shared" si="94"/>
        <v>126.60105012427914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3.3981681626604336</v>
      </c>
      <c r="CL76" s="21">
        <f>EXP(-LN(2)/25)*CL75+(1-EXP(-LN(2)/25))/(LN(2)/25)*Calculateur!CG76*Calculateur!CI76*VLOOKUP('Données projet'!$B$12,Paramètres!$A$1:$I$89,3,0)*0.475*44/12</f>
        <v>6.0421350074763058</v>
      </c>
      <c r="CM76" s="21">
        <f>EXP(-LN(2)/2)*CM75+(1-EXP(-LN(2)/2))/(LN(2)/2)*CG76*CJ76*VLOOKUP('Données projet'!$B$12,Paramètres!$A$1:$I$89,3,0)*0.475*44/12</f>
        <v>0.81887995503205702</v>
      </c>
      <c r="CN76" s="22">
        <f t="shared" si="66"/>
        <v>10.259183125168798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1.9065282685915009E-13</v>
      </c>
      <c r="P77" s="13">
        <f t="shared" si="87"/>
        <v>2.6568987209435707E-12</v>
      </c>
      <c r="Q77" s="20">
        <f t="shared" si="54"/>
        <v>4.959485612423072E-12</v>
      </c>
      <c r="R77" s="59">
        <f t="shared" si="55"/>
        <v>293.33333333333826</v>
      </c>
      <c r="S77" s="59">
        <f ca="1">AVERAGE(OFFSET($R$3,0,0,'Données projet'!$E$9+1,1))-AVERAGE(OFFSET($H$3,0,0,'Données projet'!$E$9+1,1))</f>
        <v>350.09239406910712</v>
      </c>
      <c r="T77" s="59">
        <f t="shared" si="88"/>
        <v>473.30663081727369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166.04322369172857</v>
      </c>
      <c r="AA77" s="21">
        <f>EXP(-LN(2)/25)*AA76+(1-EXP(-LN(2)/25))/(LN(2)/25)*Calculateur!V77*Calculateur!X77*VLOOKUP('Données projet'!$B$9,Paramètres!$A$1:$I$89,3,0)*0.475*44/12</f>
        <v>48.82009640928824</v>
      </c>
      <c r="AB77" s="21">
        <f>EXP(-LN(2)/2)*AB76+(1-EXP(-LN(2)/2))/(LN(2)/2)*V77*Y77*VLOOKUP('Données projet'!$B$9,Paramètres!$A$1:$I$89,3,0)*0.475*44/12</f>
        <v>8.936339180864844E-2</v>
      </c>
      <c r="AC77" s="22">
        <f t="shared" si="57"/>
        <v>214.95268349282549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179.4725256147085</v>
      </c>
      <c r="AO77" s="59">
        <f t="shared" si="90"/>
        <v>282.16750121151176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109.42435298686134</v>
      </c>
      <c r="AV77" s="21">
        <f>EXP(-LN(2)/25)*AV76+(1-EXP(-LN(2)/25))/(LN(2)/25)*Calculateur!AQ77*Calculateur!AS77*VLOOKUP('Données projet'!$B$10,Paramètres!$A$1:$I$89,3,0)*0.475*44/12</f>
        <v>33.143827424166751</v>
      </c>
      <c r="AW77" s="21">
        <f>EXP(-LN(2)/2)*AW76+(1-EXP(-LN(2)/2))/(LN(2)/2)*AQ77*AT77*VLOOKUP('Données projet'!$B$10,Paramètres!$A$1:$I$89,3,0)*0.475*44/12</f>
        <v>0.33687810839628202</v>
      </c>
      <c r="AX77" s="21">
        <f t="shared" si="60"/>
        <v>142.90505851942439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2.2737367544323206E-13</v>
      </c>
      <c r="BE77" s="13">
        <f>BD77*VLOOKUP('Données projet'!$B$11,Paramètres!$A$1:$I$89,3,0)*VLOOKUP('Données projet'!$B$11,Paramètres!$A$1:$I$89,5,0)</f>
        <v>1.064108801074326E-13</v>
      </c>
      <c r="BF77" s="13">
        <f t="shared" si="91"/>
        <v>1.5870730813698654E-12</v>
      </c>
      <c r="BG77" s="20">
        <f t="shared" si="61"/>
        <v>2.9494845662396269E-12</v>
      </c>
      <c r="BH77" s="59">
        <f t="shared" si="62"/>
        <v>293.33333333333627</v>
      </c>
      <c r="BI77" s="59">
        <f ca="1">AVERAGE(OFFSET($BH$3,0,0,'Données projet'!$E$11+1,1))-AVERAGE(OFFSET($H$3,0,0,'Données projet'!$E$11+1,1))</f>
        <v>227.19831549982962</v>
      </c>
      <c r="BJ77" s="59">
        <f t="shared" si="92"/>
        <v>309.84543033784564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141.39500583971676</v>
      </c>
      <c r="BQ77" s="21">
        <f>EXP(-LN(2)/25)*BQ76+(1-EXP(-LN(2)/25))/(LN(2)/25)*Calculateur!BL77*Calculateur!BN77*VLOOKUP('Données projet'!$B$11,Paramètres!$A$1:$I$89,3,0)*0.475*44/12</f>
        <v>45.191446653530619</v>
      </c>
      <c r="BR77" s="21">
        <f>EXP(-LN(2)/2)*BR76+(1-EXP(-LN(2)/2))/(LN(2)/2)*BL77*BO77*VLOOKUP('Données projet'!$B$11,Paramètres!$A$1:$I$89,3,0)*0.475*44/12</f>
        <v>0.94419713040381126</v>
      </c>
      <c r="BS77" s="22">
        <f t="shared" si="63"/>
        <v>187.53064962365119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2.9487179487179502</v>
      </c>
      <c r="BY77" s="12">
        <f>IF('Données projet'!$A$114&gt;35,BY76+BX77-CG76,IF(A77&lt;'Données projet'!$A$114,$BV$205^A77,IF(A77='Données projet'!$A$114,'Données projet'!$B$114,BY76+BX77-CG76)))</f>
        <v>151.53846153846163</v>
      </c>
      <c r="BZ77" s="13">
        <f>BY77*VLOOKUP('Données projet'!$B$12,Paramètres!$A$1:$I$89,3,0)*VLOOKUP('Données projet'!$B$12,Paramètres!$A$1:$I$89,5,0)</f>
        <v>99.288000000000068</v>
      </c>
      <c r="CA77" s="13">
        <f t="shared" si="93"/>
        <v>26.792302890100807</v>
      </c>
      <c r="CB77" s="20">
        <f t="shared" si="64"/>
        <v>219.5898608669257</v>
      </c>
      <c r="CC77" s="59">
        <f t="shared" si="65"/>
        <v>512.92319420025899</v>
      </c>
      <c r="CD77" s="59">
        <f ca="1">AVERAGE(OFFSET($CC$3,0,0,'Données projet'!$E$12+1,1))-AVERAGE(OFFSET($H$3,0,0,'Données projet'!$E$12+1,1))</f>
        <v>91.274378490051788</v>
      </c>
      <c r="CE77" s="59">
        <f t="shared" si="94"/>
        <v>126.60105012427914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3.3315321576685819</v>
      </c>
      <c r="CL77" s="21">
        <f>EXP(-LN(2)/25)*CL76+(1-EXP(-LN(2)/25))/(LN(2)/25)*Calculateur!CG77*Calculateur!CI77*VLOOKUP('Données projet'!$B$12,Paramètres!$A$1:$I$89,3,0)*0.475*44/12</f>
        <v>5.8769125079547955</v>
      </c>
      <c r="CM77" s="21">
        <f>EXP(-LN(2)/2)*CM76+(1-EXP(-LN(2)/2))/(LN(2)/2)*CG77*CJ77*VLOOKUP('Données projet'!$B$12,Paramètres!$A$1:$I$89,3,0)*0.475*44/12</f>
        <v>0.57903556918090271</v>
      </c>
      <c r="CN77" s="22">
        <f t="shared" si="66"/>
        <v>9.7874802348042795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1.9065282685915009E-13</v>
      </c>
      <c r="P78" s="13">
        <f t="shared" si="87"/>
        <v>2.6568987209435707E-12</v>
      </c>
      <c r="Q78" s="20">
        <f t="shared" si="54"/>
        <v>4.959485612423072E-12</v>
      </c>
      <c r="R78" s="59">
        <f t="shared" si="55"/>
        <v>293.33333333333826</v>
      </c>
      <c r="S78" s="59">
        <f ca="1">AVERAGE(OFFSET($R$3,0,0,'Données projet'!$E$9+1,1))-AVERAGE(OFFSET($H$3,0,0,'Données projet'!$E$9+1,1))</f>
        <v>350.09239406910712</v>
      </c>
      <c r="T78" s="59">
        <f t="shared" si="88"/>
        <v>473.30663081727369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162.7872173515</v>
      </c>
      <c r="AA78" s="21">
        <f>EXP(-LN(2)/25)*AA77+(1-EXP(-LN(2)/25))/(LN(2)/25)*Calculateur!V78*Calculateur!X78*VLOOKUP('Données projet'!$B$9,Paramètres!$A$1:$I$89,3,0)*0.475*44/12</f>
        <v>47.48510830563896</v>
      </c>
      <c r="AB78" s="21">
        <f>EXP(-LN(2)/2)*AB77+(1-EXP(-LN(2)/2))/(LN(2)/2)*V78*Y78*VLOOKUP('Données projet'!$B$9,Paramètres!$A$1:$I$89,3,0)*0.475*44/12</f>
        <v>6.3189460337725684E-2</v>
      </c>
      <c r="AC78" s="22">
        <f t="shared" si="57"/>
        <v>210.33551511747669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179.4725256147085</v>
      </c>
      <c r="AO78" s="59">
        <f t="shared" si="90"/>
        <v>282.16750121151176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107.27860816705406</v>
      </c>
      <c r="AV78" s="21">
        <f>EXP(-LN(2)/25)*AV77+(1-EXP(-LN(2)/25))/(LN(2)/25)*Calculateur!AQ78*Calculateur!AS78*VLOOKUP('Données projet'!$B$10,Paramètres!$A$1:$I$89,3,0)*0.475*44/12</f>
        <v>32.237507720294779</v>
      </c>
      <c r="AW78" s="21">
        <f>EXP(-LN(2)/2)*AW77+(1-EXP(-LN(2)/2))/(LN(2)/2)*AQ78*AT78*VLOOKUP('Données projet'!$B$10,Paramètres!$A$1:$I$89,3,0)*0.475*44/12</f>
        <v>0.23820879488030786</v>
      </c>
      <c r="AX78" s="21">
        <f t="shared" si="60"/>
        <v>139.75432468222914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2.2737367544323206E-13</v>
      </c>
      <c r="BE78" s="13">
        <f>BD78*VLOOKUP('Données projet'!$B$11,Paramètres!$A$1:$I$89,3,0)*VLOOKUP('Données projet'!$B$11,Paramètres!$A$1:$I$89,5,0)</f>
        <v>1.064108801074326E-13</v>
      </c>
      <c r="BF78" s="13">
        <f t="shared" si="91"/>
        <v>1.5870730813698654E-12</v>
      </c>
      <c r="BG78" s="20">
        <f t="shared" si="61"/>
        <v>2.9494845662396269E-12</v>
      </c>
      <c r="BH78" s="59">
        <f t="shared" si="62"/>
        <v>293.33333333333627</v>
      </c>
      <c r="BI78" s="59">
        <f ca="1">AVERAGE(OFFSET($BH$3,0,0,'Données projet'!$E$11+1,1))-AVERAGE(OFFSET($H$3,0,0,'Données projet'!$E$11+1,1))</f>
        <v>227.19831549982962</v>
      </c>
      <c r="BJ78" s="59">
        <f t="shared" si="92"/>
        <v>309.84543033784564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138.62233601763774</v>
      </c>
      <c r="BQ78" s="21">
        <f>EXP(-LN(2)/25)*BQ77+(1-EXP(-LN(2)/25))/(LN(2)/25)*Calculateur!BL78*Calculateur!BN78*VLOOKUP('Données projet'!$B$11,Paramètres!$A$1:$I$89,3,0)*0.475*44/12</f>
        <v>43.955684168274928</v>
      </c>
      <c r="BR78" s="21">
        <f>EXP(-LN(2)/2)*BR77+(1-EXP(-LN(2)/2))/(LN(2)/2)*BL78*BO78*VLOOKUP('Données projet'!$B$11,Paramètres!$A$1:$I$89,3,0)*0.475*44/12</f>
        <v>0.66764819368541384</v>
      </c>
      <c r="BS78" s="22">
        <f t="shared" si="63"/>
        <v>183.24566837959807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154.48717948717947</v>
      </c>
      <c r="BW78" s="12">
        <f>VLOOKUP(A78,'Données projet'!$A$113:$I$133,9,0)</f>
        <v>2.9487179487179502</v>
      </c>
      <c r="BX78" s="12">
        <f t="array" ref="BX78">INDEX(BW:BW,MIN(IF(ISNUMBER(BW78:BW274),ROW(BW78:BW274),"")))</f>
        <v>2.9487179487179502</v>
      </c>
      <c r="BY78" s="12">
        <f>IF('Données projet'!$A$114&gt;35,BY77+BX78-CG77,IF(A78&lt;'Données projet'!$A$114,$BV$205^A78,IF(A78='Données projet'!$A$114,'Données projet'!$B$114,BY77+BX78-CG77)))</f>
        <v>154.48717948717959</v>
      </c>
      <c r="BZ78" s="13">
        <f>BY78*VLOOKUP('Données projet'!$B$12,Paramètres!$A$1:$I$89,3,0)*VLOOKUP('Données projet'!$B$12,Paramètres!$A$1:$I$89,5,0)</f>
        <v>101.22000000000007</v>
      </c>
      <c r="CA78" s="13">
        <f t="shared" si="93"/>
        <v>27.252440284062416</v>
      </c>
      <c r="CB78" s="20">
        <f t="shared" si="64"/>
        <v>223.75616682807549</v>
      </c>
      <c r="CC78" s="59">
        <f t="shared" si="65"/>
        <v>517.08950016140875</v>
      </c>
      <c r="CD78" s="59">
        <f ca="1">AVERAGE(OFFSET($CC$3,0,0,'Données projet'!$E$12+1,1))-AVERAGE(OFFSET($H$3,0,0,'Données projet'!$E$12+1,1))</f>
        <v>91.274378490051788</v>
      </c>
      <c r="CE78" s="59">
        <f t="shared" si="94"/>
        <v>126.60105012427914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11.538461538461538</v>
      </c>
      <c r="CH78" s="16">
        <f>IF(ISNA(VLOOKUP(A78,'Données projet'!$A$113:$I$133,5,0)),0%,VLOOKUP(A78,'Données projet'!$A$113:$I$133,5,0)*VLOOKUP('Données projet'!$B$12,Paramètres!$A$1:$I$89,7,0))</f>
        <v>0.1075</v>
      </c>
      <c r="CI78" s="16">
        <f>IF(ISNA(VLOOKUP(A78,'Données projet'!$A$113:$I$133,6,0)),0%,VLOOKUP(A78,'Données projet'!$A$113:$I$133,6,0)*VLOOKUP('Données projet'!$B$12,Paramètres!$A$1:$I$89,7,0))</f>
        <v>0.1075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4.1646186215370991</v>
      </c>
      <c r="CL78" s="21">
        <f>EXP(-LN(2)/25)*CL77+(1-EXP(-LN(2)/25))/(LN(2)/25)*Calculateur!CG78*Calculateur!CI78*VLOOKUP('Données projet'!$B$12,Paramètres!$A$1:$I$89,3,0)*0.475*44/12</f>
        <v>6.6110863985787471</v>
      </c>
      <c r="CM78" s="21">
        <f>EXP(-LN(2)/2)*CM77+(1-EXP(-LN(2)/2))/(LN(2)/2)*CG78*CJ78*VLOOKUP('Données projet'!$B$12,Paramètres!$A$1:$I$89,3,0)*0.475*44/12</f>
        <v>2.1927058461202122</v>
      </c>
      <c r="CN78" s="22">
        <f t="shared" si="66"/>
        <v>12.968410866236059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1.9065282685915009E-13</v>
      </c>
      <c r="P79" s="13">
        <f t="shared" si="87"/>
        <v>2.6568987209435707E-12</v>
      </c>
      <c r="Q79" s="20">
        <f t="shared" si="54"/>
        <v>4.959485612423072E-12</v>
      </c>
      <c r="R79" s="59">
        <f t="shared" si="55"/>
        <v>293.33333333333826</v>
      </c>
      <c r="S79" s="59">
        <f ca="1">AVERAGE(OFFSET($R$3,0,0,'Données projet'!$E$9+1,1))-AVERAGE(OFFSET($H$3,0,0,'Données projet'!$E$9+1,1))</f>
        <v>350.09239406910712</v>
      </c>
      <c r="T79" s="59">
        <f t="shared" si="88"/>
        <v>473.30663081727369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159.59505930963556</v>
      </c>
      <c r="AA79" s="21">
        <f>EXP(-LN(2)/25)*AA78+(1-EXP(-LN(2)/25))/(LN(2)/25)*Calculateur!V79*Calculateur!X79*VLOOKUP('Données projet'!$B$9,Paramètres!$A$1:$I$89,3,0)*0.475*44/12</f>
        <v>46.186625521887947</v>
      </c>
      <c r="AB79" s="21">
        <f>EXP(-LN(2)/2)*AB78+(1-EXP(-LN(2)/2))/(LN(2)/2)*V79*Y79*VLOOKUP('Données projet'!$B$9,Paramètres!$A$1:$I$89,3,0)*0.475*44/12</f>
        <v>4.468169590432422E-2</v>
      </c>
      <c r="AC79" s="22">
        <f t="shared" si="57"/>
        <v>205.82636652742784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179.4725256147085</v>
      </c>
      <c r="AO79" s="59">
        <f t="shared" si="90"/>
        <v>282.16750121151176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105.17494009438809</v>
      </c>
      <c r="AV79" s="21">
        <f>EXP(-LN(2)/25)*AV78+(1-EXP(-LN(2)/25))/(LN(2)/25)*Calculateur!AQ79*Calculateur!AS79*VLOOKUP('Données projet'!$B$10,Paramètres!$A$1:$I$89,3,0)*0.475*44/12</f>
        <v>31.355971376386467</v>
      </c>
      <c r="AW79" s="21">
        <f>EXP(-LN(2)/2)*AW78+(1-EXP(-LN(2)/2))/(LN(2)/2)*AQ79*AT79*VLOOKUP('Données projet'!$B$10,Paramètres!$A$1:$I$89,3,0)*0.475*44/12</f>
        <v>0.16843905419814104</v>
      </c>
      <c r="AX79" s="21">
        <f t="shared" si="60"/>
        <v>136.69935052497269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2.2737367544323206E-13</v>
      </c>
      <c r="BE79" s="13">
        <f>BD79*VLOOKUP('Données projet'!$B$11,Paramètres!$A$1:$I$89,3,0)*VLOOKUP('Données projet'!$B$11,Paramètres!$A$1:$I$89,5,0)</f>
        <v>1.064108801074326E-13</v>
      </c>
      <c r="BF79" s="13">
        <f t="shared" si="91"/>
        <v>1.5870730813698654E-12</v>
      </c>
      <c r="BG79" s="20">
        <f t="shared" si="61"/>
        <v>2.9494845662396269E-12</v>
      </c>
      <c r="BH79" s="59">
        <f t="shared" si="62"/>
        <v>293.33333333333627</v>
      </c>
      <c r="BI79" s="59">
        <f ca="1">AVERAGE(OFFSET($BH$3,0,0,'Données projet'!$E$11+1,1))-AVERAGE(OFFSET($H$3,0,0,'Données projet'!$E$11+1,1))</f>
        <v>227.19831549982962</v>
      </c>
      <c r="BJ79" s="59">
        <f t="shared" si="92"/>
        <v>309.84543033784564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135.90403655960807</v>
      </c>
      <c r="BQ79" s="21">
        <f>EXP(-LN(2)/25)*BQ78+(1-EXP(-LN(2)/25))/(LN(2)/25)*Calculateur!BL79*Calculateur!BN79*VLOOKUP('Données projet'!$B$11,Paramètres!$A$1:$I$89,3,0)*0.475*44/12</f>
        <v>42.753713673164484</v>
      </c>
      <c r="BR79" s="21">
        <f>EXP(-LN(2)/2)*BR78+(1-EXP(-LN(2)/2))/(LN(2)/2)*BL79*BO79*VLOOKUP('Données projet'!$B$11,Paramètres!$A$1:$I$89,3,0)*0.475*44/12</f>
        <v>0.47209856520190563</v>
      </c>
      <c r="BS79" s="22">
        <f t="shared" si="63"/>
        <v>179.12984879797449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2.6923076923076961</v>
      </c>
      <c r="BY79" s="12">
        <f>IF('Données projet'!$A$114&gt;35,BY78+BX79-CG78,IF(A79&lt;'Données projet'!$A$114,$BV$205^A79,IF(A79='Données projet'!$A$114,'Données projet'!$B$114,BY78+BX79-CG78)))</f>
        <v>145.64102564102575</v>
      </c>
      <c r="BZ79" s="13">
        <f>BY79*VLOOKUP('Données projet'!$B$12,Paramètres!$A$1:$I$89,3,0)*VLOOKUP('Données projet'!$B$12,Paramètres!$A$1:$I$89,5,0)</f>
        <v>95.424000000000078</v>
      </c>
      <c r="CA79" s="13">
        <f t="shared" si="93"/>
        <v>25.868874603839831</v>
      </c>
      <c r="CB79" s="20">
        <f t="shared" si="64"/>
        <v>211.25175660168782</v>
      </c>
      <c r="CC79" s="59">
        <f t="shared" si="65"/>
        <v>504.58508993502113</v>
      </c>
      <c r="CD79" s="59">
        <f ca="1">AVERAGE(OFFSET($CC$3,0,0,'Données projet'!$E$12+1,1))-AVERAGE(OFFSET($H$3,0,0,'Données projet'!$E$12+1,1))</f>
        <v>91.274378490051788</v>
      </c>
      <c r="CE79" s="59">
        <f t="shared" si="94"/>
        <v>126.60105012427914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4.0829529905352953</v>
      </c>
      <c r="CL79" s="21">
        <f>EXP(-LN(2)/25)*CL78+(1-EXP(-LN(2)/25))/(LN(2)/25)*Calculateur!CG79*Calculateur!CI79*VLOOKUP('Données projet'!$B$12,Paramètres!$A$1:$I$89,3,0)*0.475*44/12</f>
        <v>6.4303058933476871</v>
      </c>
      <c r="CM79" s="21">
        <f>EXP(-LN(2)/2)*CM78+(1-EXP(-LN(2)/2))/(LN(2)/2)*CG79*CJ79*VLOOKUP('Données projet'!$B$12,Paramètres!$A$1:$I$89,3,0)*0.475*44/12</f>
        <v>1.5504771729389886</v>
      </c>
      <c r="CN79" s="22">
        <f t="shared" si="66"/>
        <v>12.063736056821972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1.9065282685915009E-13</v>
      </c>
      <c r="P80" s="13">
        <f t="shared" si="87"/>
        <v>2.6568987209435707E-12</v>
      </c>
      <c r="Q80" s="20">
        <f t="shared" si="54"/>
        <v>4.959485612423072E-12</v>
      </c>
      <c r="R80" s="59">
        <f t="shared" si="55"/>
        <v>293.33333333333826</v>
      </c>
      <c r="S80" s="59">
        <f ca="1">AVERAGE(OFFSET($R$3,0,0,'Données projet'!$E$9+1,1))-AVERAGE(OFFSET($H$3,0,0,'Données projet'!$E$9+1,1))</f>
        <v>350.09239406910712</v>
      </c>
      <c r="T80" s="59">
        <f t="shared" si="88"/>
        <v>473.30663081727369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156.46549753994793</v>
      </c>
      <c r="AA80" s="21">
        <f>EXP(-LN(2)/25)*AA79+(1-EXP(-LN(2)/25))/(LN(2)/25)*Calculateur!V80*Calculateur!X80*VLOOKUP('Données projet'!$B$9,Paramètres!$A$1:$I$89,3,0)*0.475*44/12</f>
        <v>44.923649818142849</v>
      </c>
      <c r="AB80" s="21">
        <f>EXP(-LN(2)/2)*AB79+(1-EXP(-LN(2)/2))/(LN(2)/2)*V80*Y80*VLOOKUP('Données projet'!$B$9,Paramètres!$A$1:$I$89,3,0)*0.475*44/12</f>
        <v>3.1594730168862842E-2</v>
      </c>
      <c r="AC80" s="22">
        <f t="shared" si="57"/>
        <v>201.42074208825966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179.4725256147085</v>
      </c>
      <c r="AO80" s="59">
        <f t="shared" si="90"/>
        <v>282.16750121151176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103.11252366951628</v>
      </c>
      <c r="AV80" s="21">
        <f>EXP(-LN(2)/25)*AV79+(1-EXP(-LN(2)/25))/(LN(2)/25)*Calculateur!AQ80*Calculateur!AS80*VLOOKUP('Données projet'!$B$10,Paramètres!$A$1:$I$89,3,0)*0.475*44/12</f>
        <v>30.498540690160311</v>
      </c>
      <c r="AW80" s="21">
        <f>EXP(-LN(2)/2)*AW79+(1-EXP(-LN(2)/2))/(LN(2)/2)*AQ80*AT80*VLOOKUP('Données projet'!$B$10,Paramètres!$A$1:$I$89,3,0)*0.475*44/12</f>
        <v>0.11910439744015394</v>
      </c>
      <c r="AX80" s="21">
        <f t="shared" si="60"/>
        <v>133.73016875711676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2.2737367544323206E-13</v>
      </c>
      <c r="BE80" s="13">
        <f>BD80*VLOOKUP('Données projet'!$B$11,Paramètres!$A$1:$I$89,3,0)*VLOOKUP('Données projet'!$B$11,Paramètres!$A$1:$I$89,5,0)</f>
        <v>1.064108801074326E-13</v>
      </c>
      <c r="BF80" s="13">
        <f t="shared" si="91"/>
        <v>1.5870730813698654E-12</v>
      </c>
      <c r="BG80" s="20">
        <f t="shared" si="61"/>
        <v>2.9494845662396269E-12</v>
      </c>
      <c r="BH80" s="59">
        <f t="shared" si="62"/>
        <v>293.33333333333627</v>
      </c>
      <c r="BI80" s="59">
        <f ca="1">AVERAGE(OFFSET($BH$3,0,0,'Données projet'!$E$11+1,1))-AVERAGE(OFFSET($H$3,0,0,'Données projet'!$E$11+1,1))</f>
        <v>227.19831549982962</v>
      </c>
      <c r="BJ80" s="59">
        <f t="shared" si="92"/>
        <v>309.84543033784564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133.23904129595144</v>
      </c>
      <c r="BQ80" s="21">
        <f>EXP(-LN(2)/25)*BQ79+(1-EXP(-LN(2)/25))/(LN(2)/25)*Calculateur!BL80*Calculateur!BN80*VLOOKUP('Données projet'!$B$11,Paramètres!$A$1:$I$89,3,0)*0.475*44/12</f>
        <v>41.584611124451712</v>
      </c>
      <c r="BR80" s="21">
        <f>EXP(-LN(2)/2)*BR79+(1-EXP(-LN(2)/2))/(LN(2)/2)*BL80*BO80*VLOOKUP('Données projet'!$B$11,Paramètres!$A$1:$I$89,3,0)*0.475*44/12</f>
        <v>0.33382409684270692</v>
      </c>
      <c r="BS80" s="22">
        <f t="shared" si="63"/>
        <v>175.15747651724587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2.6923076923076961</v>
      </c>
      <c r="BY80" s="12">
        <f>IF('Données projet'!$A$114&gt;35,BY79+BX80-CG79,IF(A80&lt;'Données projet'!$A$114,$BV$205^A80,IF(A80='Données projet'!$A$114,'Données projet'!$B$114,BY79+BX80-CG79)))</f>
        <v>148.33333333333346</v>
      </c>
      <c r="BZ80" s="13">
        <f>BY80*VLOOKUP('Données projet'!$B$12,Paramètres!$A$1:$I$89,3,0)*VLOOKUP('Données projet'!$B$12,Paramètres!$A$1:$I$89,5,0)</f>
        <v>97.188000000000073</v>
      </c>
      <c r="CA80" s="13">
        <f t="shared" si="93"/>
        <v>26.290969297460357</v>
      </c>
      <c r="CB80" s="20">
        <f t="shared" si="64"/>
        <v>215.05920485974357</v>
      </c>
      <c r="CC80" s="59">
        <f t="shared" si="65"/>
        <v>508.39253819307692</v>
      </c>
      <c r="CD80" s="59">
        <f ca="1">AVERAGE(OFFSET($CC$3,0,0,'Données projet'!$E$12+1,1))-AVERAGE(OFFSET($H$3,0,0,'Données projet'!$E$12+1,1))</f>
        <v>91.274378490051788</v>
      </c>
      <c r="CE80" s="59">
        <f t="shared" si="94"/>
        <v>126.60105012427914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4.0028887727463198</v>
      </c>
      <c r="CL80" s="21">
        <f>EXP(-LN(2)/25)*CL79+(1-EXP(-LN(2)/25))/(LN(2)/25)*Calculateur!CG80*Calculateur!CI80*VLOOKUP('Données projet'!$B$12,Paramètres!$A$1:$I$89,3,0)*0.475*44/12</f>
        <v>6.2544688405390048</v>
      </c>
      <c r="CM80" s="21">
        <f>EXP(-LN(2)/2)*CM79+(1-EXP(-LN(2)/2))/(LN(2)/2)*CG80*CJ80*VLOOKUP('Données projet'!$B$12,Paramètres!$A$1:$I$89,3,0)*0.475*44/12</f>
        <v>1.0963529230601063</v>
      </c>
      <c r="CN80" s="22">
        <f t="shared" si="66"/>
        <v>11.353710536345432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1.9065282685915009E-13</v>
      </c>
      <c r="P81" s="13">
        <f t="shared" si="87"/>
        <v>2.6568987209435707E-12</v>
      </c>
      <c r="Q81" s="20">
        <f t="shared" si="54"/>
        <v>4.959485612423072E-12</v>
      </c>
      <c r="R81" s="59">
        <f t="shared" si="55"/>
        <v>293.33333333333826</v>
      </c>
      <c r="S81" s="59">
        <f ca="1">AVERAGE(OFFSET($R$3,0,0,'Données projet'!$E$9+1,1))-AVERAGE(OFFSET($H$3,0,0,'Données projet'!$E$9+1,1))</f>
        <v>350.09239406910712</v>
      </c>
      <c r="T81" s="59">
        <f t="shared" si="88"/>
        <v>473.30663081727369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153.39730456771969</v>
      </c>
      <c r="AA81" s="21">
        <f>EXP(-LN(2)/25)*AA80+(1-EXP(-LN(2)/25))/(LN(2)/25)*Calculateur!V81*Calculateur!X81*VLOOKUP('Données projet'!$B$9,Paramètres!$A$1:$I$89,3,0)*0.475*44/12</f>
        <v>43.695210251433664</v>
      </c>
      <c r="AB81" s="21">
        <f>EXP(-LN(2)/2)*AB80+(1-EXP(-LN(2)/2))/(LN(2)/2)*V81*Y81*VLOOKUP('Données projet'!$B$9,Paramètres!$A$1:$I$89,3,0)*0.475*44/12</f>
        <v>2.234084795216211E-2</v>
      </c>
      <c r="AC81" s="22">
        <f t="shared" si="57"/>
        <v>197.1148556671055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179.4725256147085</v>
      </c>
      <c r="AO81" s="59">
        <f t="shared" si="90"/>
        <v>282.16750121151176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101.09054997278639</v>
      </c>
      <c r="AV81" s="21">
        <f>EXP(-LN(2)/25)*AV80+(1-EXP(-LN(2)/25))/(LN(2)/25)*Calculateur!AQ81*Calculateur!AS81*VLOOKUP('Données projet'!$B$10,Paramètres!$A$1:$I$89,3,0)*0.475*44/12</f>
        <v>29.664556491139329</v>
      </c>
      <c r="AW81" s="21">
        <f>EXP(-LN(2)/2)*AW80+(1-EXP(-LN(2)/2))/(LN(2)/2)*AQ81*AT81*VLOOKUP('Données projet'!$B$10,Paramètres!$A$1:$I$89,3,0)*0.475*44/12</f>
        <v>8.4219527099070532E-2</v>
      </c>
      <c r="AX81" s="21">
        <f t="shared" si="60"/>
        <v>130.83932599102479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2.2737367544323206E-13</v>
      </c>
      <c r="BE81" s="13">
        <f>BD81*VLOOKUP('Données projet'!$B$11,Paramètres!$A$1:$I$89,3,0)*VLOOKUP('Données projet'!$B$11,Paramètres!$A$1:$I$89,5,0)</f>
        <v>1.064108801074326E-13</v>
      </c>
      <c r="BF81" s="13">
        <f t="shared" si="91"/>
        <v>1.5870730813698654E-12</v>
      </c>
      <c r="BG81" s="20">
        <f t="shared" si="61"/>
        <v>2.9494845662396269E-12</v>
      </c>
      <c r="BH81" s="59">
        <f t="shared" si="62"/>
        <v>293.33333333333627</v>
      </c>
      <c r="BI81" s="59">
        <f ca="1">AVERAGE(OFFSET($BH$3,0,0,'Données projet'!$E$11+1,1))-AVERAGE(OFFSET($H$3,0,0,'Données projet'!$E$11+1,1))</f>
        <v>227.19831549982962</v>
      </c>
      <c r="BJ81" s="59">
        <f t="shared" si="92"/>
        <v>309.84543033784564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130.6263049639285</v>
      </c>
      <c r="BQ81" s="21">
        <f>EXP(-LN(2)/25)*BQ80+(1-EXP(-LN(2)/25))/(LN(2)/25)*Calculateur!BL81*Calculateur!BN81*VLOOKUP('Données projet'!$B$11,Paramètres!$A$1:$I$89,3,0)*0.475*44/12</f>
        <v>40.447477746413924</v>
      </c>
      <c r="BR81" s="21">
        <f>EXP(-LN(2)/2)*BR80+(1-EXP(-LN(2)/2))/(LN(2)/2)*BL81*BO81*VLOOKUP('Données projet'!$B$11,Paramètres!$A$1:$I$89,3,0)*0.475*44/12</f>
        <v>0.23604928260095281</v>
      </c>
      <c r="BS81" s="22">
        <f t="shared" si="63"/>
        <v>171.30983199294337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2.6923076923076961</v>
      </c>
      <c r="BY81" s="12">
        <f>IF('Données projet'!$A$114&gt;35,BY80+BX81-CG80,IF(A81&lt;'Données projet'!$A$114,$BV$205^A81,IF(A81='Données projet'!$A$114,'Données projet'!$B$114,BY80+BX81-CG80)))</f>
        <v>151.02564102564116</v>
      </c>
      <c r="BZ81" s="13">
        <f>BY81*VLOOKUP('Données projet'!$B$12,Paramètres!$A$1:$I$89,3,0)*VLOOKUP('Données projet'!$B$12,Paramètres!$A$1:$I$89,5,0)</f>
        <v>98.952000000000083</v>
      </c>
      <c r="CA81" s="13">
        <f t="shared" si="93"/>
        <v>26.712173119037399</v>
      </c>
      <c r="CB81" s="20">
        <f t="shared" si="64"/>
        <v>218.86510151565696</v>
      </c>
      <c r="CC81" s="59">
        <f t="shared" si="65"/>
        <v>512.19843484899025</v>
      </c>
      <c r="CD81" s="59">
        <f ca="1">AVERAGE(OFFSET($CC$3,0,0,'Données projet'!$E$12+1,1))-AVERAGE(OFFSET($H$3,0,0,'Données projet'!$E$12+1,1))</f>
        <v>91.274378490051788</v>
      </c>
      <c r="CE81" s="59">
        <f t="shared" si="94"/>
        <v>126.60105012427914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3.9243945654338357</v>
      </c>
      <c r="CL81" s="21">
        <f>EXP(-LN(2)/25)*CL80+(1-EXP(-LN(2)/25))/(LN(2)/25)*Calculateur!CG81*Calculateur!CI81*VLOOKUP('Données projet'!$B$12,Paramètres!$A$1:$I$89,3,0)*0.475*44/12</f>
        <v>6.083440061186244</v>
      </c>
      <c r="CM81" s="21">
        <f>EXP(-LN(2)/2)*CM80+(1-EXP(-LN(2)/2))/(LN(2)/2)*CG81*CJ81*VLOOKUP('Données projet'!$B$12,Paramètres!$A$1:$I$89,3,0)*0.475*44/12</f>
        <v>0.7752385864694944</v>
      </c>
      <c r="CN81" s="22">
        <f t="shared" si="66"/>
        <v>10.783073213089574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1.9065282685915009E-13</v>
      </c>
      <c r="P82" s="13">
        <f t="shared" si="87"/>
        <v>2.6568987209435707E-12</v>
      </c>
      <c r="Q82" s="20">
        <f t="shared" si="54"/>
        <v>4.959485612423072E-12</v>
      </c>
      <c r="R82" s="59">
        <f t="shared" si="55"/>
        <v>293.33333333333826</v>
      </c>
      <c r="S82" s="59">
        <f ca="1">AVERAGE(OFFSET($R$3,0,0,'Données projet'!$E$9+1,1))-AVERAGE(OFFSET($H$3,0,0,'Données projet'!$E$9+1,1))</f>
        <v>350.09239406910712</v>
      </c>
      <c r="T82" s="59">
        <f t="shared" si="88"/>
        <v>473.30663081727369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150.3892769882639</v>
      </c>
      <c r="AA82" s="21">
        <f>EXP(-LN(2)/25)*AA81+(1-EXP(-LN(2)/25))/(LN(2)/25)*Calculateur!V82*Calculateur!X82*VLOOKUP('Données projet'!$B$9,Paramètres!$A$1:$I$89,3,0)*0.475*44/12</f>
        <v>42.500362429276969</v>
      </c>
      <c r="AB82" s="21">
        <f>EXP(-LN(2)/2)*AB81+(1-EXP(-LN(2)/2))/(LN(2)/2)*V82*Y82*VLOOKUP('Données projet'!$B$9,Paramètres!$A$1:$I$89,3,0)*0.475*44/12</f>
        <v>1.5797365084431421E-2</v>
      </c>
      <c r="AC82" s="22">
        <f t="shared" si="57"/>
        <v>192.90543678262532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179.4725256147085</v>
      </c>
      <c r="AO82" s="59">
        <f t="shared" si="90"/>
        <v>282.16750121151176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99.108225946967195</v>
      </c>
      <c r="AV82" s="21">
        <f>EXP(-LN(2)/25)*AV81+(1-EXP(-LN(2)/25))/(LN(2)/25)*Calculateur!AQ82*Calculateur!AS82*VLOOKUP('Données projet'!$B$10,Paramètres!$A$1:$I$89,3,0)*0.475*44/12</f>
        <v>28.8533776338979</v>
      </c>
      <c r="AW82" s="21">
        <f>EXP(-LN(2)/2)*AW81+(1-EXP(-LN(2)/2))/(LN(2)/2)*AQ82*AT82*VLOOKUP('Données projet'!$B$10,Paramètres!$A$1:$I$89,3,0)*0.475*44/12</f>
        <v>5.9552198720076978E-2</v>
      </c>
      <c r="AX82" s="21">
        <f t="shared" si="60"/>
        <v>128.02115577958517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2.2737367544323206E-13</v>
      </c>
      <c r="BE82" s="13">
        <f>BD82*VLOOKUP('Données projet'!$B$11,Paramètres!$A$1:$I$89,3,0)*VLOOKUP('Données projet'!$B$11,Paramètres!$A$1:$I$89,5,0)</f>
        <v>1.064108801074326E-13</v>
      </c>
      <c r="BF82" s="13">
        <f t="shared" si="91"/>
        <v>1.5870730813698654E-12</v>
      </c>
      <c r="BG82" s="20">
        <f t="shared" si="61"/>
        <v>2.9494845662396269E-12</v>
      </c>
      <c r="BH82" s="59">
        <f t="shared" si="62"/>
        <v>293.33333333333627</v>
      </c>
      <c r="BI82" s="59">
        <f ca="1">AVERAGE(OFFSET($BH$3,0,0,'Données projet'!$E$11+1,1))-AVERAGE(OFFSET($H$3,0,0,'Données projet'!$E$11+1,1))</f>
        <v>227.19831549982962</v>
      </c>
      <c r="BJ82" s="59">
        <f t="shared" si="92"/>
        <v>309.84543033784564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128.06480279776471</v>
      </c>
      <c r="BQ82" s="21">
        <f>EXP(-LN(2)/25)*BQ81+(1-EXP(-LN(2)/25))/(LN(2)/25)*Calculateur!BL82*Calculateur!BN82*VLOOKUP('Données projet'!$B$11,Paramètres!$A$1:$I$89,3,0)*0.475*44/12</f>
        <v>39.341439340397827</v>
      </c>
      <c r="BR82" s="21">
        <f>EXP(-LN(2)/2)*BR81+(1-EXP(-LN(2)/2))/(LN(2)/2)*BL82*BO82*VLOOKUP('Données projet'!$B$11,Paramètres!$A$1:$I$89,3,0)*0.475*44/12</f>
        <v>0.16691204842135346</v>
      </c>
      <c r="BS82" s="22">
        <f t="shared" si="63"/>
        <v>167.57315418658391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2.6923076923076961</v>
      </c>
      <c r="BY82" s="12">
        <f>IF('Données projet'!$A$114&gt;35,BY81+BX82-CG81,IF(A82&lt;'Données projet'!$A$114,$BV$205^A82,IF(A82='Données projet'!$A$114,'Données projet'!$B$114,BY81+BX82-CG81)))</f>
        <v>153.71794871794887</v>
      </c>
      <c r="BZ82" s="13">
        <f>BY82*VLOOKUP('Données projet'!$B$12,Paramètres!$A$1:$I$89,3,0)*VLOOKUP('Données projet'!$B$12,Paramètres!$A$1:$I$89,5,0)</f>
        <v>100.71600000000009</v>
      </c>
      <c r="CA82" s="13">
        <f t="shared" si="93"/>
        <v>27.132503782097519</v>
      </c>
      <c r="CB82" s="20">
        <f t="shared" si="64"/>
        <v>222.66947742048669</v>
      </c>
      <c r="CC82" s="59">
        <f t="shared" si="65"/>
        <v>516.00281075381997</v>
      </c>
      <c r="CD82" s="59">
        <f ca="1">AVERAGE(OFFSET($CC$3,0,0,'Données projet'!$E$12+1,1))-AVERAGE(OFFSET($H$3,0,0,'Données projet'!$E$12+1,1))</f>
        <v>91.274378490051788</v>
      </c>
      <c r="CE82" s="59">
        <f t="shared" si="94"/>
        <v>126.60105012427914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3.8474395816500104</v>
      </c>
      <c r="CL82" s="21">
        <f>EXP(-LN(2)/25)*CL81+(1-EXP(-LN(2)/25))/(LN(2)/25)*Calculateur!CG82*Calculateur!CI82*VLOOKUP('Données projet'!$B$12,Paramètres!$A$1:$I$89,3,0)*0.475*44/12</f>
        <v>5.9170880727988973</v>
      </c>
      <c r="CM82" s="21">
        <f>EXP(-LN(2)/2)*CM81+(1-EXP(-LN(2)/2))/(LN(2)/2)*CG82*CJ82*VLOOKUP('Données projet'!$B$12,Paramètres!$A$1:$I$89,3,0)*0.475*44/12</f>
        <v>0.54817646153005317</v>
      </c>
      <c r="CN82" s="22">
        <f t="shared" si="66"/>
        <v>10.312704115978962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1.9065282685915009E-13</v>
      </c>
      <c r="P83" s="13">
        <f t="shared" si="87"/>
        <v>2.6568987209435707E-12</v>
      </c>
      <c r="Q83" s="20">
        <f t="shared" si="54"/>
        <v>4.959485612423072E-12</v>
      </c>
      <c r="R83" s="59">
        <f t="shared" si="55"/>
        <v>293.33333333333826</v>
      </c>
      <c r="S83" s="59">
        <f ca="1">AVERAGE(OFFSET($R$3,0,0,'Données projet'!$E$9+1,1))-AVERAGE(OFFSET($H$3,0,0,'Données projet'!$E$9+1,1))</f>
        <v>350.09239406910712</v>
      </c>
      <c r="T83" s="59">
        <f t="shared" si="88"/>
        <v>473.30663081727369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147.44023499492559</v>
      </c>
      <c r="AA83" s="21">
        <f>EXP(-LN(2)/25)*AA82+(1-EXP(-LN(2)/25))/(LN(2)/25)*Calculateur!V83*Calculateur!X83*VLOOKUP('Données projet'!$B$9,Paramètres!$A$1:$I$89,3,0)*0.475*44/12</f>
        <v>41.338187783651463</v>
      </c>
      <c r="AB83" s="21">
        <f>EXP(-LN(2)/2)*AB82+(1-EXP(-LN(2)/2))/(LN(2)/2)*V83*Y83*VLOOKUP('Données projet'!$B$9,Paramètres!$A$1:$I$89,3,0)*0.475*44/12</f>
        <v>1.1170423976081055E-2</v>
      </c>
      <c r="AC83" s="22">
        <f t="shared" si="57"/>
        <v>188.78959320255314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179.4725256147085</v>
      </c>
      <c r="AO83" s="59">
        <f t="shared" si="90"/>
        <v>282.16750121151176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97.164774086196047</v>
      </c>
      <c r="AV83" s="21">
        <f>EXP(-LN(2)/25)*AV82+(1-EXP(-LN(2)/25))/(LN(2)/25)*Calculateur!AQ83*Calculateur!AS83*VLOOKUP('Données projet'!$B$10,Paramètres!$A$1:$I$89,3,0)*0.475*44/12</f>
        <v>28.064380505165776</v>
      </c>
      <c r="AW83" s="21">
        <f>EXP(-LN(2)/2)*AW82+(1-EXP(-LN(2)/2))/(LN(2)/2)*AQ83*AT83*VLOOKUP('Données projet'!$B$10,Paramètres!$A$1:$I$89,3,0)*0.475*44/12</f>
        <v>4.2109763549535273E-2</v>
      </c>
      <c r="AX83" s="21">
        <f t="shared" si="60"/>
        <v>125.27126435491135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2.2737367544323206E-13</v>
      </c>
      <c r="BE83" s="13">
        <f>BD83*VLOOKUP('Données projet'!$B$11,Paramètres!$A$1:$I$89,3,0)*VLOOKUP('Données projet'!$B$11,Paramètres!$A$1:$I$89,5,0)</f>
        <v>1.064108801074326E-13</v>
      </c>
      <c r="BF83" s="13">
        <f t="shared" si="91"/>
        <v>1.5870730813698654E-12</v>
      </c>
      <c r="BG83" s="20">
        <f t="shared" si="61"/>
        <v>2.9494845662396269E-12</v>
      </c>
      <c r="BH83" s="59">
        <f t="shared" si="62"/>
        <v>293.33333333333627</v>
      </c>
      <c r="BI83" s="59">
        <f ca="1">AVERAGE(OFFSET($BH$3,0,0,'Données projet'!$E$11+1,1))-AVERAGE(OFFSET($H$3,0,0,'Données projet'!$E$11+1,1))</f>
        <v>227.19831549982962</v>
      </c>
      <c r="BJ83" s="59">
        <f t="shared" si="92"/>
        <v>309.84543033784564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125.55353012671735</v>
      </c>
      <c r="BQ83" s="21">
        <f>EXP(-LN(2)/25)*BQ82+(1-EXP(-LN(2)/25))/(LN(2)/25)*Calculateur!BL83*Calculateur!BN83*VLOOKUP('Données projet'!$B$11,Paramètres!$A$1:$I$89,3,0)*0.475*44/12</f>
        <v>38.26564561275827</v>
      </c>
      <c r="BR83" s="21">
        <f>EXP(-LN(2)/2)*BR82+(1-EXP(-LN(2)/2))/(LN(2)/2)*BL83*BO83*VLOOKUP('Données projet'!$B$11,Paramètres!$A$1:$I$89,3,0)*0.475*44/12</f>
        <v>0.11802464130047641</v>
      </c>
      <c r="BS83" s="22">
        <f t="shared" si="63"/>
        <v>163.93720038077609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156.41025641025641</v>
      </c>
      <c r="BW83" s="12">
        <f>VLOOKUP(A83,'Données projet'!$A$113:$I$133,9,0)</f>
        <v>2.6923076923076961</v>
      </c>
      <c r="BX83" s="12">
        <f t="array" ref="BX83">INDEX(BW:BW,MIN(IF(ISNUMBER(BW83:BW279),ROW(BW83:BW279),"")))</f>
        <v>2.6923076923076961</v>
      </c>
      <c r="BY83" s="12">
        <f>IF('Données projet'!$A$114&gt;35,BY82+BX83-CG82,IF(A83&lt;'Données projet'!$A$114,$BV$205^A83,IF(A83='Données projet'!$A$114,'Données projet'!$B$114,BY82+BX83-CG82)))</f>
        <v>156.41025641025658</v>
      </c>
      <c r="BZ83" s="13">
        <f>BY83*VLOOKUP('Données projet'!$B$12,Paramètres!$A$1:$I$89,3,0)*VLOOKUP('Données projet'!$B$12,Paramètres!$A$1:$I$89,5,0)</f>
        <v>102.48000000000012</v>
      </c>
      <c r="CA83" s="13">
        <f t="shared" si="93"/>
        <v>27.551978344132674</v>
      </c>
      <c r="CB83" s="20">
        <f t="shared" si="64"/>
        <v>226.47236228269796</v>
      </c>
      <c r="CC83" s="59">
        <f t="shared" si="65"/>
        <v>519.80569561603124</v>
      </c>
      <c r="CD83" s="59">
        <f ca="1">AVERAGE(OFFSET($CC$3,0,0,'Données projet'!$E$12+1,1))-AVERAGE(OFFSET($H$3,0,0,'Données projet'!$E$12+1,1))</f>
        <v>91.274378490051788</v>
      </c>
      <c r="CE83" s="59">
        <f t="shared" si="94"/>
        <v>126.60105012427914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10.256410256410255</v>
      </c>
      <c r="CH83" s="16">
        <f>IF(ISNA(VLOOKUP(A83,'Données projet'!$A$113:$I$133,5,0)),0%,VLOOKUP(A83,'Données projet'!$A$113:$I$133,5,0)*VLOOKUP('Données projet'!$B$12,Paramètres!$A$1:$I$89,7,0))</f>
        <v>0.1075</v>
      </c>
      <c r="CI83" s="16">
        <f>IF(ISNA(VLOOKUP(A83,'Données projet'!$A$113:$I$133,6,0)),0%,VLOOKUP(A83,'Données projet'!$A$113:$I$133,6,0)*VLOOKUP('Données projet'!$B$12,Paramètres!$A$1:$I$89,7,0))</f>
        <v>0.1075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4.5705854403348836</v>
      </c>
      <c r="CL83" s="21">
        <f>EXP(-LN(2)/25)*CL82+(1-EXP(-LN(2)/25))/(LN(2)/25)*Calculateur!CG83*Calculateur!CI83*VLOOKUP('Données projet'!$B$12,Paramètres!$A$1:$I$89,3,0)*0.475*44/12</f>
        <v>6.5507324302441834</v>
      </c>
      <c r="CM83" s="21">
        <f>EXP(-LN(2)/2)*CM82+(1-EXP(-LN(2)/2))/(LN(2)/2)*CG83*CJ83*VLOOKUP('Données projet'!$B$12,Paramètres!$A$1:$I$89,3,0)*0.475*44/12</f>
        <v>1.972744509771799</v>
      </c>
      <c r="CN83" s="22">
        <f t="shared" si="66"/>
        <v>13.094062380350865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350.09239406910712</v>
      </c>
      <c r="T84" s="59">
        <f t="shared" si="88"/>
        <v>473.30663081727369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144.54902191633863</v>
      </c>
      <c r="AA84" s="21">
        <f>EXP(-LN(2)/25)*AA83+(1-EXP(-LN(2)/25))/(LN(2)/25)*Calculateur!V84*Calculateur!X84*VLOOKUP('Données projet'!$B$9,Paramètres!$A$1:$I$89,3,0)*0.475*44/12</f>
        <v>40.2077928648267</v>
      </c>
      <c r="AB84" s="21">
        <f>EXP(-LN(2)/2)*AB83+(1-EXP(-LN(2)/2))/(LN(2)/2)*V84*Y84*VLOOKUP('Données projet'!$B$9,Paramètres!$A$1:$I$89,3,0)*0.475*44/12</f>
        <v>7.8986825422157105E-3</v>
      </c>
      <c r="AC84" s="22">
        <f t="shared" si="57"/>
        <v>184.76471346370755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179.4725256147085</v>
      </c>
      <c r="AO84" s="59">
        <f t="shared" si="90"/>
        <v>282.16750121151176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95.259432131026031</v>
      </c>
      <c r="AV84" s="21">
        <f>EXP(-LN(2)/25)*AV83+(1-EXP(-LN(2)/25))/(LN(2)/25)*Calculateur!AQ84*Calculateur!AS84*VLOOKUP('Données projet'!$B$10,Paramètres!$A$1:$I$89,3,0)*0.475*44/12</f>
        <v>27.296958544410391</v>
      </c>
      <c r="AW84" s="21">
        <f>EXP(-LN(2)/2)*AW83+(1-EXP(-LN(2)/2))/(LN(2)/2)*AQ84*AT84*VLOOKUP('Données projet'!$B$10,Paramètres!$A$1:$I$89,3,0)*0.475*44/12</f>
        <v>2.9776099360038496E-2</v>
      </c>
      <c r="AX84" s="21">
        <f t="shared" si="60"/>
        <v>122.58616677479645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1.064108801074326E-13</v>
      </c>
      <c r="BF84" s="13">
        <f t="shared" si="91"/>
        <v>1.5870730813698654E-12</v>
      </c>
      <c r="BG84" s="20">
        <f t="shared" si="61"/>
        <v>2.9494845662396269E-12</v>
      </c>
      <c r="BH84" s="59">
        <f t="shared" si="62"/>
        <v>293.33333333333627</v>
      </c>
      <c r="BI84" s="59">
        <f ca="1">AVERAGE(OFFSET($BH$3,0,0,'Données projet'!$E$11+1,1))-AVERAGE(OFFSET($H$3,0,0,'Données projet'!$E$11+1,1))</f>
        <v>227.19831549982962</v>
      </c>
      <c r="BJ84" s="59">
        <f t="shared" si="92"/>
        <v>309.84543033784564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123.09150198102414</v>
      </c>
      <c r="BQ84" s="21">
        <f>EXP(-LN(2)/25)*BQ83+(1-EXP(-LN(2)/25))/(LN(2)/25)*Calculateur!BL84*Calculateur!BN84*VLOOKUP('Données projet'!$B$11,Paramètres!$A$1:$I$89,3,0)*0.475*44/12</f>
        <v>37.219269521174553</v>
      </c>
      <c r="BR84" s="21">
        <f>EXP(-LN(2)/2)*BR83+(1-EXP(-LN(2)/2))/(LN(2)/2)*BL84*BO84*VLOOKUP('Données projet'!$B$11,Paramètres!$A$1:$I$89,3,0)*0.475*44/12</f>
        <v>8.345602421067673E-2</v>
      </c>
      <c r="BS84" s="22">
        <f t="shared" si="63"/>
        <v>160.39422752640937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2.4358974358974308</v>
      </c>
      <c r="BY84" s="12">
        <f>IF('Données projet'!$A$114&gt;35,BY83+BX84-CG83,IF(A84&lt;'Données projet'!$A$114,$BV$205^A84,IF(A84='Données projet'!$A$114,'Données projet'!$B$114,BY83+BX84-CG83)))</f>
        <v>148.58974358974376</v>
      </c>
      <c r="BZ84" s="13">
        <f>BY84*VLOOKUP('Données projet'!$B$12,Paramètres!$A$1:$I$89,3,0)*VLOOKUP('Données projet'!$B$12,Paramètres!$A$1:$I$89,5,0)</f>
        <v>97.356000000000108</v>
      </c>
      <c r="CA84" s="13">
        <f t="shared" si="93"/>
        <v>26.331122045685671</v>
      </c>
      <c r="CB84" s="20">
        <f t="shared" si="64"/>
        <v>215.42173756290273</v>
      </c>
      <c r="CC84" s="59">
        <f t="shared" si="65"/>
        <v>508.75507089623602</v>
      </c>
      <c r="CD84" s="59">
        <f ca="1">AVERAGE(OFFSET($CC$3,0,0,'Données projet'!$E$12+1,1))-AVERAGE(OFFSET($H$3,0,0,'Données projet'!$E$12+1,1))</f>
        <v>91.274378490051788</v>
      </c>
      <c r="CE84" s="59">
        <f t="shared" si="94"/>
        <v>126.60105012427914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4.4809590476317647</v>
      </c>
      <c r="CL84" s="21">
        <f>EXP(-LN(2)/25)*CL83+(1-EXP(-LN(2)/25))/(LN(2)/25)*Calculateur!CG84*Calculateur!CI84*VLOOKUP('Données projet'!$B$12,Paramètres!$A$1:$I$89,3,0)*0.475*44/12</f>
        <v>6.3716023074511092</v>
      </c>
      <c r="CM84" s="21">
        <f>EXP(-LN(2)/2)*CM83+(1-EXP(-LN(2)/2))/(LN(2)/2)*CG84*CJ84*VLOOKUP('Données projet'!$B$12,Paramètres!$A$1:$I$89,3,0)*0.475*44/12</f>
        <v>1.3949410204081705</v>
      </c>
      <c r="CN84" s="22">
        <f t="shared" si="66"/>
        <v>12.247502375491043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350.09239406910712</v>
      </c>
      <c r="T85" s="59">
        <f t="shared" si="88"/>
        <v>473.30663081727369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141.71450376275692</v>
      </c>
      <c r="AA85" s="21">
        <f>EXP(-LN(2)/25)*AA84+(1-EXP(-LN(2)/25))/(LN(2)/25)*Calculateur!V85*Calculateur!X85*VLOOKUP('Données projet'!$B$9,Paramètres!$A$1:$I$89,3,0)*0.475*44/12</f>
        <v>39.108308654502082</v>
      </c>
      <c r="AB85" s="21">
        <f>EXP(-LN(2)/2)*AB84+(1-EXP(-LN(2)/2))/(LN(2)/2)*V85*Y85*VLOOKUP('Données projet'!$B$9,Paramètres!$A$1:$I$89,3,0)*0.475*44/12</f>
        <v>5.5852119880405275E-3</v>
      </c>
      <c r="AC85" s="22">
        <f t="shared" si="57"/>
        <v>180.82839762924704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179.4725256147085</v>
      </c>
      <c r="AO85" s="59">
        <f t="shared" si="90"/>
        <v>282.16750121151176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93.391452769453068</v>
      </c>
      <c r="AV85" s="21">
        <f>EXP(-LN(2)/25)*AV84+(1-EXP(-LN(2)/25))/(LN(2)/25)*Calculateur!AQ85*Calculateur!AS85*VLOOKUP('Données projet'!$B$10,Paramètres!$A$1:$I$89,3,0)*0.475*44/12</f>
        <v>26.550521777528825</v>
      </c>
      <c r="AW85" s="21">
        <f>EXP(-LN(2)/2)*AW84+(1-EXP(-LN(2)/2))/(LN(2)/2)*AQ85*AT85*VLOOKUP('Données projet'!$B$10,Paramètres!$A$1:$I$89,3,0)*0.475*44/12</f>
        <v>2.105488177476764E-2</v>
      </c>
      <c r="AX85" s="21">
        <f t="shared" si="60"/>
        <v>119.96302942875667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1.064108801074326E-13</v>
      </c>
      <c r="BF85" s="13">
        <f t="shared" si="91"/>
        <v>1.5870730813698654E-12</v>
      </c>
      <c r="BG85" s="20">
        <f t="shared" si="61"/>
        <v>2.9494845662396269E-12</v>
      </c>
      <c r="BH85" s="59">
        <f t="shared" si="62"/>
        <v>293.33333333333627</v>
      </c>
      <c r="BI85" s="59">
        <f ca="1">AVERAGE(OFFSET($BH$3,0,0,'Données projet'!$E$11+1,1))-AVERAGE(OFFSET($H$3,0,0,'Données projet'!$E$11+1,1))</f>
        <v>227.19831549982962</v>
      </c>
      <c r="BJ85" s="59">
        <f t="shared" si="92"/>
        <v>309.84543033784564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120.67775270557908</v>
      </c>
      <c r="BQ85" s="21">
        <f>EXP(-LN(2)/25)*BQ84+(1-EXP(-LN(2)/25))/(LN(2)/25)*Calculateur!BL85*Calculateur!BN85*VLOOKUP('Données projet'!$B$11,Paramètres!$A$1:$I$89,3,0)*0.475*44/12</f>
        <v>36.201506638841714</v>
      </c>
      <c r="BR85" s="21">
        <f>EXP(-LN(2)/2)*BR84+(1-EXP(-LN(2)/2))/(LN(2)/2)*BL85*BO85*VLOOKUP('Données projet'!$B$11,Paramètres!$A$1:$I$89,3,0)*0.475*44/12</f>
        <v>5.9012320650238204E-2</v>
      </c>
      <c r="BS85" s="22">
        <f t="shared" si="63"/>
        <v>156.93827166507103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2.4358974358974308</v>
      </c>
      <c r="BY85" s="12">
        <f>IF('Données projet'!$A$114&gt;35,BY84+BX85-CG84,IF(A85&lt;'Données projet'!$A$114,$BV$205^A85,IF(A85='Données projet'!$A$114,'Données projet'!$B$114,BY84+BX85-CG84)))</f>
        <v>151.02564102564119</v>
      </c>
      <c r="BZ85" s="13">
        <f>BY85*VLOOKUP('Données projet'!$B$12,Paramètres!$A$1:$I$89,3,0)*VLOOKUP('Données projet'!$B$12,Paramètres!$A$1:$I$89,5,0)</f>
        <v>98.952000000000112</v>
      </c>
      <c r="CA85" s="13">
        <f t="shared" si="93"/>
        <v>26.712173119037399</v>
      </c>
      <c r="CB85" s="20">
        <f t="shared" si="64"/>
        <v>218.86510151565699</v>
      </c>
      <c r="CC85" s="59">
        <f t="shared" si="65"/>
        <v>512.19843484899025</v>
      </c>
      <c r="CD85" s="59">
        <f ca="1">AVERAGE(OFFSET($CC$3,0,0,'Données projet'!$E$12+1,1))-AVERAGE(OFFSET($H$3,0,0,'Données projet'!$E$12+1,1))</f>
        <v>91.274378490051788</v>
      </c>
      <c r="CE85" s="59">
        <f t="shared" si="94"/>
        <v>126.60105012427914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4.3930901738228521</v>
      </c>
      <c r="CL85" s="21">
        <f>EXP(-LN(2)/25)*CL84+(1-EXP(-LN(2)/25))/(LN(2)/25)*Calculateur!CG85*Calculateur!CI85*VLOOKUP('Données projet'!$B$12,Paramètres!$A$1:$I$89,3,0)*0.475*44/12</f>
        <v>6.1973705072858554</v>
      </c>
      <c r="CM85" s="21">
        <f>EXP(-LN(2)/2)*CM84+(1-EXP(-LN(2)/2))/(LN(2)/2)*CG85*CJ85*VLOOKUP('Données projet'!$B$12,Paramètres!$A$1:$I$89,3,0)*0.475*44/12</f>
        <v>0.98637225488589964</v>
      </c>
      <c r="CN85" s="22">
        <f t="shared" si="66"/>
        <v>11.576832935994608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350.09239406910712</v>
      </c>
      <c r="T86" s="59">
        <f t="shared" si="88"/>
        <v>473.30663081727369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138.93556878128157</v>
      </c>
      <c r="AA86" s="21">
        <f>EXP(-LN(2)/25)*AA85+(1-EXP(-LN(2)/25))/(LN(2)/25)*Calculateur!V86*Calculateur!X86*VLOOKUP('Données projet'!$B$9,Paramètres!$A$1:$I$89,3,0)*0.475*44/12</f>
        <v>38.038889897728154</v>
      </c>
      <c r="AB86" s="21">
        <f>EXP(-LN(2)/2)*AB85+(1-EXP(-LN(2)/2))/(LN(2)/2)*V86*Y86*VLOOKUP('Données projet'!$B$9,Paramètres!$A$1:$I$89,3,0)*0.475*44/12</f>
        <v>3.9493412711078552E-3</v>
      </c>
      <c r="AC86" s="22">
        <f t="shared" si="57"/>
        <v>176.97840802028082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179.4725256147085</v>
      </c>
      <c r="AO86" s="59">
        <f t="shared" si="90"/>
        <v>282.16750121151176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91.560103343805636</v>
      </c>
      <c r="AV86" s="21">
        <f>EXP(-LN(2)/25)*AV85+(1-EXP(-LN(2)/25))/(LN(2)/25)*Calculateur!AQ86*Calculateur!AS86*VLOOKUP('Données projet'!$B$10,Paramètres!$A$1:$I$89,3,0)*0.475*44/12</f>
        <v>25.82449636329104</v>
      </c>
      <c r="AW86" s="21">
        <f>EXP(-LN(2)/2)*AW85+(1-EXP(-LN(2)/2))/(LN(2)/2)*AQ86*AT86*VLOOKUP('Données projet'!$B$10,Paramètres!$A$1:$I$89,3,0)*0.475*44/12</f>
        <v>1.488804968001925E-2</v>
      </c>
      <c r="AX86" s="21">
        <f t="shared" si="60"/>
        <v>117.39948775677669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1.064108801074326E-13</v>
      </c>
      <c r="BF86" s="13">
        <f t="shared" si="91"/>
        <v>1.5870730813698654E-12</v>
      </c>
      <c r="BG86" s="20">
        <f t="shared" si="61"/>
        <v>2.9494845662396269E-12</v>
      </c>
      <c r="BH86" s="59">
        <f t="shared" si="62"/>
        <v>293.33333333333627</v>
      </c>
      <c r="BI86" s="59">
        <f ca="1">AVERAGE(OFFSET($BH$3,0,0,'Données projet'!$E$11+1,1))-AVERAGE(OFFSET($H$3,0,0,'Données projet'!$E$11+1,1))</f>
        <v>227.19831549982962</v>
      </c>
      <c r="BJ86" s="59">
        <f t="shared" si="92"/>
        <v>309.84543033784564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118.31133558118383</v>
      </c>
      <c r="BQ86" s="21">
        <f>EXP(-LN(2)/25)*BQ85+(1-EXP(-LN(2)/25))/(LN(2)/25)*Calculateur!BL86*Calculateur!BN86*VLOOKUP('Données projet'!$B$11,Paramètres!$A$1:$I$89,3,0)*0.475*44/12</f>
        <v>35.21157453604809</v>
      </c>
      <c r="BR86" s="21">
        <f>EXP(-LN(2)/2)*BR85+(1-EXP(-LN(2)/2))/(LN(2)/2)*BL86*BO86*VLOOKUP('Données projet'!$B$11,Paramètres!$A$1:$I$89,3,0)*0.475*44/12</f>
        <v>4.1728012105338365E-2</v>
      </c>
      <c r="BS86" s="22">
        <f t="shared" si="63"/>
        <v>153.56463812933725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2.4358974358974308</v>
      </c>
      <c r="BY86" s="12">
        <f>IF('Données projet'!$A$114&gt;35,BY85+BX86-CG85,IF(A86&lt;'Données projet'!$A$114,$BV$205^A86,IF(A86='Données projet'!$A$114,'Données projet'!$B$114,BY85+BX86-CG85)))</f>
        <v>153.46153846153862</v>
      </c>
      <c r="BZ86" s="13">
        <f>BY86*VLOOKUP('Données projet'!$B$12,Paramètres!$A$1:$I$89,3,0)*VLOOKUP('Données projet'!$B$12,Paramètres!$A$1:$I$89,5,0)</f>
        <v>100.5480000000001</v>
      </c>
      <c r="CA86" s="13">
        <f t="shared" si="93"/>
        <v>27.092509438089852</v>
      </c>
      <c r="CB86" s="20">
        <f t="shared" si="64"/>
        <v>222.30722060467335</v>
      </c>
      <c r="CC86" s="59">
        <f t="shared" si="65"/>
        <v>515.64055393800663</v>
      </c>
      <c r="CD86" s="59">
        <f ca="1">AVERAGE(OFFSET($CC$3,0,0,'Données projet'!$E$12+1,1))-AVERAGE(OFFSET($H$3,0,0,'Données projet'!$E$12+1,1))</f>
        <v>91.274378490051788</v>
      </c>
      <c r="CE86" s="59">
        <f t="shared" si="94"/>
        <v>126.60105012427914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4.3069443550346111</v>
      </c>
      <c r="CL86" s="21">
        <f>EXP(-LN(2)/25)*CL85+(1-EXP(-LN(2)/25))/(LN(2)/25)*Calculateur!CG86*Calculateur!CI86*VLOOKUP('Données projet'!$B$12,Paramètres!$A$1:$I$89,3,0)*0.475*44/12</f>
        <v>6.0279030848585728</v>
      </c>
      <c r="CM86" s="21">
        <f>EXP(-LN(2)/2)*CM85+(1-EXP(-LN(2)/2))/(LN(2)/2)*CG86*CJ86*VLOOKUP('Données projet'!$B$12,Paramètres!$A$1:$I$89,3,0)*0.475*44/12</f>
        <v>0.69747051020408535</v>
      </c>
      <c r="CN86" s="22">
        <f t="shared" si="66"/>
        <v>11.032317950097271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350.09239406910712</v>
      </c>
      <c r="T87" s="59">
        <f t="shared" si="88"/>
        <v>473.30663081727369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136.21112701980999</v>
      </c>
      <c r="AA87" s="21">
        <f>EXP(-LN(2)/25)*AA86+(1-EXP(-LN(2)/25))/(LN(2)/25)*Calculateur!V87*Calculateur!X87*VLOOKUP('Données projet'!$B$9,Paramètres!$A$1:$I$89,3,0)*0.475*44/12</f>
        <v>36.998714453096497</v>
      </c>
      <c r="AB87" s="21">
        <f>EXP(-LN(2)/2)*AB86+(1-EXP(-LN(2)/2))/(LN(2)/2)*V87*Y87*VLOOKUP('Données projet'!$B$9,Paramètres!$A$1:$I$89,3,0)*0.475*44/12</f>
        <v>2.7926059940202638E-3</v>
      </c>
      <c r="AC87" s="22">
        <f t="shared" si="57"/>
        <v>173.21263407890049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179.4725256147085</v>
      </c>
      <c r="AO87" s="59">
        <f t="shared" si="90"/>
        <v>282.16750121151176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89.764665563382295</v>
      </c>
      <c r="AV87" s="21">
        <f>EXP(-LN(2)/25)*AV86+(1-EXP(-LN(2)/25))/(LN(2)/25)*Calculateur!AQ87*Calculateur!AS87*VLOOKUP('Données projet'!$B$10,Paramètres!$A$1:$I$89,3,0)*0.475*44/12</f>
        <v>25.118324152185604</v>
      </c>
      <c r="AW87" s="21">
        <f>EXP(-LN(2)/2)*AW86+(1-EXP(-LN(2)/2))/(LN(2)/2)*AQ87*AT87*VLOOKUP('Données projet'!$B$10,Paramètres!$A$1:$I$89,3,0)*0.475*44/12</f>
        <v>1.0527440887383822E-2</v>
      </c>
      <c r="AX87" s="21">
        <f t="shared" si="60"/>
        <v>114.89351715645529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1.064108801074326E-13</v>
      </c>
      <c r="BF87" s="13">
        <f t="shared" si="91"/>
        <v>1.5870730813698654E-12</v>
      </c>
      <c r="BG87" s="20">
        <f t="shared" si="61"/>
        <v>2.9494845662396269E-12</v>
      </c>
      <c r="BH87" s="59">
        <f t="shared" si="62"/>
        <v>293.33333333333627</v>
      </c>
      <c r="BI87" s="59">
        <f ca="1">AVERAGE(OFFSET($BH$3,0,0,'Données projet'!$E$11+1,1))-AVERAGE(OFFSET($H$3,0,0,'Données projet'!$E$11+1,1))</f>
        <v>227.19831549982962</v>
      </c>
      <c r="BJ87" s="59">
        <f t="shared" si="92"/>
        <v>309.84543033784564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115.99132245322603</v>
      </c>
      <c r="BQ87" s="21">
        <f>EXP(-LN(2)/25)*BQ86+(1-EXP(-LN(2)/25))/(LN(2)/25)*Calculateur!BL87*Calculateur!BN87*VLOOKUP('Données projet'!$B$11,Paramètres!$A$1:$I$89,3,0)*0.475*44/12</f>
        <v>34.248712178663631</v>
      </c>
      <c r="BR87" s="21">
        <f>EXP(-LN(2)/2)*BR86+(1-EXP(-LN(2)/2))/(LN(2)/2)*BL87*BO87*VLOOKUP('Données projet'!$B$11,Paramètres!$A$1:$I$89,3,0)*0.475*44/12</f>
        <v>2.9506160325119102E-2</v>
      </c>
      <c r="BS87" s="22">
        <f t="shared" si="63"/>
        <v>150.2695407922148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2.4358974358974308</v>
      </c>
      <c r="BY87" s="12">
        <f>IF('Données projet'!$A$114&gt;35,BY86+BX87-CG86,IF(A87&lt;'Données projet'!$A$114,$BV$205^A87,IF(A87='Données projet'!$A$114,'Données projet'!$B$114,BY86+BX87-CG86)))</f>
        <v>155.89743589743605</v>
      </c>
      <c r="BZ87" s="13">
        <f>BY87*VLOOKUP('Données projet'!$B$12,Paramètres!$A$1:$I$89,3,0)*VLOOKUP('Données projet'!$B$12,Paramètres!$A$1:$I$89,5,0)</f>
        <v>102.1440000000001</v>
      </c>
      <c r="CA87" s="13">
        <f t="shared" si="93"/>
        <v>27.472143658119798</v>
      </c>
      <c r="CB87" s="20">
        <f t="shared" si="64"/>
        <v>225.74811687122551</v>
      </c>
      <c r="CC87" s="59">
        <f t="shared" si="65"/>
        <v>519.08145020455879</v>
      </c>
      <c r="CD87" s="59">
        <f ca="1">AVERAGE(OFFSET($CC$3,0,0,'Données projet'!$E$12+1,1))-AVERAGE(OFFSET($H$3,0,0,'Données projet'!$E$12+1,1))</f>
        <v>91.274378490051788</v>
      </c>
      <c r="CE87" s="59">
        <f t="shared" si="94"/>
        <v>126.60105012427914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4.2224878032090469</v>
      </c>
      <c r="CL87" s="21">
        <f>EXP(-LN(2)/25)*CL86+(1-EXP(-LN(2)/25))/(LN(2)/25)*Calculateur!CG87*Calculateur!CI87*VLOOKUP('Données projet'!$B$12,Paramètres!$A$1:$I$89,3,0)*0.475*44/12</f>
        <v>5.8630697580094688</v>
      </c>
      <c r="CM87" s="21">
        <f>EXP(-LN(2)/2)*CM86+(1-EXP(-LN(2)/2))/(LN(2)/2)*CG87*CJ87*VLOOKUP('Données projet'!$B$12,Paramètres!$A$1:$I$89,3,0)*0.475*44/12</f>
        <v>0.49318612744294987</v>
      </c>
      <c r="CN87" s="22">
        <f t="shared" si="66"/>
        <v>10.578743688661465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350.09239406910712</v>
      </c>
      <c r="T88" s="59">
        <f t="shared" si="88"/>
        <v>473.30663081727369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133.54010989953548</v>
      </c>
      <c r="AA88" s="21">
        <f>EXP(-LN(2)/25)*AA87+(1-EXP(-LN(2)/25))/(LN(2)/25)*Calculateur!V88*Calculateur!X88*VLOOKUP('Données projet'!$B$9,Paramètres!$A$1:$I$89,3,0)*0.475*44/12</f>
        <v>35.986982660698743</v>
      </c>
      <c r="AB88" s="21">
        <f>EXP(-LN(2)/2)*AB87+(1-EXP(-LN(2)/2))/(LN(2)/2)*V88*Y88*VLOOKUP('Données projet'!$B$9,Paramètres!$A$1:$I$89,3,0)*0.475*44/12</f>
        <v>1.9746706355539276E-3</v>
      </c>
      <c r="AC88" s="22">
        <f t="shared" si="57"/>
        <v>169.52906723086977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179.4725256147085</v>
      </c>
      <c r="AO88" s="59">
        <f t="shared" si="90"/>
        <v>282.16750121151176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88.00443522272414</v>
      </c>
      <c r="AV88" s="21">
        <f>EXP(-LN(2)/25)*AV87+(1-EXP(-LN(2)/25))/(LN(2)/25)*Calculateur!AQ88*Calculateur!AS88*VLOOKUP('Données projet'!$B$10,Paramètres!$A$1:$I$89,3,0)*0.475*44/12</f>
        <v>24.431462257328832</v>
      </c>
      <c r="AW88" s="21">
        <f>EXP(-LN(2)/2)*AW87+(1-EXP(-LN(2)/2))/(LN(2)/2)*AQ88*AT88*VLOOKUP('Données projet'!$B$10,Paramètres!$A$1:$I$89,3,0)*0.475*44/12</f>
        <v>7.4440248400096266E-3</v>
      </c>
      <c r="AX88" s="21">
        <f t="shared" si="60"/>
        <v>112.44334150489298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1.064108801074326E-13</v>
      </c>
      <c r="BF88" s="13">
        <f t="shared" si="91"/>
        <v>1.5870730813698654E-12</v>
      </c>
      <c r="BG88" s="20">
        <f t="shared" si="61"/>
        <v>2.9494845662396269E-12</v>
      </c>
      <c r="BH88" s="59">
        <f t="shared" si="62"/>
        <v>293.33333333333627</v>
      </c>
      <c r="BI88" s="59">
        <f ca="1">AVERAGE(OFFSET($BH$3,0,0,'Données projet'!$E$11+1,1))-AVERAGE(OFFSET($H$3,0,0,'Données projet'!$E$11+1,1))</f>
        <v>227.19831549982962</v>
      </c>
      <c r="BJ88" s="59">
        <f t="shared" si="92"/>
        <v>309.84543033784564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113.71680336763922</v>
      </c>
      <c r="BQ88" s="21">
        <f>EXP(-LN(2)/25)*BQ87+(1-EXP(-LN(2)/25))/(LN(2)/25)*Calculateur!BL88*Calculateur!BN88*VLOOKUP('Données projet'!$B$11,Paramètres!$A$1:$I$89,3,0)*0.475*44/12</f>
        <v>33.312179343076579</v>
      </c>
      <c r="BR88" s="21">
        <f>EXP(-LN(2)/2)*BR87+(1-EXP(-LN(2)/2))/(LN(2)/2)*BL88*BO88*VLOOKUP('Données projet'!$B$11,Paramètres!$A$1:$I$89,3,0)*0.475*44/12</f>
        <v>2.0864006052669182E-2</v>
      </c>
      <c r="BS88" s="22">
        <f t="shared" si="63"/>
        <v>147.04984671676849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158.33333333333331</v>
      </c>
      <c r="BW88" s="12">
        <f>VLOOKUP(A88,'Données projet'!$A$113:$I$133,9,0)</f>
        <v>2.4358974358974308</v>
      </c>
      <c r="BX88" s="12">
        <f t="array" ref="BX88">INDEX(BW:BW,MIN(IF(ISNUMBER(BW88:BW284),ROW(BW88:BW284),"")))</f>
        <v>2.4358974358974308</v>
      </c>
      <c r="BY88" s="12">
        <f>IF('Données projet'!$A$114&gt;35,BY87+BX88-CG87,IF(A88&lt;'Données projet'!$A$114,$BV$205^A88,IF(A88='Données projet'!$A$114,'Données projet'!$B$114,BY87+BX88-CG87)))</f>
        <v>158.33333333333348</v>
      </c>
      <c r="BZ88" s="13">
        <f>BY88*VLOOKUP('Données projet'!$B$12,Paramètres!$A$1:$I$89,3,0)*VLOOKUP('Données projet'!$B$12,Paramètres!$A$1:$I$89,5,0)</f>
        <v>103.74000000000009</v>
      </c>
      <c r="CA88" s="13">
        <f t="shared" si="93"/>
        <v>27.851088016239402</v>
      </c>
      <c r="CB88" s="20">
        <f t="shared" si="64"/>
        <v>229.18781162828375</v>
      </c>
      <c r="CC88" s="59">
        <f t="shared" si="65"/>
        <v>522.5211449616171</v>
      </c>
      <c r="CD88" s="59">
        <f ca="1">AVERAGE(OFFSET($CC$3,0,0,'Données projet'!$E$12+1,1))-AVERAGE(OFFSET($H$3,0,0,'Données projet'!$E$12+1,1))</f>
        <v>91.274378490051788</v>
      </c>
      <c r="CE88" s="59">
        <f t="shared" si="94"/>
        <v>126.60105012427914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9.615384615384615</v>
      </c>
      <c r="CH88" s="16">
        <f>IF(ISNA(VLOOKUP(A88,'Données projet'!$A$113:$I$133,5,0)),0%,VLOOKUP(A88,'Données projet'!$A$113:$I$133,5,0)*VLOOKUP('Données projet'!$B$12,Paramètres!$A$1:$I$89,7,0))</f>
        <v>0.1075</v>
      </c>
      <c r="CI88" s="16">
        <f>IF(ISNA(VLOOKUP(A88,'Données projet'!$A$113:$I$133,6,0)),0%,VLOOKUP(A88,'Données projet'!$A$113:$I$133,6,0)*VLOOKUP('Données projet'!$B$12,Paramètres!$A$1:$I$89,7,0))</f>
        <v>0.1075</v>
      </c>
      <c r="CJ88" s="16">
        <f>IF(ISNA(VLOOKUP(A88,'Données projet'!$A$113:$I$133,7,0)),0%,VLOOKUP(A88,'Données projet'!$A$113:$I$133,7,0))</f>
        <v>0.25</v>
      </c>
      <c r="CK88" s="21">
        <f>EXP(-LN(2)/35)*CK87+(1-EXP(-LN(2)/35))/(LN(2)/35)*CG88*CH88*VLOOKUP('Données projet'!$B$12,Paramètres!$A$1:$I$89,3,0)*0.475*44/12</f>
        <v>4.8883672073900613</v>
      </c>
      <c r="CL88" s="21">
        <f>EXP(-LN(2)/25)*CL87+(1-EXP(-LN(2)/25))/(LN(2)/25)*Calculateur!CG88*Calculateur!CI88*VLOOKUP('Données projet'!$B$12,Paramètres!$A$1:$I$89,3,0)*0.475*44/12</f>
        <v>6.4484757839907392</v>
      </c>
      <c r="CM88" s="21">
        <f>EXP(-LN(2)/2)*CM87+(1-EXP(-LN(2)/2))/(LN(2)/2)*CG88*CJ88*VLOOKUP('Données projet'!$B$12,Paramètres!$A$1:$I$89,3,0)*0.475*44/12</f>
        <v>1.8347901456055289</v>
      </c>
      <c r="CN88" s="22">
        <f t="shared" si="66"/>
        <v>13.17163313698633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350.09239406910712</v>
      </c>
      <c r="T89" s="59">
        <f t="shared" si="88"/>
        <v>473.30663081727369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130.92146979582998</v>
      </c>
      <c r="AA89" s="21">
        <f>EXP(-LN(2)/25)*AA88+(1-EXP(-LN(2)/25))/(LN(2)/25)*Calculateur!V89*Calculateur!X89*VLOOKUP('Données projet'!$B$9,Paramètres!$A$1:$I$89,3,0)*0.475*44/12</f>
        <v>35.00291672736877</v>
      </c>
      <c r="AB89" s="21">
        <f>EXP(-LN(2)/2)*AB88+(1-EXP(-LN(2)/2))/(LN(2)/2)*V89*Y89*VLOOKUP('Données projet'!$B$9,Paramètres!$A$1:$I$89,3,0)*0.475*44/12</f>
        <v>1.3963029970101319E-3</v>
      </c>
      <c r="AC89" s="22">
        <f t="shared" si="57"/>
        <v>165.92578282619576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179.4725256147085</v>
      </c>
      <c r="AO89" s="59">
        <f t="shared" si="90"/>
        <v>282.16750121151176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86.278721925411801</v>
      </c>
      <c r="AV89" s="21">
        <f>EXP(-LN(2)/25)*AV88+(1-EXP(-LN(2)/25))/(LN(2)/25)*Calculateur!AQ89*Calculateur!AS89*VLOOKUP('Données projet'!$B$10,Paramètres!$A$1:$I$89,3,0)*0.475*44/12</f>
        <v>23.763382637107412</v>
      </c>
      <c r="AW89" s="21">
        <f>EXP(-LN(2)/2)*AW88+(1-EXP(-LN(2)/2))/(LN(2)/2)*AQ89*AT89*VLOOKUP('Données projet'!$B$10,Paramètres!$A$1:$I$89,3,0)*0.475*44/12</f>
        <v>5.2637204436919117E-3</v>
      </c>
      <c r="AX89" s="21">
        <f t="shared" si="60"/>
        <v>110.04736828296291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1.064108801074326E-13</v>
      </c>
      <c r="BF89" s="13">
        <f t="shared" si="91"/>
        <v>1.5870730813698654E-12</v>
      </c>
      <c r="BG89" s="20">
        <f t="shared" si="61"/>
        <v>2.9494845662396269E-12</v>
      </c>
      <c r="BH89" s="59">
        <f t="shared" si="62"/>
        <v>293.33333333333627</v>
      </c>
      <c r="BI89" s="59">
        <f ca="1">AVERAGE(OFFSET($BH$3,0,0,'Données projet'!$E$11+1,1))-AVERAGE(OFFSET($H$3,0,0,'Données projet'!$E$11+1,1))</f>
        <v>227.19831549982962</v>
      </c>
      <c r="BJ89" s="59">
        <f t="shared" si="92"/>
        <v>309.84543033784564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111.48688621400109</v>
      </c>
      <c r="BQ89" s="21">
        <f>EXP(-LN(2)/25)*BQ88+(1-EXP(-LN(2)/25))/(LN(2)/25)*Calculateur!BL89*Calculateur!BN89*VLOOKUP('Données projet'!$B$11,Paramètres!$A$1:$I$89,3,0)*0.475*44/12</f>
        <v>32.401256047128776</v>
      </c>
      <c r="BR89" s="21">
        <f>EXP(-LN(2)/2)*BR88+(1-EXP(-LN(2)/2))/(LN(2)/2)*BL89*BO89*VLOOKUP('Données projet'!$B$11,Paramètres!$A$1:$I$89,3,0)*0.475*44/12</f>
        <v>1.4753080162559551E-2</v>
      </c>
      <c r="BS89" s="22">
        <f t="shared" si="63"/>
        <v>143.90289534129244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2.3076923076923093</v>
      </c>
      <c r="BY89" s="12">
        <f>IF('Données projet'!$A$114&gt;35,BY88+BX89-CG88,IF(A89&lt;'Données projet'!$A$114,$BV$205^A89,IF(A89='Données projet'!$A$114,'Données projet'!$B$114,BY88+BX89-CG88)))</f>
        <v>151.02564102564119</v>
      </c>
      <c r="BZ89" s="13">
        <f>BY89*VLOOKUP('Données projet'!$B$12,Paramètres!$A$1:$I$89,3,0)*VLOOKUP('Données projet'!$B$12,Paramètres!$A$1:$I$89,5,0)</f>
        <v>98.952000000000112</v>
      </c>
      <c r="CA89" s="13">
        <f t="shared" si="93"/>
        <v>26.712173119037399</v>
      </c>
      <c r="CB89" s="20">
        <f t="shared" si="64"/>
        <v>218.86510151565699</v>
      </c>
      <c r="CC89" s="59">
        <f t="shared" si="65"/>
        <v>512.19843484899025</v>
      </c>
      <c r="CD89" s="59">
        <f ca="1">AVERAGE(OFFSET($CC$3,0,0,'Données projet'!$E$12+1,1))-AVERAGE(OFFSET($H$3,0,0,'Données projet'!$E$12+1,1))</f>
        <v>91.274378490051788</v>
      </c>
      <c r="CE89" s="59">
        <f t="shared" si="94"/>
        <v>126.60105012427914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4.792509308062729</v>
      </c>
      <c r="CL89" s="21">
        <f>EXP(-LN(2)/25)*CL88+(1-EXP(-LN(2)/25))/(LN(2)/25)*Calculateur!CG89*Calculateur!CI89*VLOOKUP('Données projet'!$B$12,Paramètres!$A$1:$I$89,3,0)*0.475*44/12</f>
        <v>6.2721418745669091</v>
      </c>
      <c r="CM89" s="21">
        <f>EXP(-LN(2)/2)*CM88+(1-EXP(-LN(2)/2))/(LN(2)/2)*CG89*CJ89*VLOOKUP('Données projet'!$B$12,Paramètres!$A$1:$I$89,3,0)*0.475*44/12</f>
        <v>1.2973925540119224</v>
      </c>
      <c r="CN89" s="22">
        <f t="shared" si="66"/>
        <v>12.362043736641562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350.09239406910712</v>
      </c>
      <c r="T90" s="59">
        <f t="shared" si="88"/>
        <v>473.30663081727369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128.35417962734539</v>
      </c>
      <c r="AA90" s="21">
        <f>EXP(-LN(2)/25)*AA89+(1-EXP(-LN(2)/25))/(LN(2)/25)*Calculateur!V90*Calculateur!X90*VLOOKUP('Données projet'!$B$9,Paramètres!$A$1:$I$89,3,0)*0.475*44/12</f>
        <v>34.045760128735481</v>
      </c>
      <c r="AB90" s="21">
        <f>EXP(-LN(2)/2)*AB89+(1-EXP(-LN(2)/2))/(LN(2)/2)*V90*Y90*VLOOKUP('Données projet'!$B$9,Paramètres!$A$1:$I$89,3,0)*0.475*44/12</f>
        <v>9.8733531777696381E-4</v>
      </c>
      <c r="AC90" s="22">
        <f t="shared" si="57"/>
        <v>162.40092709139864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179.4725256147085</v>
      </c>
      <c r="AO90" s="59">
        <f t="shared" si="90"/>
        <v>282.16750121151176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84.586848813278579</v>
      </c>
      <c r="AV90" s="21">
        <f>EXP(-LN(2)/25)*AV89+(1-EXP(-LN(2)/25))/(LN(2)/25)*Calculateur!AQ90*Calculateur!AS90*VLOOKUP('Données projet'!$B$10,Paramètres!$A$1:$I$89,3,0)*0.475*44/12</f>
        <v>23.11357168923373</v>
      </c>
      <c r="AW90" s="21">
        <f>EXP(-LN(2)/2)*AW89+(1-EXP(-LN(2)/2))/(LN(2)/2)*AQ90*AT90*VLOOKUP('Données projet'!$B$10,Paramètres!$A$1:$I$89,3,0)*0.475*44/12</f>
        <v>3.7220124200048137E-3</v>
      </c>
      <c r="AX90" s="21">
        <f t="shared" si="60"/>
        <v>107.70414251493231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1.064108801074326E-13</v>
      </c>
      <c r="BF90" s="13">
        <f t="shared" si="91"/>
        <v>1.5870730813698654E-12</v>
      </c>
      <c r="BG90" s="20">
        <f t="shared" si="61"/>
        <v>2.9494845662396269E-12</v>
      </c>
      <c r="BH90" s="59">
        <f t="shared" si="62"/>
        <v>293.33333333333627</v>
      </c>
      <c r="BI90" s="59">
        <f ca="1">AVERAGE(OFFSET($BH$3,0,0,'Données projet'!$E$11+1,1))-AVERAGE(OFFSET($H$3,0,0,'Données projet'!$E$11+1,1))</f>
        <v>227.19831549982962</v>
      </c>
      <c r="BJ90" s="59">
        <f t="shared" si="92"/>
        <v>309.84543033784564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109.30069637563065</v>
      </c>
      <c r="BQ90" s="21">
        <f>EXP(-LN(2)/25)*BQ89+(1-EXP(-LN(2)/25))/(LN(2)/25)*Calculateur!BL90*Calculateur!BN90*VLOOKUP('Données projet'!$B$11,Paramètres!$A$1:$I$89,3,0)*0.475*44/12</f>
        <v>31.515241996612037</v>
      </c>
      <c r="BR90" s="21">
        <f>EXP(-LN(2)/2)*BR89+(1-EXP(-LN(2)/2))/(LN(2)/2)*BL90*BO90*VLOOKUP('Données projet'!$B$11,Paramètres!$A$1:$I$89,3,0)*0.475*44/12</f>
        <v>1.0432003026334591E-2</v>
      </c>
      <c r="BS90" s="22">
        <f t="shared" si="63"/>
        <v>140.82637037526902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2.3076923076923093</v>
      </c>
      <c r="BY90" s="12">
        <f>IF('Données projet'!$A$114&gt;35,BY89+BX90-CG89,IF(A90&lt;'Données projet'!$A$114,$BV$205^A90,IF(A90='Données projet'!$A$114,'Données projet'!$B$114,BY89+BX90-CG89)))</f>
        <v>153.33333333333351</v>
      </c>
      <c r="BZ90" s="13">
        <f>BY90*VLOOKUP('Données projet'!$B$12,Paramètres!$A$1:$I$89,3,0)*VLOOKUP('Données projet'!$B$12,Paramètres!$A$1:$I$89,5,0)</f>
        <v>100.46400000000013</v>
      </c>
      <c r="CA90" s="13">
        <f t="shared" si="93"/>
        <v>27.072509349827502</v>
      </c>
      <c r="CB90" s="20">
        <f t="shared" si="64"/>
        <v>222.12608711761644</v>
      </c>
      <c r="CC90" s="59">
        <f t="shared" si="65"/>
        <v>515.45942045094978</v>
      </c>
      <c r="CD90" s="59">
        <f ca="1">AVERAGE(OFFSET($CC$3,0,0,'Données projet'!$E$12+1,1))-AVERAGE(OFFSET($H$3,0,0,'Données projet'!$E$12+1,1))</f>
        <v>91.274378490051788</v>
      </c>
      <c r="CE90" s="59">
        <f t="shared" si="94"/>
        <v>126.60105012427914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4.6985311236736607</v>
      </c>
      <c r="CL90" s="21">
        <f>EXP(-LN(2)/25)*CL89+(1-EXP(-LN(2)/25))/(LN(2)/25)*Calculateur!CG90*Calculateur!CI90*VLOOKUP('Données projet'!$B$12,Paramètres!$A$1:$I$89,3,0)*0.475*44/12</f>
        <v>6.1006298251692712</v>
      </c>
      <c r="CM90" s="21">
        <f>EXP(-LN(2)/2)*CM89+(1-EXP(-LN(2)/2))/(LN(2)/2)*CG90*CJ90*VLOOKUP('Données projet'!$B$12,Paramètres!$A$1:$I$89,3,0)*0.475*44/12</f>
        <v>0.91739507280276456</v>
      </c>
      <c r="CN90" s="22">
        <f t="shared" si="66"/>
        <v>11.716556021645696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350.09239406910712</v>
      </c>
      <c r="T91" s="59">
        <f t="shared" si="88"/>
        <v>473.30663081727369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125.83723245317239</v>
      </c>
      <c r="AA91" s="21">
        <f>EXP(-LN(2)/25)*AA90+(1-EXP(-LN(2)/25))/(LN(2)/25)*Calculateur!V91*Calculateur!X91*VLOOKUP('Données projet'!$B$9,Paramètres!$A$1:$I$89,3,0)*0.475*44/12</f>
        <v>33.114777027626495</v>
      </c>
      <c r="AB91" s="21">
        <f>EXP(-LN(2)/2)*AB90+(1-EXP(-LN(2)/2))/(LN(2)/2)*V91*Y91*VLOOKUP('Données projet'!$B$9,Paramètres!$A$1:$I$89,3,0)*0.475*44/12</f>
        <v>6.9815149850506594E-4</v>
      </c>
      <c r="AC91" s="22">
        <f t="shared" si="57"/>
        <v>158.9527076322974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179.4725256147085</v>
      </c>
      <c r="AO91" s="59">
        <f t="shared" si="90"/>
        <v>282.16750121151176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82.92815230093359</v>
      </c>
      <c r="AV91" s="21">
        <f>EXP(-LN(2)/25)*AV90+(1-EXP(-LN(2)/25))/(LN(2)/25)*Calculateur!AQ91*Calculateur!AS91*VLOOKUP('Données projet'!$B$10,Paramètres!$A$1:$I$89,3,0)*0.475*44/12</f>
        <v>22.481529855901726</v>
      </c>
      <c r="AW91" s="21">
        <f>EXP(-LN(2)/2)*AW90+(1-EXP(-LN(2)/2))/(LN(2)/2)*AQ91*AT91*VLOOKUP('Données projet'!$B$10,Paramètres!$A$1:$I$89,3,0)*0.475*44/12</f>
        <v>2.6318602218459563E-3</v>
      </c>
      <c r="AX91" s="21">
        <f t="shared" si="60"/>
        <v>105.41231401705716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1.064108801074326E-13</v>
      </c>
      <c r="BF91" s="13">
        <f t="shared" si="91"/>
        <v>1.5870730813698654E-12</v>
      </c>
      <c r="BG91" s="20">
        <f t="shared" si="61"/>
        <v>2.9494845662396269E-12</v>
      </c>
      <c r="BH91" s="59">
        <f t="shared" si="62"/>
        <v>293.33333333333627</v>
      </c>
      <c r="BI91" s="59">
        <f ca="1">AVERAGE(OFFSET($BH$3,0,0,'Données projet'!$E$11+1,1))-AVERAGE(OFFSET($H$3,0,0,'Données projet'!$E$11+1,1))</f>
        <v>227.19831549982962</v>
      </c>
      <c r="BJ91" s="59">
        <f t="shared" si="92"/>
        <v>309.84543033784564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107.15737638654652</v>
      </c>
      <c r="BQ91" s="21">
        <f>EXP(-LN(2)/25)*BQ90+(1-EXP(-LN(2)/25))/(LN(2)/25)*Calculateur!BL91*Calculateur!BN91*VLOOKUP('Données projet'!$B$11,Paramètres!$A$1:$I$89,3,0)*0.475*44/12</f>
        <v>30.653456046900132</v>
      </c>
      <c r="BR91" s="21">
        <f>EXP(-LN(2)/2)*BR90+(1-EXP(-LN(2)/2))/(LN(2)/2)*BL91*BO91*VLOOKUP('Données projet'!$B$11,Paramètres!$A$1:$I$89,3,0)*0.475*44/12</f>
        <v>7.3765400812797755E-3</v>
      </c>
      <c r="BS91" s="22">
        <f t="shared" si="63"/>
        <v>137.81820897352793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2.3076923076923093</v>
      </c>
      <c r="BY91" s="12">
        <f>IF('Données projet'!$A$114&gt;35,BY90+BX91-CG90,IF(A91&lt;'Données projet'!$A$114,$BV$205^A91,IF(A91='Données projet'!$A$114,'Données projet'!$B$114,BY90+BX91-CG90)))</f>
        <v>155.64102564102583</v>
      </c>
      <c r="BZ91" s="13">
        <f>BY91*VLOOKUP('Données projet'!$B$12,Paramètres!$A$1:$I$89,3,0)*VLOOKUP('Données projet'!$B$12,Paramètres!$A$1:$I$89,5,0)</f>
        <v>101.97600000000014</v>
      </c>
      <c r="CA91" s="13">
        <f t="shared" si="93"/>
        <v>27.432214856814799</v>
      </c>
      <c r="CB91" s="20">
        <f t="shared" si="64"/>
        <v>225.38597420895266</v>
      </c>
      <c r="CC91" s="59">
        <f t="shared" si="65"/>
        <v>518.71930754228595</v>
      </c>
      <c r="CD91" s="59">
        <f ca="1">AVERAGE(OFFSET($CC$3,0,0,'Données projet'!$E$12+1,1))-AVERAGE(OFFSET($H$3,0,0,'Données projet'!$E$12+1,1))</f>
        <v>91.274378490051788</v>
      </c>
      <c r="CE91" s="59">
        <f t="shared" si="94"/>
        <v>126.60105012427914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4.6063957941594289</v>
      </c>
      <c r="CL91" s="21">
        <f>EXP(-LN(2)/25)*CL90+(1-EXP(-LN(2)/25))/(LN(2)/25)*Calculateur!CG91*Calculateur!CI91*VLOOKUP('Données projet'!$B$12,Paramètres!$A$1:$I$89,3,0)*0.475*44/12</f>
        <v>5.9338077817818382</v>
      </c>
      <c r="CM91" s="21">
        <f>EXP(-LN(2)/2)*CM90+(1-EXP(-LN(2)/2))/(LN(2)/2)*CG91*CJ91*VLOOKUP('Données projet'!$B$12,Paramètres!$A$1:$I$89,3,0)*0.475*44/12</f>
        <v>0.64869627700596133</v>
      </c>
      <c r="CN91" s="22">
        <f t="shared" si="66"/>
        <v>11.188899852947227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350.09239406910712</v>
      </c>
      <c r="T92" s="59">
        <f t="shared" si="88"/>
        <v>473.30663081727369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123.36964107789873</v>
      </c>
      <c r="AA92" s="21">
        <f>EXP(-LN(2)/25)*AA91+(1-EXP(-LN(2)/25))/(LN(2)/25)*Calculateur!V92*Calculateur!X92*VLOOKUP('Données projet'!$B$9,Paramètres!$A$1:$I$89,3,0)*0.475*44/12</f>
        <v>32.209251708375611</v>
      </c>
      <c r="AB92" s="21">
        <f>EXP(-LN(2)/2)*AB91+(1-EXP(-LN(2)/2))/(LN(2)/2)*V92*Y92*VLOOKUP('Données projet'!$B$9,Paramètres!$A$1:$I$89,3,0)*0.475*44/12</f>
        <v>4.936676588884819E-4</v>
      </c>
      <c r="AC92" s="22">
        <f t="shared" si="57"/>
        <v>155.57938645393324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179.4725256147085</v>
      </c>
      <c r="AO92" s="59">
        <f t="shared" si="90"/>
        <v>282.16750121151176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81.301981815490706</v>
      </c>
      <c r="AV92" s="21">
        <f>EXP(-LN(2)/25)*AV91+(1-EXP(-LN(2)/25))/(LN(2)/25)*Calculateur!AQ92*Calculateur!AS92*VLOOKUP('Données projet'!$B$10,Paramètres!$A$1:$I$89,3,0)*0.475*44/12</f>
        <v>21.866771239739823</v>
      </c>
      <c r="AW92" s="21">
        <f>EXP(-LN(2)/2)*AW91+(1-EXP(-LN(2)/2))/(LN(2)/2)*AQ92*AT92*VLOOKUP('Données projet'!$B$10,Paramètres!$A$1:$I$89,3,0)*0.475*44/12</f>
        <v>1.8610062100024071E-3</v>
      </c>
      <c r="AX92" s="21">
        <f t="shared" si="60"/>
        <v>103.17061406144053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1.064108801074326E-13</v>
      </c>
      <c r="BF92" s="13">
        <f t="shared" si="91"/>
        <v>1.5870730813698654E-12</v>
      </c>
      <c r="BG92" s="20">
        <f t="shared" si="61"/>
        <v>2.9494845662396269E-12</v>
      </c>
      <c r="BH92" s="59">
        <f t="shared" si="62"/>
        <v>293.33333333333627</v>
      </c>
      <c r="BI92" s="59">
        <f ca="1">AVERAGE(OFFSET($BH$3,0,0,'Données projet'!$E$11+1,1))-AVERAGE(OFFSET($H$3,0,0,'Données projet'!$E$11+1,1))</f>
        <v>227.19831549982962</v>
      </c>
      <c r="BJ92" s="59">
        <f t="shared" si="92"/>
        <v>309.84543033784564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105.05608559515221</v>
      </c>
      <c r="BQ92" s="21">
        <f>EXP(-LN(2)/25)*BQ91+(1-EXP(-LN(2)/25))/(LN(2)/25)*Calculateur!BL92*Calculateur!BN92*VLOOKUP('Données projet'!$B$11,Paramètres!$A$1:$I$89,3,0)*0.475*44/12</f>
        <v>29.815235679302454</v>
      </c>
      <c r="BR92" s="21">
        <f>EXP(-LN(2)/2)*BR91+(1-EXP(-LN(2)/2))/(LN(2)/2)*BL92*BO92*VLOOKUP('Données projet'!$B$11,Paramètres!$A$1:$I$89,3,0)*0.475*44/12</f>
        <v>5.2160015131672956E-3</v>
      </c>
      <c r="BS92" s="22">
        <f t="shared" si="63"/>
        <v>134.87653727596782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2.3076923076923093</v>
      </c>
      <c r="BY92" s="12">
        <f>IF('Données projet'!$A$114&gt;35,BY91+BX92-CG91,IF(A92&lt;'Données projet'!$A$114,$BV$205^A92,IF(A92='Données projet'!$A$114,'Données projet'!$B$114,BY91+BX92-CG91)))</f>
        <v>157.94871794871815</v>
      </c>
      <c r="BZ92" s="13">
        <f>BY92*VLOOKUP('Données projet'!$B$12,Paramètres!$A$1:$I$89,3,0)*VLOOKUP('Données projet'!$B$12,Paramètres!$A$1:$I$89,5,0)</f>
        <v>103.48800000000014</v>
      </c>
      <c r="CA92" s="13">
        <f t="shared" si="93"/>
        <v>27.791300072062182</v>
      </c>
      <c r="CB92" s="20">
        <f t="shared" si="64"/>
        <v>228.64478095884184</v>
      </c>
      <c r="CC92" s="59">
        <f t="shared" si="65"/>
        <v>521.97811429217518</v>
      </c>
      <c r="CD92" s="59">
        <f ca="1">AVERAGE(OFFSET($CC$3,0,0,'Données projet'!$E$12+1,1))-AVERAGE(OFFSET($H$3,0,0,'Données projet'!$E$12+1,1))</f>
        <v>91.274378490051788</v>
      </c>
      <c r="CE92" s="59">
        <f t="shared" si="94"/>
        <v>126.60105012427914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4.5160671822599694</v>
      </c>
      <c r="CL92" s="21">
        <f>EXP(-LN(2)/25)*CL91+(1-EXP(-LN(2)/25))/(LN(2)/25)*Calculateur!CG92*Calculateur!CI92*VLOOKUP('Données projet'!$B$12,Paramètres!$A$1:$I$89,3,0)*0.475*44/12</f>
        <v>5.7715474959436248</v>
      </c>
      <c r="CM92" s="21">
        <f>EXP(-LN(2)/2)*CM91+(1-EXP(-LN(2)/2))/(LN(2)/2)*CG92*CJ92*VLOOKUP('Données projet'!$B$12,Paramètres!$A$1:$I$89,3,0)*0.475*44/12</f>
        <v>0.45869753640138233</v>
      </c>
      <c r="CN92" s="22">
        <f t="shared" si="66"/>
        <v>10.746312214604977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350.09239406910712</v>
      </c>
      <c r="T93" s="59">
        <f t="shared" si="88"/>
        <v>473.30663081727369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120.95043766441206</v>
      </c>
      <c r="AA93" s="21">
        <f>EXP(-LN(2)/25)*AA92+(1-EXP(-LN(2)/25))/(LN(2)/25)*Calculateur!V93*Calculateur!X93*VLOOKUP('Données projet'!$B$9,Paramètres!$A$1:$I$89,3,0)*0.475*44/12</f>
        <v>31.328488026599146</v>
      </c>
      <c r="AB93" s="21">
        <f>EXP(-LN(2)/2)*AB92+(1-EXP(-LN(2)/2))/(LN(2)/2)*V93*Y93*VLOOKUP('Données projet'!$B$9,Paramètres!$A$1:$I$89,3,0)*0.475*44/12</f>
        <v>3.4907574925253297E-4</v>
      </c>
      <c r="AC93" s="22">
        <f t="shared" si="57"/>
        <v>152.27927476676047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179.4725256147085</v>
      </c>
      <c r="AO93" s="59">
        <f t="shared" si="90"/>
        <v>282.16750121151176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79.707699541401297</v>
      </c>
      <c r="AV93" s="21">
        <f>EXP(-LN(2)/25)*AV92+(1-EXP(-LN(2)/25))/(LN(2)/25)*Calculateur!AQ93*Calculateur!AS93*VLOOKUP('Données projet'!$B$10,Paramètres!$A$1:$I$89,3,0)*0.475*44/12</f>
        <v>21.268823230265614</v>
      </c>
      <c r="AW93" s="21">
        <f>EXP(-LN(2)/2)*AW92+(1-EXP(-LN(2)/2))/(LN(2)/2)*AQ93*AT93*VLOOKUP('Données projet'!$B$10,Paramètres!$A$1:$I$89,3,0)*0.475*44/12</f>
        <v>1.3159301109229784E-3</v>
      </c>
      <c r="AX93" s="21">
        <f t="shared" si="60"/>
        <v>100.97783870177783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1.064108801074326E-13</v>
      </c>
      <c r="BF93" s="13">
        <f t="shared" si="91"/>
        <v>1.5870730813698654E-12</v>
      </c>
      <c r="BG93" s="20">
        <f t="shared" si="61"/>
        <v>2.9494845662396269E-12</v>
      </c>
      <c r="BH93" s="59">
        <f t="shared" si="62"/>
        <v>293.33333333333627</v>
      </c>
      <c r="BI93" s="59">
        <f ca="1">AVERAGE(OFFSET($BH$3,0,0,'Données projet'!$E$11+1,1))-AVERAGE(OFFSET($H$3,0,0,'Données projet'!$E$11+1,1))</f>
        <v>227.19831549982962</v>
      </c>
      <c r="BJ93" s="59">
        <f t="shared" si="92"/>
        <v>309.84543033784564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102.99599983451633</v>
      </c>
      <c r="BQ93" s="21">
        <f>EXP(-LN(2)/25)*BQ92+(1-EXP(-LN(2)/25))/(LN(2)/25)*Calculateur!BL93*Calculateur!BN93*VLOOKUP('Données projet'!$B$11,Paramètres!$A$1:$I$89,3,0)*0.475*44/12</f>
        <v>28.999936491736829</v>
      </c>
      <c r="BR93" s="21">
        <f>EXP(-LN(2)/2)*BR92+(1-EXP(-LN(2)/2))/(LN(2)/2)*BL93*BO93*VLOOKUP('Données projet'!$B$11,Paramètres!$A$1:$I$89,3,0)*0.475*44/12</f>
        <v>3.6882700406398877E-3</v>
      </c>
      <c r="BS93" s="22">
        <f t="shared" si="63"/>
        <v>131.99962459629378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160.25641025641025</v>
      </c>
      <c r="BW93" s="12">
        <f>VLOOKUP(A93,'Données projet'!$A$113:$I$133,9,0)</f>
        <v>2.3076923076923093</v>
      </c>
      <c r="BX93" s="12">
        <f t="array" ref="BX93">INDEX(BW:BW,MIN(IF(ISNUMBER(BW93:BW289),ROW(BW93:BW289),"")))</f>
        <v>2.3076923076923093</v>
      </c>
      <c r="BY93" s="12">
        <f>IF('Données projet'!$A$114&gt;35,BY92+BX93-CG92,IF(A93&lt;'Données projet'!$A$114,$BV$205^A93,IF(A93='Données projet'!$A$114,'Données projet'!$B$114,BY92+BX93-CG92)))</f>
        <v>160.25641025641048</v>
      </c>
      <c r="BZ93" s="13">
        <f>BY93*VLOOKUP('Données projet'!$B$12,Paramètres!$A$1:$I$89,3,0)*VLOOKUP('Données projet'!$B$12,Paramètres!$A$1:$I$89,5,0)</f>
        <v>105.00000000000013</v>
      </c>
      <c r="CA93" s="13">
        <f t="shared" si="93"/>
        <v>28.14977510529809</v>
      </c>
      <c r="CB93" s="20">
        <f t="shared" si="64"/>
        <v>231.90252497506103</v>
      </c>
      <c r="CC93" s="59">
        <f t="shared" si="65"/>
        <v>525.23585830839431</v>
      </c>
      <c r="CD93" s="59">
        <f ca="1">AVERAGE(OFFSET($CC$3,0,0,'Données projet'!$E$12+1,1))-AVERAGE(OFFSET($H$3,0,0,'Données projet'!$E$12+1,1))</f>
        <v>91.274378490051788</v>
      </c>
      <c r="CE93" s="59">
        <f t="shared" si="94"/>
        <v>126.60105012427914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160.25641025641025</v>
      </c>
      <c r="CH93" s="16">
        <f>IF(ISNA(VLOOKUP(A93,'Données projet'!$A$113:$I$133,5,0)),0%,VLOOKUP(A93,'Données projet'!$A$113:$I$133,5,0)*VLOOKUP('Données projet'!$B$12,Paramètres!$A$1:$I$89,7,0))</f>
        <v>0.1075</v>
      </c>
      <c r="CI93" s="16">
        <f>IF(ISNA(VLOOKUP(A93,'Données projet'!$A$113:$I$133,6,0)),0%,VLOOKUP(A93,'Données projet'!$A$113:$I$133,6,0)*VLOOKUP('Données projet'!$B$12,Paramètres!$A$1:$I$89,7,0))</f>
        <v>0.1075</v>
      </c>
      <c r="CJ93" s="16">
        <f>IF(ISNA(VLOOKUP(A93,'Données projet'!$A$113:$I$133,7,0)),0%,VLOOKUP(A93,'Données projet'!$A$113:$I$133,7,0))</f>
        <v>0.25</v>
      </c>
      <c r="CK93" s="21">
        <f>EXP(-LN(2)/35)*CK92+(1-EXP(-LN(2)/35))/(LN(2)/35)*CG93*CH93*VLOOKUP('Données projet'!$B$12,Paramètres!$A$1:$I$89,3,0)*0.475*44/12</f>
        <v>16.905506768323022</v>
      </c>
      <c r="CL93" s="21">
        <f>EXP(-LN(2)/25)*CL92+(1-EXP(-LN(2)/25))/(LN(2)/25)*Calculateur!CG93*Calculateur!CI93*VLOOKUP('Données projet'!$B$12,Paramètres!$A$1:$I$89,3,0)*0.475*44/12</f>
        <v>18.042590506812513</v>
      </c>
      <c r="CM93" s="21">
        <f>EXP(-LN(2)/2)*CM92+(1-EXP(-LN(2)/2))/(LN(2)/2)*CG93*CJ93*VLOOKUP('Données projet'!$B$12,Paramètres!$A$1:$I$89,3,0)*0.475*44/12</f>
        <v>25.091929646894421</v>
      </c>
      <c r="CN93" s="22">
        <f t="shared" si="66"/>
        <v>60.040026922029959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350.09239406910712</v>
      </c>
      <c r="T94" s="59">
        <f t="shared" si="88"/>
        <v>473.30663081727369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118.57867335429549</v>
      </c>
      <c r="AA94" s="21">
        <f>EXP(-LN(2)/25)*AA93+(1-EXP(-LN(2)/25))/(LN(2)/25)*Calculateur!V94*Calculateur!X94*VLOOKUP('Données projet'!$B$9,Paramètres!$A$1:$I$89,3,0)*0.475*44/12</f>
        <v>30.471808874018208</v>
      </c>
      <c r="AB94" s="21">
        <f>EXP(-LN(2)/2)*AB93+(1-EXP(-LN(2)/2))/(LN(2)/2)*V94*Y94*VLOOKUP('Données projet'!$B$9,Paramètres!$A$1:$I$89,3,0)*0.475*44/12</f>
        <v>2.4683382944424095E-4</v>
      </c>
      <c r="AC94" s="22">
        <f t="shared" si="57"/>
        <v>149.05072906214312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179.4725256147085</v>
      </c>
      <c r="AO94" s="59">
        <f t="shared" si="90"/>
        <v>282.16750121151176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78.144680170290613</v>
      </c>
      <c r="AV94" s="21">
        <f>EXP(-LN(2)/25)*AV93+(1-EXP(-LN(2)/25))/(LN(2)/25)*Calculateur!AQ94*Calculateur!AS94*VLOOKUP('Données projet'!$B$10,Paramètres!$A$1:$I$89,3,0)*0.475*44/12</f>
        <v>20.687226140555197</v>
      </c>
      <c r="AW94" s="21">
        <f>EXP(-LN(2)/2)*AW93+(1-EXP(-LN(2)/2))/(LN(2)/2)*AQ94*AT94*VLOOKUP('Données projet'!$B$10,Paramètres!$A$1:$I$89,3,0)*0.475*44/12</f>
        <v>9.3050310500120375E-4</v>
      </c>
      <c r="AX94" s="21">
        <f t="shared" si="60"/>
        <v>98.832836813950806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1.064108801074326E-13</v>
      </c>
      <c r="BF94" s="13">
        <f t="shared" si="91"/>
        <v>1.5870730813698654E-12</v>
      </c>
      <c r="BG94" s="20">
        <f t="shared" si="61"/>
        <v>2.9494845662396269E-12</v>
      </c>
      <c r="BH94" s="59">
        <f t="shared" si="62"/>
        <v>293.33333333333627</v>
      </c>
      <c r="BI94" s="59">
        <f ca="1">AVERAGE(OFFSET($BH$3,0,0,'Données projet'!$E$11+1,1))-AVERAGE(OFFSET($H$3,0,0,'Données projet'!$E$11+1,1))</f>
        <v>227.19831549982962</v>
      </c>
      <c r="BJ94" s="59">
        <f t="shared" si="92"/>
        <v>309.84543033784564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100.97631109911826</v>
      </c>
      <c r="BQ94" s="21">
        <f>EXP(-LN(2)/25)*BQ93+(1-EXP(-LN(2)/25))/(LN(2)/25)*Calculateur!BL94*Calculateur!BN94*VLOOKUP('Données projet'!$B$11,Paramètres!$A$1:$I$89,3,0)*0.475*44/12</f>
        <v>28.206931703329907</v>
      </c>
      <c r="BR94" s="21">
        <f>EXP(-LN(2)/2)*BR93+(1-EXP(-LN(2)/2))/(LN(2)/2)*BL94*BO94*VLOOKUP('Données projet'!$B$11,Paramètres!$A$1:$I$89,3,0)*0.475*44/12</f>
        <v>2.6080007565836478E-3</v>
      </c>
      <c r="BS94" s="22">
        <f t="shared" si="63"/>
        <v>129.18585080320477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2.2737367544323206E-13</v>
      </c>
      <c r="BZ94" s="13">
        <f>BY94*VLOOKUP('Données projet'!$B$12,Paramètres!$A$1:$I$89,3,0)*VLOOKUP('Données projet'!$B$12,Paramètres!$A$1:$I$89,5,0)</f>
        <v>1.4897523215040565E-13</v>
      </c>
      <c r="CA94" s="13">
        <f t="shared" si="93"/>
        <v>2.136562777003313E-12</v>
      </c>
      <c r="CB94" s="20">
        <f t="shared" si="64"/>
        <v>3.9806453659427267E-12</v>
      </c>
      <c r="CC94" s="59">
        <f t="shared" si="65"/>
        <v>293.33333333333729</v>
      </c>
      <c r="CD94" s="59">
        <f ca="1">AVERAGE(OFFSET($CC$3,0,0,'Données projet'!$E$12+1,1))-AVERAGE(OFFSET($H$3,0,0,'Données projet'!$E$12+1,1))</f>
        <v>91.274378490051788</v>
      </c>
      <c r="CE94" s="59">
        <f t="shared" si="94"/>
        <v>126.60105012427914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16.574000091937176</v>
      </c>
      <c r="CL94" s="21">
        <f>EXP(-LN(2)/25)*CL93+(1-EXP(-LN(2)/25))/(LN(2)/25)*Calculateur!CG94*Calculateur!CI94*VLOOKUP('Données projet'!$B$12,Paramètres!$A$1:$I$89,3,0)*0.475*44/12</f>
        <v>17.549214920585126</v>
      </c>
      <c r="CM94" s="21">
        <f>EXP(-LN(2)/2)*CM93+(1-EXP(-LN(2)/2))/(LN(2)/2)*CG94*CJ94*VLOOKUP('Données projet'!$B$12,Paramètres!$A$1:$I$89,3,0)*0.475*44/12</f>
        <v>17.742673606374819</v>
      </c>
      <c r="CN94" s="22">
        <f t="shared" si="66"/>
        <v>51.865888618897117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350.09239406910712</v>
      </c>
      <c r="T95" s="59">
        <f t="shared" si="88"/>
        <v>473.30663081727369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116.25341789566691</v>
      </c>
      <c r="AA95" s="21">
        <f>EXP(-LN(2)/25)*AA94+(1-EXP(-LN(2)/25))/(LN(2)/25)*Calculateur!V95*Calculateur!X95*VLOOKUP('Données projet'!$B$9,Paramètres!$A$1:$I$89,3,0)*0.475*44/12</f>
        <v>29.638555657915397</v>
      </c>
      <c r="AB95" s="21">
        <f>EXP(-LN(2)/2)*AB94+(1-EXP(-LN(2)/2))/(LN(2)/2)*V95*Y95*VLOOKUP('Données projet'!$B$9,Paramètres!$A$1:$I$89,3,0)*0.475*44/12</f>
        <v>1.7453787462626648E-4</v>
      </c>
      <c r="AC95" s="22">
        <f t="shared" si="57"/>
        <v>145.89214809145693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179.4725256147085</v>
      </c>
      <c r="AO95" s="59">
        <f t="shared" si="90"/>
        <v>282.16750121151176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76.61231065569973</v>
      </c>
      <c r="AV95" s="21">
        <f>EXP(-LN(2)/25)*AV94+(1-EXP(-LN(2)/25))/(LN(2)/25)*Calculateur!AQ95*Calculateur!AS95*VLOOKUP('Données projet'!$B$10,Paramètres!$A$1:$I$89,3,0)*0.475*44/12</f>
        <v>20.121532853847775</v>
      </c>
      <c r="AW95" s="21">
        <f>EXP(-LN(2)/2)*AW94+(1-EXP(-LN(2)/2))/(LN(2)/2)*AQ95*AT95*VLOOKUP('Données projet'!$B$10,Paramètres!$A$1:$I$89,3,0)*0.475*44/12</f>
        <v>6.5796505546148929E-4</v>
      </c>
      <c r="AX95" s="21">
        <f t="shared" si="60"/>
        <v>96.734501474602979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1.064108801074326E-13</v>
      </c>
      <c r="BF95" s="13">
        <f t="shared" si="91"/>
        <v>1.5870730813698654E-12</v>
      </c>
      <c r="BG95" s="20">
        <f t="shared" si="61"/>
        <v>2.9494845662396269E-12</v>
      </c>
      <c r="BH95" s="59">
        <f t="shared" si="62"/>
        <v>293.33333333333627</v>
      </c>
      <c r="BI95" s="59">
        <f ca="1">AVERAGE(OFFSET($BH$3,0,0,'Données projet'!$E$11+1,1))-AVERAGE(OFFSET($H$3,0,0,'Données projet'!$E$11+1,1))</f>
        <v>227.19831549982962</v>
      </c>
      <c r="BJ95" s="59">
        <f t="shared" si="92"/>
        <v>309.84543033784564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98.996227227932863</v>
      </c>
      <c r="BQ95" s="21">
        <f>EXP(-LN(2)/25)*BQ94+(1-EXP(-LN(2)/25))/(LN(2)/25)*Calculateur!BL95*Calculateur!BN95*VLOOKUP('Données projet'!$B$11,Paramètres!$A$1:$I$89,3,0)*0.475*44/12</f>
        <v>27.435611672564281</v>
      </c>
      <c r="BR95" s="21">
        <f>EXP(-LN(2)/2)*BR94+(1-EXP(-LN(2)/2))/(LN(2)/2)*BL95*BO95*VLOOKUP('Données projet'!$B$11,Paramètres!$A$1:$I$89,3,0)*0.475*44/12</f>
        <v>1.8441350203199439E-3</v>
      </c>
      <c r="BS95" s="22">
        <f t="shared" si="63"/>
        <v>126.43368303551746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2.2737367544323206E-13</v>
      </c>
      <c r="BZ95" s="13">
        <f>BY95*VLOOKUP('Données projet'!$B$12,Paramètres!$A$1:$I$89,3,0)*VLOOKUP('Données projet'!$B$12,Paramètres!$A$1:$I$89,5,0)</f>
        <v>1.4897523215040565E-13</v>
      </c>
      <c r="CA95" s="13">
        <f t="shared" si="93"/>
        <v>2.136562777003313E-12</v>
      </c>
      <c r="CB95" s="20">
        <f t="shared" si="64"/>
        <v>3.9806453659427267E-12</v>
      </c>
      <c r="CC95" s="59">
        <f t="shared" si="65"/>
        <v>293.33333333333729</v>
      </c>
      <c r="CD95" s="59">
        <f ca="1">AVERAGE(OFFSET($CC$3,0,0,'Données projet'!$E$12+1,1))-AVERAGE(OFFSET($H$3,0,0,'Données projet'!$E$12+1,1))</f>
        <v>91.274378490051788</v>
      </c>
      <c r="CE95" s="59">
        <f t="shared" si="94"/>
        <v>126.60105012427914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16.24899405927615</v>
      </c>
      <c r="CL95" s="21">
        <f>EXP(-LN(2)/25)*CL94+(1-EXP(-LN(2)/25))/(LN(2)/25)*Calculateur!CG95*Calculateur!CI95*VLOOKUP('Données projet'!$B$12,Paramètres!$A$1:$I$89,3,0)*0.475*44/12</f>
        <v>17.06933071570862</v>
      </c>
      <c r="CM95" s="21">
        <f>EXP(-LN(2)/2)*CM94+(1-EXP(-LN(2)/2))/(LN(2)/2)*CG95*CJ95*VLOOKUP('Données projet'!$B$12,Paramètres!$A$1:$I$89,3,0)*0.475*44/12</f>
        <v>12.545964823447212</v>
      </c>
      <c r="CN95" s="22">
        <f t="shared" si="66"/>
        <v>45.864289598431988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350.09239406910712</v>
      </c>
      <c r="T96" s="59">
        <f t="shared" si="88"/>
        <v>473.30663081727369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113.97375927831627</v>
      </c>
      <c r="AA96" s="21">
        <f>EXP(-LN(2)/25)*AA95+(1-EXP(-LN(2)/25))/(LN(2)/25)*Calculateur!V96*Calculateur!X96*VLOOKUP('Données projet'!$B$9,Paramètres!$A$1:$I$89,3,0)*0.475*44/12</f>
        <v>28.828087794825798</v>
      </c>
      <c r="AB96" s="21">
        <f>EXP(-LN(2)/2)*AB95+(1-EXP(-LN(2)/2))/(LN(2)/2)*V96*Y96*VLOOKUP('Données projet'!$B$9,Paramètres!$A$1:$I$89,3,0)*0.475*44/12</f>
        <v>1.2341691472212048E-4</v>
      </c>
      <c r="AC96" s="22">
        <f t="shared" si="57"/>
        <v>142.80197049005679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179.4725256147085</v>
      </c>
      <c r="AO96" s="59">
        <f t="shared" si="90"/>
        <v>282.16750121151176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75.109989972636868</v>
      </c>
      <c r="AV96" s="21">
        <f>EXP(-LN(2)/25)*AV95+(1-EXP(-LN(2)/25))/(LN(2)/25)*Calculateur!AQ96*Calculateur!AS96*VLOOKUP('Données projet'!$B$10,Paramètres!$A$1:$I$89,3,0)*0.475*44/12</f>
        <v>19.571308479813883</v>
      </c>
      <c r="AW96" s="21">
        <f>EXP(-LN(2)/2)*AW95+(1-EXP(-LN(2)/2))/(LN(2)/2)*AQ96*AT96*VLOOKUP('Données projet'!$B$10,Paramètres!$A$1:$I$89,3,0)*0.475*44/12</f>
        <v>4.6525155250060193E-4</v>
      </c>
      <c r="AX96" s="21">
        <f t="shared" si="60"/>
        <v>94.681763704003245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1.064108801074326E-13</v>
      </c>
      <c r="BF96" s="13">
        <f t="shared" si="91"/>
        <v>1.5870730813698654E-12</v>
      </c>
      <c r="BG96" s="20">
        <f t="shared" si="61"/>
        <v>2.9494845662396269E-12</v>
      </c>
      <c r="BH96" s="59">
        <f t="shared" si="62"/>
        <v>293.33333333333627</v>
      </c>
      <c r="BI96" s="59">
        <f ca="1">AVERAGE(OFFSET($BH$3,0,0,'Données projet'!$E$11+1,1))-AVERAGE(OFFSET($H$3,0,0,'Données projet'!$E$11+1,1))</f>
        <v>227.19831549982962</v>
      </c>
      <c r="BJ96" s="59">
        <f t="shared" si="92"/>
        <v>309.84543033784564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97.054971593729505</v>
      </c>
      <c r="BQ96" s="21">
        <f>EXP(-LN(2)/25)*BQ95+(1-EXP(-LN(2)/25))/(LN(2)/25)*Calculateur!BL96*Calculateur!BN96*VLOOKUP('Données projet'!$B$11,Paramètres!$A$1:$I$89,3,0)*0.475*44/12</f>
        <v>26.685383428601899</v>
      </c>
      <c r="BR96" s="21">
        <f>EXP(-LN(2)/2)*BR95+(1-EXP(-LN(2)/2))/(LN(2)/2)*BL96*BO96*VLOOKUP('Données projet'!$B$11,Paramètres!$A$1:$I$89,3,0)*0.475*44/12</f>
        <v>1.3040003782918239E-3</v>
      </c>
      <c r="BS96" s="22">
        <f t="shared" si="63"/>
        <v>123.7416590227097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2.2737367544323206E-13</v>
      </c>
      <c r="BZ96" s="13">
        <f>BY96*VLOOKUP('Données projet'!$B$12,Paramètres!$A$1:$I$89,3,0)*VLOOKUP('Données projet'!$B$12,Paramètres!$A$1:$I$89,5,0)</f>
        <v>1.4897523215040565E-13</v>
      </c>
      <c r="CA96" s="13">
        <f t="shared" si="93"/>
        <v>2.136562777003313E-12</v>
      </c>
      <c r="CB96" s="20">
        <f t="shared" si="64"/>
        <v>3.9806453659427267E-12</v>
      </c>
      <c r="CC96" s="59">
        <f t="shared" si="65"/>
        <v>293.33333333333729</v>
      </c>
      <c r="CD96" s="59">
        <f ca="1">AVERAGE(OFFSET($CC$3,0,0,'Données projet'!$E$12+1,1))-AVERAGE(OFFSET($H$3,0,0,'Données projet'!$E$12+1,1))</f>
        <v>91.274378490051788</v>
      </c>
      <c r="CE96" s="59">
        <f t="shared" si="94"/>
        <v>126.60105012427914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15.930361196681499</v>
      </c>
      <c r="CL96" s="21">
        <f>EXP(-LN(2)/25)*CL95+(1-EXP(-LN(2)/25))/(LN(2)/25)*Calculateur!CG96*Calculateur!CI96*VLOOKUP('Données projet'!$B$12,Paramètres!$A$1:$I$89,3,0)*0.475*44/12</f>
        <v>16.602568969650477</v>
      </c>
      <c r="CM96" s="21">
        <f>EXP(-LN(2)/2)*CM95+(1-EXP(-LN(2)/2))/(LN(2)/2)*CG96*CJ96*VLOOKUP('Données projet'!$B$12,Paramètres!$A$1:$I$89,3,0)*0.475*44/12</f>
        <v>8.8713368031874111</v>
      </c>
      <c r="CN96" s="22">
        <f t="shared" si="66"/>
        <v>41.404266969519391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350.09239406910712</v>
      </c>
      <c r="T97" s="59">
        <f t="shared" si="88"/>
        <v>473.30663081727369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111.73880337599739</v>
      </c>
      <c r="AA97" s="21">
        <f>EXP(-LN(2)/25)*AA96+(1-EXP(-LN(2)/25))/(LN(2)/25)*Calculateur!V97*Calculateur!X97*VLOOKUP('Données projet'!$B$9,Paramètres!$A$1:$I$89,3,0)*0.475*44/12</f>
        <v>28.039782218073036</v>
      </c>
      <c r="AB97" s="21">
        <f>EXP(-LN(2)/2)*AB96+(1-EXP(-LN(2)/2))/(LN(2)/2)*V97*Y97*VLOOKUP('Données projet'!$B$9,Paramètres!$A$1:$I$89,3,0)*0.475*44/12</f>
        <v>8.7268937313133242E-5</v>
      </c>
      <c r="AC97" s="22">
        <f t="shared" si="57"/>
        <v>139.77867286300773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179.4725256147085</v>
      </c>
      <c r="AO97" s="59">
        <f t="shared" si="90"/>
        <v>282.16750121151176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73.637128881843722</v>
      </c>
      <c r="AV97" s="21">
        <f>EXP(-LN(2)/25)*AV96+(1-EXP(-LN(2)/25))/(LN(2)/25)*Calculateur!AQ97*Calculateur!AS97*VLOOKUP('Données projet'!$B$10,Paramètres!$A$1:$I$89,3,0)*0.475*44/12</f>
        <v>19.036130020222991</v>
      </c>
      <c r="AW97" s="21">
        <f>EXP(-LN(2)/2)*AW96+(1-EXP(-LN(2)/2))/(LN(2)/2)*AQ97*AT97*VLOOKUP('Données projet'!$B$10,Paramètres!$A$1:$I$89,3,0)*0.475*44/12</f>
        <v>3.289825277307447E-4</v>
      </c>
      <c r="AX97" s="21">
        <f t="shared" si="60"/>
        <v>92.673587884594454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1.064108801074326E-13</v>
      </c>
      <c r="BF97" s="13">
        <f t="shared" si="91"/>
        <v>1.5870730813698654E-12</v>
      </c>
      <c r="BG97" s="20">
        <f t="shared" si="61"/>
        <v>2.9494845662396269E-12</v>
      </c>
      <c r="BH97" s="59">
        <f t="shared" si="62"/>
        <v>293.33333333333627</v>
      </c>
      <c r="BI97" s="59">
        <f ca="1">AVERAGE(OFFSET($BH$3,0,0,'Données projet'!$E$11+1,1))-AVERAGE(OFFSET($H$3,0,0,'Données projet'!$E$11+1,1))</f>
        <v>227.19831549982962</v>
      </c>
      <c r="BJ97" s="59">
        <f t="shared" si="92"/>
        <v>309.84543033784564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95.151782798463856</v>
      </c>
      <c r="BQ97" s="21">
        <f>EXP(-LN(2)/25)*BQ96+(1-EXP(-LN(2)/25))/(LN(2)/25)*Calculateur!BL97*Calculateur!BN97*VLOOKUP('Données projet'!$B$11,Paramètres!$A$1:$I$89,3,0)*0.475*44/12</f>
        <v>25.955670215423456</v>
      </c>
      <c r="BR97" s="21">
        <f>EXP(-LN(2)/2)*BR96+(1-EXP(-LN(2)/2))/(LN(2)/2)*BL97*BO97*VLOOKUP('Données projet'!$B$11,Paramètres!$A$1:$I$89,3,0)*0.475*44/12</f>
        <v>9.2206751015997193E-4</v>
      </c>
      <c r="BS97" s="22">
        <f t="shared" si="63"/>
        <v>121.10837508139747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2.2737367544323206E-13</v>
      </c>
      <c r="BZ97" s="13">
        <f>BY97*VLOOKUP('Données projet'!$B$12,Paramètres!$A$1:$I$89,3,0)*VLOOKUP('Données projet'!$B$12,Paramètres!$A$1:$I$89,5,0)</f>
        <v>1.4897523215040565E-13</v>
      </c>
      <c r="CA97" s="13">
        <f t="shared" si="93"/>
        <v>2.136562777003313E-12</v>
      </c>
      <c r="CB97" s="20">
        <f t="shared" si="64"/>
        <v>3.9806453659427267E-12</v>
      </c>
      <c r="CC97" s="59">
        <f t="shared" si="65"/>
        <v>293.33333333333729</v>
      </c>
      <c r="CD97" s="59">
        <f ca="1">AVERAGE(OFFSET($CC$3,0,0,'Données projet'!$E$12+1,1))-AVERAGE(OFFSET($H$3,0,0,'Données projet'!$E$12+1,1))</f>
        <v>91.274378490051788</v>
      </c>
      <c r="CE97" s="59">
        <f t="shared" si="94"/>
        <v>126.60105012427914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15.617976530175474</v>
      </c>
      <c r="CL97" s="21">
        <f>EXP(-LN(2)/25)*CL96+(1-EXP(-LN(2)/25))/(LN(2)/25)*Calculateur!CG97*Calculateur!CI97*VLOOKUP('Données projet'!$B$12,Paramètres!$A$1:$I$89,3,0)*0.475*44/12</f>
        <v>16.14857084808423</v>
      </c>
      <c r="CM97" s="21">
        <f>EXP(-LN(2)/2)*CM96+(1-EXP(-LN(2)/2))/(LN(2)/2)*CG97*CJ97*VLOOKUP('Données projet'!$B$12,Paramètres!$A$1:$I$89,3,0)*0.475*44/12</f>
        <v>6.272982411723607</v>
      </c>
      <c r="CN97" s="22">
        <f t="shared" si="66"/>
        <v>38.039529789983305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350.09239406910712</v>
      </c>
      <c r="T98" s="59">
        <f t="shared" si="88"/>
        <v>473.30663081727369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109.54767359573449</v>
      </c>
      <c r="AA98" s="21">
        <f>EXP(-LN(2)/25)*AA97+(1-EXP(-LN(2)/25))/(LN(2)/25)*Calculateur!V98*Calculateur!X98*VLOOKUP('Données projet'!$B$9,Paramètres!$A$1:$I$89,3,0)*0.475*44/12</f>
        <v>27.273032898771767</v>
      </c>
      <c r="AB98" s="21">
        <f>EXP(-LN(2)/2)*AB97+(1-EXP(-LN(2)/2))/(LN(2)/2)*V98*Y98*VLOOKUP('Données projet'!$B$9,Paramètres!$A$1:$I$89,3,0)*0.475*44/12</f>
        <v>6.1708457361060238E-5</v>
      </c>
      <c r="AC98" s="22">
        <f t="shared" si="57"/>
        <v>136.82076820296362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179.4725256147085</v>
      </c>
      <c r="AO98" s="59">
        <f t="shared" si="90"/>
        <v>282.16750121151176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72.193149698684479</v>
      </c>
      <c r="AV98" s="21">
        <f>EXP(-LN(2)/25)*AV97+(1-EXP(-LN(2)/25))/(LN(2)/25)*Calculateur!AQ98*Calculateur!AS98*VLOOKUP('Données projet'!$B$10,Paramètres!$A$1:$I$89,3,0)*0.475*44/12</f>
        <v>18.515586043753423</v>
      </c>
      <c r="AW98" s="21">
        <f>EXP(-LN(2)/2)*AW97+(1-EXP(-LN(2)/2))/(LN(2)/2)*AQ98*AT98*VLOOKUP('Données projet'!$B$10,Paramètres!$A$1:$I$89,3,0)*0.475*44/12</f>
        <v>2.3262577625030102E-4</v>
      </c>
      <c r="AX98" s="21">
        <f t="shared" si="60"/>
        <v>90.708968368214158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1.064108801074326E-13</v>
      </c>
      <c r="BF98" s="13">
        <f t="shared" si="91"/>
        <v>1.5870730813698654E-12</v>
      </c>
      <c r="BG98" s="20">
        <f t="shared" si="61"/>
        <v>2.9494845662396269E-12</v>
      </c>
      <c r="BH98" s="59">
        <f t="shared" si="62"/>
        <v>293.33333333333627</v>
      </c>
      <c r="BI98" s="59">
        <f ca="1">AVERAGE(OFFSET($BH$3,0,0,'Données projet'!$E$11+1,1))-AVERAGE(OFFSET($H$3,0,0,'Données projet'!$E$11+1,1))</f>
        <v>227.19831549982962</v>
      </c>
      <c r="BJ98" s="59">
        <f t="shared" si="92"/>
        <v>309.84543033784564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93.285914374642829</v>
      </c>
      <c r="BQ98" s="21">
        <f>EXP(-LN(2)/25)*BQ97+(1-EXP(-LN(2)/25))/(LN(2)/25)*Calculateur!BL98*Calculateur!BN98*VLOOKUP('Données projet'!$B$11,Paramètres!$A$1:$I$89,3,0)*0.475*44/12</f>
        <v>25.245911048433328</v>
      </c>
      <c r="BR98" s="21">
        <f>EXP(-LN(2)/2)*BR97+(1-EXP(-LN(2)/2))/(LN(2)/2)*BL98*BO98*VLOOKUP('Données projet'!$B$11,Paramètres!$A$1:$I$89,3,0)*0.475*44/12</f>
        <v>6.5200018914591195E-4</v>
      </c>
      <c r="BS98" s="22">
        <f t="shared" si="63"/>
        <v>118.53247742326531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2.2737367544323206E-13</v>
      </c>
      <c r="BZ98" s="13">
        <f>BY98*VLOOKUP('Données projet'!$B$12,Paramètres!$A$1:$I$89,3,0)*VLOOKUP('Données projet'!$B$12,Paramètres!$A$1:$I$89,5,0)</f>
        <v>1.4897523215040565E-13</v>
      </c>
      <c r="CA98" s="13">
        <f t="shared" si="93"/>
        <v>2.136562777003313E-12</v>
      </c>
      <c r="CB98" s="20">
        <f t="shared" si="64"/>
        <v>3.9806453659427267E-12</v>
      </c>
      <c r="CC98" s="59">
        <f t="shared" si="65"/>
        <v>293.33333333333729</v>
      </c>
      <c r="CD98" s="59">
        <f ca="1">AVERAGE(OFFSET($CC$3,0,0,'Données projet'!$E$12+1,1))-AVERAGE(OFFSET($H$3,0,0,'Données projet'!$E$12+1,1))</f>
        <v>91.274378490051788</v>
      </c>
      <c r="CE98" s="59">
        <f t="shared" si="94"/>
        <v>126.60105012427914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15.311717536443799</v>
      </c>
      <c r="CL98" s="21">
        <f>EXP(-LN(2)/25)*CL97+(1-EXP(-LN(2)/25))/(LN(2)/25)*Calculateur!CG98*Calculateur!CI98*VLOOKUP('Données projet'!$B$12,Paramètres!$A$1:$I$89,3,0)*0.475*44/12</f>
        <v>15.706987329026934</v>
      </c>
      <c r="CM98" s="21">
        <f>EXP(-LN(2)/2)*CM97+(1-EXP(-LN(2)/2))/(LN(2)/2)*CG98*CJ98*VLOOKUP('Données projet'!$B$12,Paramètres!$A$1:$I$89,3,0)*0.475*44/12</f>
        <v>4.4356684015937065</v>
      </c>
      <c r="CN98" s="22">
        <f t="shared" si="66"/>
        <v>35.45437326706444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350.09239406910712</v>
      </c>
      <c r="T99" s="59">
        <f t="shared" si="88"/>
        <v>473.30663081727369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107.39951053400536</v>
      </c>
      <c r="AA99" s="21">
        <f>EXP(-LN(2)/25)*AA98+(1-EXP(-LN(2)/25))/(LN(2)/25)*Calculateur!V99*Calculateur!X99*VLOOKUP('Données projet'!$B$9,Paramètres!$A$1:$I$89,3,0)*0.475*44/12</f>
        <v>26.527250379928386</v>
      </c>
      <c r="AB99" s="21">
        <f>EXP(-LN(2)/2)*AB98+(1-EXP(-LN(2)/2))/(LN(2)/2)*V99*Y99*VLOOKUP('Données projet'!$B$9,Paramètres!$A$1:$I$89,3,0)*0.475*44/12</f>
        <v>4.3634468656566621E-5</v>
      </c>
      <c r="AC99" s="22">
        <f t="shared" si="57"/>
        <v>133.9268045484024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179.4725256147085</v>
      </c>
      <c r="AO99" s="59">
        <f t="shared" si="90"/>
        <v>282.16750121151176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70.777486066566652</v>
      </c>
      <c r="AV99" s="21">
        <f>EXP(-LN(2)/25)*AV98+(1-EXP(-LN(2)/25))/(LN(2)/25)*Calculateur!AQ99*Calculateur!AS99*VLOOKUP('Données projet'!$B$10,Paramètres!$A$1:$I$89,3,0)*0.475*44/12</f>
        <v>18.009276369694632</v>
      </c>
      <c r="AW99" s="21">
        <f>EXP(-LN(2)/2)*AW98+(1-EXP(-LN(2)/2))/(LN(2)/2)*AQ99*AT99*VLOOKUP('Données projet'!$B$10,Paramètres!$A$1:$I$89,3,0)*0.475*44/12</f>
        <v>1.6449126386537238E-4</v>
      </c>
      <c r="AX99" s="21">
        <f t="shared" si="60"/>
        <v>88.786926927525144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1.064108801074326E-13</v>
      </c>
      <c r="BF99" s="13">
        <f t="shared" si="91"/>
        <v>1.5870730813698654E-12</v>
      </c>
      <c r="BG99" s="20">
        <f t="shared" si="61"/>
        <v>2.9494845662396269E-12</v>
      </c>
      <c r="BH99" s="59">
        <f t="shared" si="62"/>
        <v>293.33333333333627</v>
      </c>
      <c r="BI99" s="59">
        <f ca="1">AVERAGE(OFFSET($BH$3,0,0,'Données projet'!$E$11+1,1))-AVERAGE(OFFSET($H$3,0,0,'Données projet'!$E$11+1,1))</f>
        <v>227.19831549982962</v>
      </c>
      <c r="BJ99" s="59">
        <f t="shared" si="92"/>
        <v>309.84543033784564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91.456634492545561</v>
      </c>
      <c r="BQ99" s="21">
        <f>EXP(-LN(2)/25)*BQ98+(1-EXP(-LN(2)/25))/(LN(2)/25)*Calculateur!BL99*Calculateur!BN99*VLOOKUP('Données projet'!$B$11,Paramètres!$A$1:$I$89,3,0)*0.475*44/12</f>
        <v>24.555560283189156</v>
      </c>
      <c r="BR99" s="21">
        <f>EXP(-LN(2)/2)*BR98+(1-EXP(-LN(2)/2))/(LN(2)/2)*BL99*BO99*VLOOKUP('Données projet'!$B$11,Paramètres!$A$1:$I$89,3,0)*0.475*44/12</f>
        <v>4.6103375507998597E-4</v>
      </c>
      <c r="BS99" s="22">
        <f t="shared" si="63"/>
        <v>116.01265580948979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2.2737367544323206E-13</v>
      </c>
      <c r="BZ99" s="13">
        <f>BY99*VLOOKUP('Données projet'!$B$12,Paramètres!$A$1:$I$89,3,0)*VLOOKUP('Données projet'!$B$12,Paramètres!$A$1:$I$89,5,0)</f>
        <v>1.4897523215040565E-13</v>
      </c>
      <c r="CA99" s="13">
        <f t="shared" si="93"/>
        <v>2.136562777003313E-12</v>
      </c>
      <c r="CB99" s="20">
        <f t="shared" si="64"/>
        <v>3.9806453659427267E-12</v>
      </c>
      <c r="CC99" s="59">
        <f t="shared" si="65"/>
        <v>293.33333333333729</v>
      </c>
      <c r="CD99" s="59">
        <f ca="1">AVERAGE(OFFSET($CC$3,0,0,'Données projet'!$E$12+1,1))-AVERAGE(OFFSET($H$3,0,0,'Données projet'!$E$12+1,1))</f>
        <v>91.274378490051788</v>
      </c>
      <c r="CE99" s="59">
        <f t="shared" si="94"/>
        <v>126.60105012427914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15.011464094779662</v>
      </c>
      <c r="CL99" s="21">
        <f>EXP(-LN(2)/25)*CL98+(1-EXP(-LN(2)/25))/(LN(2)/25)*Calculateur!CG99*Calculateur!CI99*VLOOKUP('Données projet'!$B$12,Paramètres!$A$1:$I$89,3,0)*0.475*44/12</f>
        <v>15.277478934520127</v>
      </c>
      <c r="CM99" s="21">
        <f>EXP(-LN(2)/2)*CM98+(1-EXP(-LN(2)/2))/(LN(2)/2)*CG99*CJ99*VLOOKUP('Données projet'!$B$12,Paramètres!$A$1:$I$89,3,0)*0.475*44/12</f>
        <v>3.1364912058618044</v>
      </c>
      <c r="CN99" s="22">
        <f t="shared" si="66"/>
        <v>33.425434235161589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350.09239406910712</v>
      </c>
      <c r="T100" s="59">
        <f t="shared" si="88"/>
        <v>473.30663081727369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105.29347163966663</v>
      </c>
      <c r="AA100" s="21">
        <f>EXP(-LN(2)/25)*AA99+(1-EXP(-LN(2)/25))/(LN(2)/25)*Calculateur!V100*Calculateur!X100*VLOOKUP('Données projet'!$B$9,Paramètres!$A$1:$I$89,3,0)*0.475*44/12</f>
        <v>25.801861323281777</v>
      </c>
      <c r="AB100" s="21">
        <f>EXP(-LN(2)/2)*AB99+(1-EXP(-LN(2)/2))/(LN(2)/2)*V100*Y100*VLOOKUP('Données projet'!$B$9,Paramètres!$A$1:$I$89,3,0)*0.475*44/12</f>
        <v>3.0854228680530119E-5</v>
      </c>
      <c r="AC100" s="22">
        <f t="shared" si="57"/>
        <v>131.09536381717709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179.4725256147085</v>
      </c>
      <c r="AO100" s="59">
        <f t="shared" si="90"/>
        <v>282.16750121151176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69.389582734805103</v>
      </c>
      <c r="AV100" s="21">
        <f>EXP(-LN(2)/25)*AV99+(1-EXP(-LN(2)/25))/(LN(2)/25)*Calculateur!AQ100*Calculateur!AS100*VLOOKUP('Données projet'!$B$10,Paramètres!$A$1:$I$89,3,0)*0.475*44/12</f>
        <v>17.516811760298648</v>
      </c>
      <c r="AW100" s="21">
        <f>EXP(-LN(2)/2)*AW99+(1-EXP(-LN(2)/2))/(LN(2)/2)*AQ100*AT100*VLOOKUP('Données projet'!$B$10,Paramètres!$A$1:$I$89,3,0)*0.475*44/12</f>
        <v>1.1631288812515052E-4</v>
      </c>
      <c r="AX100" s="21">
        <f t="shared" si="60"/>
        <v>86.906510807991879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1.064108801074326E-13</v>
      </c>
      <c r="BF100" s="13">
        <f t="shared" si="91"/>
        <v>1.5870730813698654E-12</v>
      </c>
      <c r="BG100" s="20">
        <f t="shared" si="61"/>
        <v>2.9494845662396269E-12</v>
      </c>
      <c r="BH100" s="59">
        <f t="shared" si="62"/>
        <v>293.33333333333627</v>
      </c>
      <c r="BI100" s="59">
        <f ca="1">AVERAGE(OFFSET($BH$3,0,0,'Données projet'!$E$11+1,1))-AVERAGE(OFFSET($H$3,0,0,'Données projet'!$E$11+1,1))</f>
        <v>227.19831549982962</v>
      </c>
      <c r="BJ100" s="59">
        <f t="shared" si="92"/>
        <v>309.84543033784564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89.663225673185664</v>
      </c>
      <c r="BQ100" s="21">
        <f>EXP(-LN(2)/25)*BQ99+(1-EXP(-LN(2)/25))/(LN(2)/25)*Calculateur!BL100*Calculateur!BN100*VLOOKUP('Données projet'!$B$11,Paramètres!$A$1:$I$89,3,0)*0.475*44/12</f>
        <v>23.884087195924554</v>
      </c>
      <c r="BR100" s="21">
        <f>EXP(-LN(2)/2)*BR99+(1-EXP(-LN(2)/2))/(LN(2)/2)*BL100*BO100*VLOOKUP('Données projet'!$B$11,Paramètres!$A$1:$I$89,3,0)*0.475*44/12</f>
        <v>3.2600009457295598E-4</v>
      </c>
      <c r="BS100" s="22">
        <f t="shared" si="63"/>
        <v>113.54763886920479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2.2737367544323206E-13</v>
      </c>
      <c r="BZ100" s="13">
        <f>BY100*VLOOKUP('Données projet'!$B$12,Paramètres!$A$1:$I$89,3,0)*VLOOKUP('Données projet'!$B$12,Paramètres!$A$1:$I$89,5,0)</f>
        <v>1.4897523215040565E-13</v>
      </c>
      <c r="CA100" s="13">
        <f t="shared" si="93"/>
        <v>2.136562777003313E-12</v>
      </c>
      <c r="CB100" s="20">
        <f t="shared" si="64"/>
        <v>3.9806453659427267E-12</v>
      </c>
      <c r="CC100" s="59">
        <f t="shared" si="65"/>
        <v>293.33333333333729</v>
      </c>
      <c r="CD100" s="59">
        <f ca="1">AVERAGE(OFFSET($CC$3,0,0,'Données projet'!$E$12+1,1))-AVERAGE(OFFSET($H$3,0,0,'Données projet'!$E$12+1,1))</f>
        <v>91.274378490051788</v>
      </c>
      <c r="CE100" s="59">
        <f t="shared" si="94"/>
        <v>126.60105012427914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14.717098439970041</v>
      </c>
      <c r="CL100" s="21">
        <f>EXP(-LN(2)/25)*CL99+(1-EXP(-LN(2)/25))/(LN(2)/25)*Calculateur!CG100*Calculateur!CI100*VLOOKUP('Données projet'!$B$12,Paramètres!$A$1:$I$89,3,0)*0.475*44/12</f>
        <v>14.859715469647975</v>
      </c>
      <c r="CM100" s="21">
        <f>EXP(-LN(2)/2)*CM99+(1-EXP(-LN(2)/2))/(LN(2)/2)*CG100*CJ100*VLOOKUP('Données projet'!$B$12,Paramètres!$A$1:$I$89,3,0)*0.475*44/12</f>
        <v>2.2178342007968537</v>
      </c>
      <c r="CN100" s="22">
        <f t="shared" si="66"/>
        <v>31.794648110414872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350.09239406910712</v>
      </c>
      <c r="T101" s="59">
        <f t="shared" si="88"/>
        <v>473.30663081727369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103.22873088348901</v>
      </c>
      <c r="AA101" s="21">
        <f>EXP(-LN(2)/25)*AA100+(1-EXP(-LN(2)/25))/(LN(2)/25)*Calculateur!V101*Calculateur!X101*VLOOKUP('Données projet'!$B$9,Paramètres!$A$1:$I$89,3,0)*0.475*44/12</f>
        <v>25.09630806853572</v>
      </c>
      <c r="AB101" s="21">
        <f>EXP(-LN(2)/2)*AB100+(1-EXP(-LN(2)/2))/(LN(2)/2)*V101*Y101*VLOOKUP('Données projet'!$B$9,Paramètres!$A$1:$I$89,3,0)*0.475*44/12</f>
        <v>2.1817234328283311E-5</v>
      </c>
      <c r="AC101" s="22">
        <f t="shared" si="57"/>
        <v>128.32506076925907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179.4725256147085</v>
      </c>
      <c r="AO101" s="59">
        <f t="shared" si="90"/>
        <v>282.16750121151176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68.028895340841942</v>
      </c>
      <c r="AV101" s="21">
        <f>EXP(-LN(2)/25)*AV100+(1-EXP(-LN(2)/25))/(LN(2)/25)*Calculateur!AQ101*Calculateur!AS101*VLOOKUP('Données projet'!$B$10,Paramètres!$A$1:$I$89,3,0)*0.475*44/12</f>
        <v>17.037813621544185</v>
      </c>
      <c r="AW101" s="21">
        <f>EXP(-LN(2)/2)*AW100+(1-EXP(-LN(2)/2))/(LN(2)/2)*AQ101*AT101*VLOOKUP('Données projet'!$B$10,Paramètres!$A$1:$I$89,3,0)*0.475*44/12</f>
        <v>8.2245631932686202E-5</v>
      </c>
      <c r="AX101" s="21">
        <f t="shared" si="60"/>
        <v>85.06679120801806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1.064108801074326E-13</v>
      </c>
      <c r="BF101" s="13">
        <f t="shared" si="91"/>
        <v>1.5870730813698654E-12</v>
      </c>
      <c r="BG101" s="20">
        <f t="shared" si="61"/>
        <v>2.9494845662396269E-12</v>
      </c>
      <c r="BH101" s="59">
        <f t="shared" si="62"/>
        <v>293.33333333333627</v>
      </c>
      <c r="BI101" s="59">
        <f ca="1">AVERAGE(OFFSET($BH$3,0,0,'Données projet'!$E$11+1,1))-AVERAGE(OFFSET($H$3,0,0,'Données projet'!$E$11+1,1))</f>
        <v>227.19831549982962</v>
      </c>
      <c r="BJ101" s="59">
        <f t="shared" si="92"/>
        <v>309.84543033784564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87.904984506902053</v>
      </c>
      <c r="BQ101" s="21">
        <f>EXP(-LN(2)/25)*BQ100+(1-EXP(-LN(2)/25))/(LN(2)/25)*Calculateur!BL101*Calculateur!BN101*VLOOKUP('Données projet'!$B$11,Paramètres!$A$1:$I$89,3,0)*0.475*44/12</f>
        <v>23.230975575542438</v>
      </c>
      <c r="BR101" s="21">
        <f>EXP(-LN(2)/2)*BR100+(1-EXP(-LN(2)/2))/(LN(2)/2)*BL101*BO101*VLOOKUP('Données projet'!$B$11,Paramètres!$A$1:$I$89,3,0)*0.475*44/12</f>
        <v>2.3051687753999298E-4</v>
      </c>
      <c r="BS101" s="22">
        <f t="shared" si="63"/>
        <v>111.13619059932202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2.2737367544323206E-13</v>
      </c>
      <c r="BZ101" s="13">
        <f>BY101*VLOOKUP('Données projet'!$B$12,Paramètres!$A$1:$I$89,3,0)*VLOOKUP('Données projet'!$B$12,Paramètres!$A$1:$I$89,5,0)</f>
        <v>1.4897523215040565E-13</v>
      </c>
      <c r="CA101" s="13">
        <f t="shared" si="93"/>
        <v>2.136562777003313E-12</v>
      </c>
      <c r="CB101" s="20">
        <f t="shared" si="64"/>
        <v>3.9806453659427267E-12</v>
      </c>
      <c r="CC101" s="59">
        <f t="shared" si="65"/>
        <v>293.33333333333729</v>
      </c>
      <c r="CD101" s="59">
        <f ca="1">AVERAGE(OFFSET($CC$3,0,0,'Données projet'!$E$12+1,1))-AVERAGE(OFFSET($H$3,0,0,'Données projet'!$E$12+1,1))</f>
        <v>91.274378490051788</v>
      </c>
      <c r="CE101" s="59">
        <f t="shared" si="94"/>
        <v>126.60105012427914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14.428505116105917</v>
      </c>
      <c r="CL101" s="21">
        <f>EXP(-LN(2)/25)*CL100+(1-EXP(-LN(2)/25))/(LN(2)/25)*Calculateur!CG101*Calculateur!CI101*VLOOKUP('Données projet'!$B$12,Paramètres!$A$1:$I$89,3,0)*0.475*44/12</f>
        <v>14.453375768691977</v>
      </c>
      <c r="CM101" s="21">
        <f>EXP(-LN(2)/2)*CM100+(1-EXP(-LN(2)/2))/(LN(2)/2)*CG101*CJ101*VLOOKUP('Données projet'!$B$12,Paramètres!$A$1:$I$89,3,0)*0.475*44/12</f>
        <v>1.5682456029309024</v>
      </c>
      <c r="CN101" s="22">
        <f t="shared" si="66"/>
        <v>30.450126487728795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350.09239406910712</v>
      </c>
      <c r="T102" s="59">
        <f t="shared" si="88"/>
        <v>473.30663081727369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101.20447843417251</v>
      </c>
      <c r="AA102" s="21">
        <f>EXP(-LN(2)/25)*AA101+(1-EXP(-LN(2)/25))/(LN(2)/25)*Calculateur!V102*Calculateur!X102*VLOOKUP('Données projet'!$B$9,Paramètres!$A$1:$I$89,3,0)*0.475*44/12</f>
        <v>24.410048204644127</v>
      </c>
      <c r="AB102" s="21">
        <f>EXP(-LN(2)/2)*AB101+(1-EXP(-LN(2)/2))/(LN(2)/2)*V102*Y102*VLOOKUP('Données projet'!$B$9,Paramètres!$A$1:$I$89,3,0)*0.475*44/12</f>
        <v>1.5427114340265059E-5</v>
      </c>
      <c r="AC102" s="22">
        <f t="shared" si="57"/>
        <v>125.61454206593098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179.4725256147085</v>
      </c>
      <c r="AO102" s="59">
        <f t="shared" si="90"/>
        <v>282.16750121151176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66.694890196737049</v>
      </c>
      <c r="AV102" s="21">
        <f>EXP(-LN(2)/25)*AV101+(1-EXP(-LN(2)/25))/(LN(2)/25)*Calculateur!AQ102*Calculateur!AS102*VLOOKUP('Données projet'!$B$10,Paramètres!$A$1:$I$89,3,0)*0.475*44/12</f>
        <v>16.571913712083383</v>
      </c>
      <c r="AW102" s="21">
        <f>EXP(-LN(2)/2)*AW101+(1-EXP(-LN(2)/2))/(LN(2)/2)*AQ102*AT102*VLOOKUP('Données projet'!$B$10,Paramètres!$A$1:$I$89,3,0)*0.475*44/12</f>
        <v>5.8156444062575269E-5</v>
      </c>
      <c r="AX102" s="21">
        <f t="shared" si="60"/>
        <v>83.266862065264505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1.064108801074326E-13</v>
      </c>
      <c r="BF102" s="13">
        <f t="shared" si="91"/>
        <v>1.5870730813698654E-12</v>
      </c>
      <c r="BG102" s="20">
        <f t="shared" si="61"/>
        <v>2.9494845662396269E-12</v>
      </c>
      <c r="BH102" s="59">
        <f t="shared" si="62"/>
        <v>293.33333333333627</v>
      </c>
      <c r="BI102" s="59">
        <f ca="1">AVERAGE(OFFSET($BH$3,0,0,'Données projet'!$E$11+1,1))-AVERAGE(OFFSET($H$3,0,0,'Données projet'!$E$11+1,1))</f>
        <v>227.19831549982962</v>
      </c>
      <c r="BJ102" s="59">
        <f t="shared" si="92"/>
        <v>309.84543033784564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86.181221377468034</v>
      </c>
      <c r="BQ102" s="21">
        <f>EXP(-LN(2)/25)*BQ101+(1-EXP(-LN(2)/25))/(LN(2)/25)*Calculateur!BL102*Calculateur!BN102*VLOOKUP('Données projet'!$B$11,Paramètres!$A$1:$I$89,3,0)*0.475*44/12</f>
        <v>22.59572332676532</v>
      </c>
      <c r="BR102" s="21">
        <f>EXP(-LN(2)/2)*BR101+(1-EXP(-LN(2)/2))/(LN(2)/2)*BL102*BO102*VLOOKUP('Données projet'!$B$11,Paramètres!$A$1:$I$89,3,0)*0.475*44/12</f>
        <v>1.6300004728647799E-4</v>
      </c>
      <c r="BS102" s="22">
        <f t="shared" si="63"/>
        <v>108.77710770428064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2.2737367544323206E-13</v>
      </c>
      <c r="BZ102" s="13">
        <f>BY102*VLOOKUP('Données projet'!$B$12,Paramètres!$A$1:$I$89,3,0)*VLOOKUP('Données projet'!$B$12,Paramètres!$A$1:$I$89,5,0)</f>
        <v>1.4897523215040565E-13</v>
      </c>
      <c r="CA102" s="13">
        <f t="shared" si="93"/>
        <v>2.136562777003313E-12</v>
      </c>
      <c r="CB102" s="20">
        <f t="shared" si="64"/>
        <v>3.9806453659427267E-12</v>
      </c>
      <c r="CC102" s="59">
        <f t="shared" si="65"/>
        <v>293.33333333333729</v>
      </c>
      <c r="CD102" s="59">
        <f ca="1">AVERAGE(OFFSET($CC$3,0,0,'Données projet'!$E$12+1,1))-AVERAGE(OFFSET($H$3,0,0,'Données projet'!$E$12+1,1))</f>
        <v>91.274378490051788</v>
      </c>
      <c r="CE102" s="59">
        <f t="shared" si="94"/>
        <v>126.60105012427914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14.145570931298222</v>
      </c>
      <c r="CL102" s="21">
        <f>EXP(-LN(2)/25)*CL101+(1-EXP(-LN(2)/25))/(LN(2)/25)*Calculateur!CG102*Calculateur!CI102*VLOOKUP('Données projet'!$B$12,Paramètres!$A$1:$I$89,3,0)*0.475*44/12</f>
        <v>14.058147448227096</v>
      </c>
      <c r="CM102" s="21">
        <f>EXP(-LN(2)/2)*CM101+(1-EXP(-LN(2)/2))/(LN(2)/2)*CG102*CJ102*VLOOKUP('Données projet'!$B$12,Paramètres!$A$1:$I$89,3,0)*0.475*44/12</f>
        <v>1.1089171003984271</v>
      </c>
      <c r="CN102" s="22">
        <f t="shared" si="66"/>
        <v>29.312635479923745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350.09239406910712</v>
      </c>
      <c r="T103" s="59">
        <f t="shared" si="88"/>
        <v>473.30663081727369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99.219920340715035</v>
      </c>
      <c r="AA103" s="21">
        <f>EXP(-LN(2)/25)*AA102+(1-EXP(-LN(2)/25))/(LN(2)/25)*Calculateur!V103*Calculateur!X103*VLOOKUP('Données projet'!$B$9,Paramètres!$A$1:$I$89,3,0)*0.475*44/12</f>
        <v>23.742554152819487</v>
      </c>
      <c r="AB103" s="21">
        <f>EXP(-LN(2)/2)*AB102+(1-EXP(-LN(2)/2))/(LN(2)/2)*V103*Y103*VLOOKUP('Données projet'!$B$9,Paramètres!$A$1:$I$89,3,0)*0.475*44/12</f>
        <v>1.0908617164141655E-5</v>
      </c>
      <c r="AC103" s="22">
        <f t="shared" si="57"/>
        <v>122.9624854021517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179.4725256147085</v>
      </c>
      <c r="AO103" s="59">
        <f t="shared" si="90"/>
        <v>282.16750121151176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65.387044079845253</v>
      </c>
      <c r="AV103" s="21">
        <f>EXP(-LN(2)/25)*AV102+(1-EXP(-LN(2)/25))/(LN(2)/25)*Calculateur!AQ103*Calculateur!AS103*VLOOKUP('Données projet'!$B$10,Paramètres!$A$1:$I$89,3,0)*0.475*44/12</f>
        <v>16.118753860147397</v>
      </c>
      <c r="AW103" s="21">
        <f>EXP(-LN(2)/2)*AW102+(1-EXP(-LN(2)/2))/(LN(2)/2)*AQ103*AT103*VLOOKUP('Données projet'!$B$10,Paramètres!$A$1:$I$89,3,0)*0.475*44/12</f>
        <v>4.1122815966343101E-5</v>
      </c>
      <c r="AX103" s="21">
        <f t="shared" si="60"/>
        <v>81.505839062808619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1.064108801074326E-13</v>
      </c>
      <c r="BF103" s="13">
        <f t="shared" si="91"/>
        <v>1.5870730813698654E-12</v>
      </c>
      <c r="BG103" s="20">
        <f t="shared" si="61"/>
        <v>2.9494845662396269E-12</v>
      </c>
      <c r="BH103" s="59">
        <f t="shared" si="62"/>
        <v>293.33333333333627</v>
      </c>
      <c r="BI103" s="59">
        <f ca="1">AVERAGE(OFFSET($BH$3,0,0,'Données projet'!$E$11+1,1))-AVERAGE(OFFSET($H$3,0,0,'Données projet'!$E$11+1,1))</f>
        <v>227.19831549982962</v>
      </c>
      <c r="BJ103" s="59">
        <f t="shared" si="92"/>
        <v>309.84543033784564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84.491260191610536</v>
      </c>
      <c r="BQ103" s="21">
        <f>EXP(-LN(2)/25)*BQ102+(1-EXP(-LN(2)/25))/(LN(2)/25)*Calculateur!BL103*Calculateur!BN103*VLOOKUP('Données projet'!$B$11,Paramètres!$A$1:$I$89,3,0)*0.475*44/12</f>
        <v>21.977842084137475</v>
      </c>
      <c r="BR103" s="21">
        <f>EXP(-LN(2)/2)*BR102+(1-EXP(-LN(2)/2))/(LN(2)/2)*BL103*BO103*VLOOKUP('Données projet'!$B$11,Paramètres!$A$1:$I$89,3,0)*0.475*44/12</f>
        <v>1.1525843876999649E-4</v>
      </c>
      <c r="BS103" s="22">
        <f t="shared" si="63"/>
        <v>106.46921753418678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2.2737367544323206E-13</v>
      </c>
      <c r="BZ103" s="13">
        <f>BY103*VLOOKUP('Données projet'!$B$12,Paramètres!$A$1:$I$89,3,0)*VLOOKUP('Données projet'!$B$12,Paramètres!$A$1:$I$89,5,0)</f>
        <v>1.4897523215040565E-13</v>
      </c>
      <c r="CA103" s="13">
        <f t="shared" si="93"/>
        <v>2.136562777003313E-12</v>
      </c>
      <c r="CB103" s="20">
        <f t="shared" si="64"/>
        <v>3.9806453659427267E-12</v>
      </c>
      <c r="CC103" s="59">
        <f t="shared" si="65"/>
        <v>293.33333333333729</v>
      </c>
      <c r="CD103" s="59">
        <f ca="1">AVERAGE(OFFSET($CC$3,0,0,'Données projet'!$E$12+1,1))-AVERAGE(OFFSET($H$3,0,0,'Données projet'!$E$12+1,1))</f>
        <v>91.274378490051788</v>
      </c>
      <c r="CE103" s="59">
        <f t="shared" si="94"/>
        <v>126.60105012427914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13.868184913281793</v>
      </c>
      <c r="CL103" s="21">
        <f>EXP(-LN(2)/25)*CL102+(1-EXP(-LN(2)/25))/(LN(2)/25)*Calculateur!CG103*Calculateur!CI103*VLOOKUP('Données projet'!$B$12,Paramètres!$A$1:$I$89,3,0)*0.475*44/12</f>
        <v>13.673726666969483</v>
      </c>
      <c r="CM103" s="21">
        <f>EXP(-LN(2)/2)*CM102+(1-EXP(-LN(2)/2))/(LN(2)/2)*CG103*CJ103*VLOOKUP('Données projet'!$B$12,Paramètres!$A$1:$I$89,3,0)*0.475*44/12</f>
        <v>0.78412280146545132</v>
      </c>
      <c r="CN103" s="22">
        <f t="shared" si="66"/>
        <v>28.326034381716724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350.09239406910712</v>
      </c>
      <c r="T104" s="59">
        <f t="shared" si="88"/>
        <v>473.30663081727369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97.274278221009354</v>
      </c>
      <c r="AA104" s="21">
        <f>EXP(-LN(2)/25)*AA103+(1-EXP(-LN(2)/25))/(LN(2)/25)*Calculateur!V104*Calculateur!X104*VLOOKUP('Données projet'!$B$9,Paramètres!$A$1:$I$89,3,0)*0.475*44/12</f>
        <v>23.093312760943981</v>
      </c>
      <c r="AB104" s="21">
        <f>EXP(-LN(2)/2)*AB103+(1-EXP(-LN(2)/2))/(LN(2)/2)*V104*Y104*VLOOKUP('Données projet'!$B$9,Paramètres!$A$1:$I$89,3,0)*0.475*44/12</f>
        <v>7.7135571701325297E-6</v>
      </c>
      <c r="AC104" s="22">
        <f t="shared" si="57"/>
        <v>120.36759869551049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179.4725256147085</v>
      </c>
      <c r="AO104" s="59">
        <f t="shared" si="90"/>
        <v>282.16750121151176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64.104844027598347</v>
      </c>
      <c r="AV104" s="21">
        <f>EXP(-LN(2)/25)*AV103+(1-EXP(-LN(2)/25))/(LN(2)/25)*Calculateur!AQ104*Calculateur!AS104*VLOOKUP('Données projet'!$B$10,Paramètres!$A$1:$I$89,3,0)*0.475*44/12</f>
        <v>15.677985688193241</v>
      </c>
      <c r="AW104" s="21">
        <f>EXP(-LN(2)/2)*AW103+(1-EXP(-LN(2)/2))/(LN(2)/2)*AQ104*AT104*VLOOKUP('Données projet'!$B$10,Paramètres!$A$1:$I$89,3,0)*0.475*44/12</f>
        <v>2.9078222031287634E-5</v>
      </c>
      <c r="AX104" s="21">
        <f t="shared" si="60"/>
        <v>79.78285879401362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1.064108801074326E-13</v>
      </c>
      <c r="BF104" s="13">
        <f t="shared" si="91"/>
        <v>1.5870730813698654E-12</v>
      </c>
      <c r="BG104" s="20">
        <f t="shared" si="61"/>
        <v>2.9494845662396269E-12</v>
      </c>
      <c r="BH104" s="59">
        <f t="shared" si="62"/>
        <v>293.33333333333627</v>
      </c>
      <c r="BI104" s="59">
        <f ca="1">AVERAGE(OFFSET($BH$3,0,0,'Données projet'!$E$11+1,1))-AVERAGE(OFFSET($H$3,0,0,'Données projet'!$E$11+1,1))</f>
        <v>227.19831549982962</v>
      </c>
      <c r="BJ104" s="59">
        <f t="shared" si="92"/>
        <v>309.84543033784564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82.834438113833158</v>
      </c>
      <c r="BQ104" s="21">
        <f>EXP(-LN(2)/25)*BQ103+(1-EXP(-LN(2)/25))/(LN(2)/25)*Calculateur!BL104*Calculateur!BN104*VLOOKUP('Données projet'!$B$11,Paramètres!$A$1:$I$89,3,0)*0.475*44/12</f>
        <v>21.376856836582252</v>
      </c>
      <c r="BR104" s="21">
        <f>EXP(-LN(2)/2)*BR103+(1-EXP(-LN(2)/2))/(LN(2)/2)*BL104*BO104*VLOOKUP('Données projet'!$B$11,Paramètres!$A$1:$I$89,3,0)*0.475*44/12</f>
        <v>8.1500023643238994E-5</v>
      </c>
      <c r="BS104" s="22">
        <f t="shared" si="63"/>
        <v>104.21137645043905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2.2737367544323206E-13</v>
      </c>
      <c r="BZ104" s="13">
        <f>BY104*VLOOKUP('Données projet'!$B$12,Paramètres!$A$1:$I$89,3,0)*VLOOKUP('Données projet'!$B$12,Paramètres!$A$1:$I$89,5,0)</f>
        <v>1.4897523215040565E-13</v>
      </c>
      <c r="CA104" s="13">
        <f t="shared" si="93"/>
        <v>2.136562777003313E-12</v>
      </c>
      <c r="CB104" s="20">
        <f t="shared" si="64"/>
        <v>3.9806453659427267E-12</v>
      </c>
      <c r="CC104" s="59">
        <f t="shared" si="65"/>
        <v>293.33333333333729</v>
      </c>
      <c r="CD104" s="59">
        <f ca="1">AVERAGE(OFFSET($CC$3,0,0,'Données projet'!$E$12+1,1))-AVERAGE(OFFSET($H$3,0,0,'Données projet'!$E$12+1,1))</f>
        <v>91.274378490051788</v>
      </c>
      <c r="CE104" s="59">
        <f t="shared" si="94"/>
        <v>126.60105012427914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13.596238265889902</v>
      </c>
      <c r="CL104" s="21">
        <f>EXP(-LN(2)/25)*CL103+(1-EXP(-LN(2)/25))/(LN(2)/25)*Calculateur!CG104*Calculateur!CI104*VLOOKUP('Données projet'!$B$12,Paramètres!$A$1:$I$89,3,0)*0.475*44/12</f>
        <v>13.299817892191168</v>
      </c>
      <c r="CM104" s="21">
        <f>EXP(-LN(2)/2)*CM103+(1-EXP(-LN(2)/2))/(LN(2)/2)*CG104*CJ104*VLOOKUP('Données projet'!$B$12,Paramètres!$A$1:$I$89,3,0)*0.475*44/12</f>
        <v>0.55445855019921353</v>
      </c>
      <c r="CN104" s="22">
        <f t="shared" si="66"/>
        <v>27.450514708280284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350.09239406910712</v>
      </c>
      <c r="T105" s="59">
        <f t="shared" si="88"/>
        <v>473.30663081727369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95.366788956546586</v>
      </c>
      <c r="AA105" s="21">
        <f>EXP(-LN(2)/25)*AA104+(1-EXP(-LN(2)/25))/(LN(2)/25)*Calculateur!V105*Calculateur!X105*VLOOKUP('Données projet'!$B$9,Paramètres!$A$1:$I$89,3,0)*0.475*44/12</f>
        <v>22.461824909071431</v>
      </c>
      <c r="AB105" s="21">
        <f>EXP(-LN(2)/2)*AB104+(1-EXP(-LN(2)/2))/(LN(2)/2)*V105*Y105*VLOOKUP('Données projet'!$B$9,Paramètres!$A$1:$I$89,3,0)*0.475*44/12</f>
        <v>5.4543085820708277E-6</v>
      </c>
      <c r="AC105" s="22">
        <f t="shared" si="57"/>
        <v>117.8286193199266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179.4725256147085</v>
      </c>
      <c r="AO105" s="59">
        <f t="shared" si="90"/>
        <v>282.16750121151176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62.847787136311183</v>
      </c>
      <c r="AV105" s="21">
        <f>EXP(-LN(2)/25)*AV104+(1-EXP(-LN(2)/25))/(LN(2)/25)*Calculateur!AQ105*Calculateur!AS105*VLOOKUP('Données projet'!$B$10,Paramètres!$A$1:$I$89,3,0)*0.475*44/12</f>
        <v>15.249270345080161</v>
      </c>
      <c r="AW105" s="21">
        <f>EXP(-LN(2)/2)*AW104+(1-EXP(-LN(2)/2))/(LN(2)/2)*AQ105*AT105*VLOOKUP('Données projet'!$B$10,Paramètres!$A$1:$I$89,3,0)*0.475*44/12</f>
        <v>2.056140798317155E-5</v>
      </c>
      <c r="AX105" s="21">
        <f t="shared" si="60"/>
        <v>78.097078042799325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1.064108801074326E-13</v>
      </c>
      <c r="BF105" s="13">
        <f t="shared" si="91"/>
        <v>1.5870730813698654E-12</v>
      </c>
      <c r="BG105" s="20">
        <f t="shared" si="61"/>
        <v>2.9494845662396269E-12</v>
      </c>
      <c r="BH105" s="59">
        <f t="shared" si="62"/>
        <v>293.33333333333627</v>
      </c>
      <c r="BI105" s="59">
        <f ca="1">AVERAGE(OFFSET($BH$3,0,0,'Données projet'!$E$11+1,1))-AVERAGE(OFFSET($H$3,0,0,'Données projet'!$E$11+1,1))</f>
        <v>227.19831549982962</v>
      </c>
      <c r="BJ105" s="59">
        <f t="shared" si="92"/>
        <v>309.84543033784564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81.210105306439303</v>
      </c>
      <c r="BQ105" s="21">
        <f>EXP(-LN(2)/25)*BQ104+(1-EXP(-LN(2)/25))/(LN(2)/25)*Calculateur!BL105*Calculateur!BN105*VLOOKUP('Données projet'!$B$11,Paramètres!$A$1:$I$89,3,0)*0.475*44/12</f>
        <v>20.792305562225867</v>
      </c>
      <c r="BR105" s="21">
        <f>EXP(-LN(2)/2)*BR104+(1-EXP(-LN(2)/2))/(LN(2)/2)*BL105*BO105*VLOOKUP('Données projet'!$B$11,Paramètres!$A$1:$I$89,3,0)*0.475*44/12</f>
        <v>5.7629219384998246E-5</v>
      </c>
      <c r="BS105" s="22">
        <f t="shared" si="63"/>
        <v>102.00246849788455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2.2737367544323206E-13</v>
      </c>
      <c r="BZ105" s="13">
        <f>BY105*VLOOKUP('Données projet'!$B$12,Paramètres!$A$1:$I$89,3,0)*VLOOKUP('Données projet'!$B$12,Paramètres!$A$1:$I$89,5,0)</f>
        <v>1.4897523215040565E-13</v>
      </c>
      <c r="CA105" s="13">
        <f t="shared" si="93"/>
        <v>2.136562777003313E-12</v>
      </c>
      <c r="CB105" s="20">
        <f t="shared" si="64"/>
        <v>3.9806453659427267E-12</v>
      </c>
      <c r="CC105" s="59">
        <f t="shared" si="65"/>
        <v>293.33333333333729</v>
      </c>
      <c r="CD105" s="59">
        <f ca="1">AVERAGE(OFFSET($CC$3,0,0,'Données projet'!$E$12+1,1))-AVERAGE(OFFSET($H$3,0,0,'Données projet'!$E$12+1,1))</f>
        <v>91.274378490051788</v>
      </c>
      <c r="CE105" s="59">
        <f t="shared" si="94"/>
        <v>126.60105012427914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13.329624326382289</v>
      </c>
      <c r="CL105" s="21">
        <f>EXP(-LN(2)/25)*CL104+(1-EXP(-LN(2)/25))/(LN(2)/25)*Calculateur!CG105*Calculateur!CI105*VLOOKUP('Données projet'!$B$12,Paramètres!$A$1:$I$89,3,0)*0.475*44/12</f>
        <v>12.936133672522175</v>
      </c>
      <c r="CM105" s="21">
        <f>EXP(-LN(2)/2)*CM104+(1-EXP(-LN(2)/2))/(LN(2)/2)*CG105*CJ105*VLOOKUP('Données projet'!$B$12,Paramètres!$A$1:$I$89,3,0)*0.475*44/12</f>
        <v>0.39206140073272566</v>
      </c>
      <c r="CN105" s="22">
        <f t="shared" si="66"/>
        <v>26.657819399637187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350.09239406910712</v>
      </c>
      <c r="T106" s="59">
        <f t="shared" si="88"/>
        <v>473.30663081727369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93.496704393106356</v>
      </c>
      <c r="AA106" s="21">
        <f>EXP(-LN(2)/25)*AA105+(1-EXP(-LN(2)/25))/(LN(2)/25)*Calculateur!V106*Calculateur!X106*VLOOKUP('Données projet'!$B$9,Paramètres!$A$1:$I$89,3,0)*0.475*44/12</f>
        <v>21.847605125716839</v>
      </c>
      <c r="AB106" s="21">
        <f>EXP(-LN(2)/2)*AB105+(1-EXP(-LN(2)/2))/(LN(2)/2)*V106*Y106*VLOOKUP('Données projet'!$B$9,Paramètres!$A$1:$I$89,3,0)*0.475*44/12</f>
        <v>3.8567785850662649E-6</v>
      </c>
      <c r="AC106" s="22">
        <f t="shared" si="57"/>
        <v>115.34431337560179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179.4725256147085</v>
      </c>
      <c r="AO106" s="59">
        <f t="shared" si="90"/>
        <v>282.16750121151176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61.61538036393317</v>
      </c>
      <c r="AV106" s="21">
        <f>EXP(-LN(2)/25)*AV105+(1-EXP(-LN(2)/25))/(LN(2)/25)*Calculateur!AQ106*Calculateur!AS106*VLOOKUP('Données projet'!$B$10,Paramètres!$A$1:$I$89,3,0)*0.475*44/12</f>
        <v>14.83227824556967</v>
      </c>
      <c r="AW106" s="21">
        <f>EXP(-LN(2)/2)*AW105+(1-EXP(-LN(2)/2))/(LN(2)/2)*AQ106*AT106*VLOOKUP('Données projet'!$B$10,Paramètres!$A$1:$I$89,3,0)*0.475*44/12</f>
        <v>1.4539111015643817E-5</v>
      </c>
      <c r="AX106" s="21">
        <f t="shared" si="60"/>
        <v>76.447673148613859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1.064108801074326E-13</v>
      </c>
      <c r="BF106" s="13">
        <f t="shared" si="91"/>
        <v>1.5870730813698654E-12</v>
      </c>
      <c r="BG106" s="20">
        <f t="shared" si="61"/>
        <v>2.9494845662396269E-12</v>
      </c>
      <c r="BH106" s="59">
        <f t="shared" si="62"/>
        <v>293.33333333333627</v>
      </c>
      <c r="BI106" s="59">
        <f ca="1">AVERAGE(OFFSET($BH$3,0,0,'Données projet'!$E$11+1,1))-AVERAGE(OFFSET($H$3,0,0,'Données projet'!$E$11+1,1))</f>
        <v>227.19831549982962</v>
      </c>
      <c r="BJ106" s="59">
        <f t="shared" si="92"/>
        <v>309.84543033784564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79.617624674653257</v>
      </c>
      <c r="BQ106" s="21">
        <f>EXP(-LN(2)/25)*BQ105+(1-EXP(-LN(2)/25))/(LN(2)/25)*Calculateur!BL106*Calculateur!BN106*VLOOKUP('Données projet'!$B$11,Paramètres!$A$1:$I$89,3,0)*0.475*44/12</f>
        <v>20.223738873206972</v>
      </c>
      <c r="BR106" s="21">
        <f>EXP(-LN(2)/2)*BR105+(1-EXP(-LN(2)/2))/(LN(2)/2)*BL106*BO106*VLOOKUP('Données projet'!$B$11,Paramètres!$A$1:$I$89,3,0)*0.475*44/12</f>
        <v>4.0750011821619497E-5</v>
      </c>
      <c r="BS106" s="22">
        <f t="shared" si="63"/>
        <v>99.841404297872046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2.2737367544323206E-13</v>
      </c>
      <c r="BZ106" s="13">
        <f>BY106*VLOOKUP('Données projet'!$B$12,Paramètres!$A$1:$I$89,3,0)*VLOOKUP('Données projet'!$B$12,Paramètres!$A$1:$I$89,5,0)</f>
        <v>1.4897523215040565E-13</v>
      </c>
      <c r="CA106" s="13">
        <f t="shared" si="93"/>
        <v>2.136562777003313E-12</v>
      </c>
      <c r="CB106" s="20">
        <f t="shared" si="64"/>
        <v>3.9806453659427267E-12</v>
      </c>
      <c r="CC106" s="59">
        <f t="shared" si="65"/>
        <v>293.33333333333729</v>
      </c>
      <c r="CD106" s="59">
        <f ca="1">AVERAGE(OFFSET($CC$3,0,0,'Données projet'!$E$12+1,1))-AVERAGE(OFFSET($H$3,0,0,'Données projet'!$E$12+1,1))</f>
        <v>91.274378490051788</v>
      </c>
      <c r="CE106" s="59">
        <f t="shared" si="94"/>
        <v>126.60105012427914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13.068238523609974</v>
      </c>
      <c r="CL106" s="21">
        <f>EXP(-LN(2)/25)*CL105+(1-EXP(-LN(2)/25))/(LN(2)/25)*Calculateur!CG106*Calculateur!CI106*VLOOKUP('Données projet'!$B$12,Paramètres!$A$1:$I$89,3,0)*0.475*44/12</f>
        <v>12.582394416965352</v>
      </c>
      <c r="CM106" s="21">
        <f>EXP(-LN(2)/2)*CM105+(1-EXP(-LN(2)/2))/(LN(2)/2)*CG106*CJ106*VLOOKUP('Données projet'!$B$12,Paramètres!$A$1:$I$89,3,0)*0.475*44/12</f>
        <v>0.27722927509960676</v>
      </c>
      <c r="CN106" s="22">
        <f t="shared" si="66"/>
        <v>25.927862215674935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350.09239406910712</v>
      </c>
      <c r="T107" s="59">
        <f t="shared" si="88"/>
        <v>473.30663081727369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91.663291047316235</v>
      </c>
      <c r="AA107" s="21">
        <f>EXP(-LN(2)/25)*AA106+(1-EXP(-LN(2)/25))/(LN(2)/25)*Calculateur!V107*Calculateur!X107*VLOOKUP('Données projet'!$B$9,Paramètres!$A$1:$I$89,3,0)*0.475*44/12</f>
        <v>21.250181214638491</v>
      </c>
      <c r="AB107" s="21">
        <f>EXP(-LN(2)/2)*AB106+(1-EXP(-LN(2)/2))/(LN(2)/2)*V107*Y107*VLOOKUP('Données projet'!$B$9,Paramètres!$A$1:$I$89,3,0)*0.475*44/12</f>
        <v>2.7271542910354138E-6</v>
      </c>
      <c r="AC107" s="22">
        <f t="shared" si="57"/>
        <v>112.91347498910902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179.4725256147085</v>
      </c>
      <c r="AO107" s="59">
        <f t="shared" si="90"/>
        <v>282.16750121151176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60.407140336667581</v>
      </c>
      <c r="AV107" s="21">
        <f>EXP(-LN(2)/25)*AV106+(1-EXP(-LN(2)/25))/(LN(2)/25)*Calculateur!AQ107*Calculateur!AS107*VLOOKUP('Données projet'!$B$10,Paramètres!$A$1:$I$89,3,0)*0.475*44/12</f>
        <v>14.426688816948953</v>
      </c>
      <c r="AW107" s="21">
        <f>EXP(-LN(2)/2)*AW106+(1-EXP(-LN(2)/2))/(LN(2)/2)*AQ107*AT107*VLOOKUP('Données projet'!$B$10,Paramètres!$A$1:$I$89,3,0)*0.475*44/12</f>
        <v>1.0280703991585775E-5</v>
      </c>
      <c r="AX107" s="21">
        <f t="shared" si="60"/>
        <v>74.833839434320524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1.064108801074326E-13</v>
      </c>
      <c r="BF107" s="13">
        <f t="shared" si="91"/>
        <v>1.5870730813698654E-12</v>
      </c>
      <c r="BG107" s="20">
        <f t="shared" si="61"/>
        <v>2.9494845662396269E-12</v>
      </c>
      <c r="BH107" s="59">
        <f t="shared" si="62"/>
        <v>293.33333333333627</v>
      </c>
      <c r="BI107" s="59">
        <f ca="1">AVERAGE(OFFSET($BH$3,0,0,'Données projet'!$E$11+1,1))-AVERAGE(OFFSET($H$3,0,0,'Données projet'!$E$11+1,1))</f>
        <v>227.19831549982962</v>
      </c>
      <c r="BJ107" s="59">
        <f t="shared" si="92"/>
        <v>309.84543033784564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78.05637161673927</v>
      </c>
      <c r="BQ107" s="21">
        <f>EXP(-LN(2)/25)*BQ106+(1-EXP(-LN(2)/25))/(LN(2)/25)*Calculateur!BL107*Calculateur!BN107*VLOOKUP('Données projet'!$B$11,Paramètres!$A$1:$I$89,3,0)*0.475*44/12</f>
        <v>19.670719670198924</v>
      </c>
      <c r="BR107" s="21">
        <f>EXP(-LN(2)/2)*BR106+(1-EXP(-LN(2)/2))/(LN(2)/2)*BL107*BO107*VLOOKUP('Données projet'!$B$11,Paramètres!$A$1:$I$89,3,0)*0.475*44/12</f>
        <v>2.8814609692499123E-5</v>
      </c>
      <c r="BS107" s="22">
        <f t="shared" si="63"/>
        <v>97.727120101547882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2.2737367544323206E-13</v>
      </c>
      <c r="BZ107" s="13">
        <f>BY107*VLOOKUP('Données projet'!$B$12,Paramètres!$A$1:$I$89,3,0)*VLOOKUP('Données projet'!$B$12,Paramètres!$A$1:$I$89,5,0)</f>
        <v>1.4897523215040565E-13</v>
      </c>
      <c r="CA107" s="13">
        <f t="shared" si="93"/>
        <v>2.136562777003313E-12</v>
      </c>
      <c r="CB107" s="20">
        <f t="shared" si="64"/>
        <v>3.9806453659427267E-12</v>
      </c>
      <c r="CC107" s="59">
        <f t="shared" si="65"/>
        <v>293.33333333333729</v>
      </c>
      <c r="CD107" s="59">
        <f ca="1">AVERAGE(OFFSET($CC$3,0,0,'Données projet'!$E$12+1,1))-AVERAGE(OFFSET($H$3,0,0,'Données projet'!$E$12+1,1))</f>
        <v>91.274378490051788</v>
      </c>
      <c r="CE107" s="59">
        <f t="shared" si="94"/>
        <v>126.60105012427914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12.811978337000427</v>
      </c>
      <c r="CL107" s="21">
        <f>EXP(-LN(2)/25)*CL106+(1-EXP(-LN(2)/25))/(LN(2)/25)*Calculateur!CG107*Calculateur!CI107*VLOOKUP('Données projet'!$B$12,Paramètres!$A$1:$I$89,3,0)*0.475*44/12</f>
        <v>12.238328179954069</v>
      </c>
      <c r="CM107" s="21">
        <f>EXP(-LN(2)/2)*CM106+(1-EXP(-LN(2)/2))/(LN(2)/2)*CG107*CJ107*VLOOKUP('Données projet'!$B$12,Paramètres!$A$1:$I$89,3,0)*0.475*44/12</f>
        <v>0.19603070036636283</v>
      </c>
      <c r="CN107" s="22">
        <f t="shared" si="66"/>
        <v>25.24633721732086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350.09239406910712</v>
      </c>
      <c r="T108" s="59">
        <f t="shared" si="88"/>
        <v>473.30663081727369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89.865829818965338</v>
      </c>
      <c r="AA108" s="21">
        <f>EXP(-LN(2)/25)*AA107+(1-EXP(-LN(2)/25))/(LN(2)/25)*Calculateur!V108*Calculateur!X108*VLOOKUP('Données projet'!$B$9,Paramètres!$A$1:$I$89,3,0)*0.475*44/12</f>
        <v>20.669093891825739</v>
      </c>
      <c r="AB108" s="21">
        <f>EXP(-LN(2)/2)*AB107+(1-EXP(-LN(2)/2))/(LN(2)/2)*V108*Y108*VLOOKUP('Données projet'!$B$9,Paramètres!$A$1:$I$89,3,0)*0.475*44/12</f>
        <v>1.9283892925331324E-6</v>
      </c>
      <c r="AC108" s="22">
        <f t="shared" si="57"/>
        <v>110.53492563918037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179.4725256147085</v>
      </c>
      <c r="AO108" s="59">
        <f t="shared" si="90"/>
        <v>282.16750121151176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59.222593159383024</v>
      </c>
      <c r="AV108" s="21">
        <f>EXP(-LN(2)/25)*AV107+(1-EXP(-LN(2)/25))/(LN(2)/25)*Calculateur!AQ108*Calculateur!AS108*VLOOKUP('Données projet'!$B$10,Paramètres!$A$1:$I$89,3,0)*0.475*44/12</f>
        <v>14.032190252582891</v>
      </c>
      <c r="AW108" s="21">
        <f>EXP(-LN(2)/2)*AW107+(1-EXP(-LN(2)/2))/(LN(2)/2)*AQ108*AT108*VLOOKUP('Données projet'!$B$10,Paramètres!$A$1:$I$89,3,0)*0.475*44/12</f>
        <v>7.2695555078219086E-6</v>
      </c>
      <c r="AX108" s="21">
        <f t="shared" si="60"/>
        <v>73.254790681521428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1.064108801074326E-13</v>
      </c>
      <c r="BF108" s="13">
        <f t="shared" si="91"/>
        <v>1.5870730813698654E-12</v>
      </c>
      <c r="BG108" s="20">
        <f t="shared" si="61"/>
        <v>2.9494845662396269E-12</v>
      </c>
      <c r="BH108" s="59">
        <f t="shared" si="62"/>
        <v>293.33333333333627</v>
      </c>
      <c r="BI108" s="59">
        <f ca="1">AVERAGE(OFFSET($BH$3,0,0,'Données projet'!$E$11+1,1))-AVERAGE(OFFSET($H$3,0,0,'Données projet'!$E$11+1,1))</f>
        <v>227.19831549982962</v>
      </c>
      <c r="BJ108" s="59">
        <f t="shared" si="92"/>
        <v>309.84543033784564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76.525733779020626</v>
      </c>
      <c r="BQ108" s="21">
        <f>EXP(-LN(2)/25)*BQ107+(1-EXP(-LN(2)/25))/(LN(2)/25)*Calculateur!BL108*Calculateur!BN108*VLOOKUP('Données projet'!$B$11,Paramètres!$A$1:$I$89,3,0)*0.475*44/12</f>
        <v>19.132822806379146</v>
      </c>
      <c r="BR108" s="21">
        <f>EXP(-LN(2)/2)*BR107+(1-EXP(-LN(2)/2))/(LN(2)/2)*BL108*BO108*VLOOKUP('Données projet'!$B$11,Paramètres!$A$1:$I$89,3,0)*0.475*44/12</f>
        <v>2.0375005910809748E-5</v>
      </c>
      <c r="BS108" s="22">
        <f t="shared" si="63"/>
        <v>95.658576960405682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2.2737367544323206E-13</v>
      </c>
      <c r="BZ108" s="13">
        <f>BY108*VLOOKUP('Données projet'!$B$12,Paramètres!$A$1:$I$89,3,0)*VLOOKUP('Données projet'!$B$12,Paramètres!$A$1:$I$89,5,0)</f>
        <v>1.4897523215040565E-13</v>
      </c>
      <c r="CA108" s="13">
        <f t="shared" si="93"/>
        <v>2.136562777003313E-12</v>
      </c>
      <c r="CB108" s="20">
        <f t="shared" si="64"/>
        <v>3.9806453659427267E-12</v>
      </c>
      <c r="CC108" s="59">
        <f t="shared" si="65"/>
        <v>293.33333333333729</v>
      </c>
      <c r="CD108" s="59">
        <f ca="1">AVERAGE(OFFSET($CC$3,0,0,'Données projet'!$E$12+1,1))-AVERAGE(OFFSET($H$3,0,0,'Données projet'!$E$12+1,1))</f>
        <v>91.274378490051788</v>
      </c>
      <c r="CE108" s="59">
        <f t="shared" si="94"/>
        <v>126.60105012427914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12.560743256347013</v>
      </c>
      <c r="CL108" s="21">
        <f>EXP(-LN(2)/25)*CL107+(1-EXP(-LN(2)/25))/(LN(2)/25)*Calculateur!CG108*Calculateur!CI108*VLOOKUP('Données projet'!$B$12,Paramètres!$A$1:$I$89,3,0)*0.475*44/12</f>
        <v>11.903670452287516</v>
      </c>
      <c r="CM108" s="21">
        <f>EXP(-LN(2)/2)*CM107+(1-EXP(-LN(2)/2))/(LN(2)/2)*CG108*CJ108*VLOOKUP('Données projet'!$B$12,Paramètres!$A$1:$I$89,3,0)*0.475*44/12</f>
        <v>0.13861463754980338</v>
      </c>
      <c r="CN108" s="22">
        <f t="shared" si="66"/>
        <v>24.603028346184335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350.09239406910712</v>
      </c>
      <c r="T109" s="59">
        <f t="shared" si="88"/>
        <v>473.30663081727369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88.10361570895931</v>
      </c>
      <c r="AA109" s="21">
        <f>EXP(-LN(2)/25)*AA108+(1-EXP(-LN(2)/25))/(LN(2)/25)*Calculateur!V109*Calculateur!X109*VLOOKUP('Données projet'!$B$9,Paramètres!$A$1:$I$89,3,0)*0.475*44/12</f>
        <v>20.103896432413357</v>
      </c>
      <c r="AB109" s="21">
        <f>EXP(-LN(2)/2)*AB108+(1-EXP(-LN(2)/2))/(LN(2)/2)*V109*Y109*VLOOKUP('Données projet'!$B$9,Paramètres!$A$1:$I$89,3,0)*0.475*44/12</f>
        <v>1.3635771455177069E-6</v>
      </c>
      <c r="AC109" s="22">
        <f t="shared" si="57"/>
        <v>108.2075135049498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179.4725256147085</v>
      </c>
      <c r="AO109" s="59">
        <f t="shared" si="90"/>
        <v>282.16750121151176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58.06127422974258</v>
      </c>
      <c r="AV109" s="21">
        <f>EXP(-LN(2)/25)*AV108+(1-EXP(-LN(2)/25))/(LN(2)/25)*Calculateur!AQ109*Calculateur!AS109*VLOOKUP('Données projet'!$B$10,Paramètres!$A$1:$I$89,3,0)*0.475*44/12</f>
        <v>13.648479272205197</v>
      </c>
      <c r="AW109" s="21">
        <f>EXP(-LN(2)/2)*AW108+(1-EXP(-LN(2)/2))/(LN(2)/2)*AQ109*AT109*VLOOKUP('Données projet'!$B$10,Paramètres!$A$1:$I$89,3,0)*0.475*44/12</f>
        <v>5.1403519957928876E-6</v>
      </c>
      <c r="AX109" s="21">
        <f t="shared" si="60"/>
        <v>71.709758642299775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1.064108801074326E-13</v>
      </c>
      <c r="BF109" s="13">
        <f t="shared" si="91"/>
        <v>1.5870730813698654E-12</v>
      </c>
      <c r="BG109" s="20">
        <f t="shared" si="61"/>
        <v>2.9494845662396269E-12</v>
      </c>
      <c r="BH109" s="59">
        <f t="shared" si="62"/>
        <v>293.33333333333627</v>
      </c>
      <c r="BI109" s="59">
        <f ca="1">AVERAGE(OFFSET($BH$3,0,0,'Données projet'!$E$11+1,1))-AVERAGE(OFFSET($H$3,0,0,'Données projet'!$E$11+1,1))</f>
        <v>227.19831549982962</v>
      </c>
      <c r="BJ109" s="59">
        <f t="shared" si="92"/>
        <v>309.84543033784564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75.02511081570276</v>
      </c>
      <c r="BQ109" s="21">
        <f>EXP(-LN(2)/25)*BQ108+(1-EXP(-LN(2)/25))/(LN(2)/25)*Calculateur!BL109*Calculateur!BN109*VLOOKUP('Données projet'!$B$11,Paramètres!$A$1:$I$89,3,0)*0.475*44/12</f>
        <v>18.609634760587284</v>
      </c>
      <c r="BR109" s="21">
        <f>EXP(-LN(2)/2)*BR108+(1-EXP(-LN(2)/2))/(LN(2)/2)*BL109*BO109*VLOOKUP('Données projet'!$B$11,Paramètres!$A$1:$I$89,3,0)*0.475*44/12</f>
        <v>1.4407304846249561E-5</v>
      </c>
      <c r="BS109" s="22">
        <f t="shared" si="63"/>
        <v>93.63475998359489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2.2737367544323206E-13</v>
      </c>
      <c r="BZ109" s="13">
        <f>BY109*VLOOKUP('Données projet'!$B$12,Paramètres!$A$1:$I$89,3,0)*VLOOKUP('Données projet'!$B$12,Paramètres!$A$1:$I$89,5,0)</f>
        <v>1.4897523215040565E-13</v>
      </c>
      <c r="CA109" s="13">
        <f t="shared" si="93"/>
        <v>2.136562777003313E-12</v>
      </c>
      <c r="CB109" s="20">
        <f t="shared" si="64"/>
        <v>3.9806453659427267E-12</v>
      </c>
      <c r="CC109" s="59">
        <f t="shared" si="65"/>
        <v>293.33333333333729</v>
      </c>
      <c r="CD109" s="59">
        <f ca="1">AVERAGE(OFFSET($CC$3,0,0,'Données projet'!$E$12+1,1))-AVERAGE(OFFSET($H$3,0,0,'Données projet'!$E$12+1,1))</f>
        <v>91.274378490051788</v>
      </c>
      <c r="CE109" s="59">
        <f t="shared" si="94"/>
        <v>126.60105012427914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12.314434742386945</v>
      </c>
      <c r="CL109" s="21">
        <f>EXP(-LN(2)/25)*CL108+(1-EXP(-LN(2)/25))/(LN(2)/25)*Calculateur!CG109*Calculateur!CI109*VLOOKUP('Données projet'!$B$12,Paramètres!$A$1:$I$89,3,0)*0.475*44/12</f>
        <v>11.578163957782891</v>
      </c>
      <c r="CM109" s="21">
        <f>EXP(-LN(2)/2)*CM108+(1-EXP(-LN(2)/2))/(LN(2)/2)*CG109*CJ109*VLOOKUP('Données projet'!$B$12,Paramètres!$A$1:$I$89,3,0)*0.475*44/12</f>
        <v>9.8015350183181416E-2</v>
      </c>
      <c r="CN109" s="22">
        <f t="shared" si="66"/>
        <v>23.990614050353017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350.09239406910712</v>
      </c>
      <c r="T110" s="59">
        <f t="shared" si="88"/>
        <v>473.30663081727369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86.37595754280602</v>
      </c>
      <c r="AA110" s="21">
        <f>EXP(-LN(2)/25)*AA109+(1-EXP(-LN(2)/25))/(LN(2)/25)*Calculateur!V110*Calculateur!X110*VLOOKUP('Données projet'!$B$9,Paramètres!$A$1:$I$89,3,0)*0.475*44/12</f>
        <v>19.554154327251048</v>
      </c>
      <c r="AB110" s="21">
        <f>EXP(-LN(2)/2)*AB109+(1-EXP(-LN(2)/2))/(LN(2)/2)*V110*Y110*VLOOKUP('Données projet'!$B$9,Paramètres!$A$1:$I$89,3,0)*0.475*44/12</f>
        <v>9.6419464626656622E-7</v>
      </c>
      <c r="AC110" s="22">
        <f t="shared" si="57"/>
        <v>105.9301128342517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179.4725256147085</v>
      </c>
      <c r="AO110" s="59">
        <f t="shared" si="90"/>
        <v>282.16750121151176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56.922728055977778</v>
      </c>
      <c r="AV110" s="21">
        <f>EXP(-LN(2)/25)*AV109+(1-EXP(-LN(2)/25))/(LN(2)/25)*Calculateur!AQ110*Calculateur!AS110*VLOOKUP('Données projet'!$B$10,Paramètres!$A$1:$I$89,3,0)*0.475*44/12</f>
        <v>13.275260888764414</v>
      </c>
      <c r="AW110" s="21">
        <f>EXP(-LN(2)/2)*AW109+(1-EXP(-LN(2)/2))/(LN(2)/2)*AQ110*AT110*VLOOKUP('Données projet'!$B$10,Paramètres!$A$1:$I$89,3,0)*0.475*44/12</f>
        <v>3.6347777539109543E-6</v>
      </c>
      <c r="AX110" s="21">
        <f t="shared" si="60"/>
        <v>70.197992579519948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1.064108801074326E-13</v>
      </c>
      <c r="BF110" s="13">
        <f t="shared" si="91"/>
        <v>1.5870730813698654E-12</v>
      </c>
      <c r="BG110" s="20">
        <f t="shared" si="61"/>
        <v>2.9494845662396269E-12</v>
      </c>
      <c r="BH110" s="59">
        <f t="shared" si="62"/>
        <v>293.33333333333627</v>
      </c>
      <c r="BI110" s="59">
        <f ca="1">AVERAGE(OFFSET($BH$3,0,0,'Données projet'!$E$11+1,1))-AVERAGE(OFFSET($H$3,0,0,'Données projet'!$E$11+1,1))</f>
        <v>227.19831549982962</v>
      </c>
      <c r="BJ110" s="59">
        <f t="shared" si="92"/>
        <v>309.84543033784564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73.553914153405927</v>
      </c>
      <c r="BQ110" s="21">
        <f>EXP(-LN(2)/25)*BQ109+(1-EXP(-LN(2)/25))/(LN(2)/25)*Calculateur!BL110*Calculateur!BN110*VLOOKUP('Données projet'!$B$11,Paramètres!$A$1:$I$89,3,0)*0.475*44/12</f>
        <v>18.100753319420864</v>
      </c>
      <c r="BR110" s="21">
        <f>EXP(-LN(2)/2)*BR109+(1-EXP(-LN(2)/2))/(LN(2)/2)*BL110*BO110*VLOOKUP('Données projet'!$B$11,Paramètres!$A$1:$I$89,3,0)*0.475*44/12</f>
        <v>1.0187502955404874E-5</v>
      </c>
      <c r="BS110" s="22">
        <f t="shared" si="63"/>
        <v>91.654677660329739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2.2737367544323206E-13</v>
      </c>
      <c r="BZ110" s="13">
        <f>BY110*VLOOKUP('Données projet'!$B$12,Paramètres!$A$1:$I$89,3,0)*VLOOKUP('Données projet'!$B$12,Paramètres!$A$1:$I$89,5,0)</f>
        <v>1.4897523215040565E-13</v>
      </c>
      <c r="CA110" s="13">
        <f t="shared" si="93"/>
        <v>2.136562777003313E-12</v>
      </c>
      <c r="CB110" s="20">
        <f t="shared" si="64"/>
        <v>3.9806453659427267E-12</v>
      </c>
      <c r="CC110" s="59">
        <f t="shared" si="65"/>
        <v>293.33333333333729</v>
      </c>
      <c r="CD110" s="59">
        <f ca="1">AVERAGE(OFFSET($CC$3,0,0,'Données projet'!$E$12+1,1))-AVERAGE(OFFSET($H$3,0,0,'Données projet'!$E$12+1,1))</f>
        <v>91.274378490051788</v>
      </c>
      <c r="CE110" s="59">
        <f t="shared" si="94"/>
        <v>126.60105012427914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12.072956188152274</v>
      </c>
      <c r="CL110" s="21">
        <f>EXP(-LN(2)/25)*CL109+(1-EXP(-LN(2)/25))/(LN(2)/25)*Calculateur!CG110*Calculateur!CI110*VLOOKUP('Données projet'!$B$12,Paramètres!$A$1:$I$89,3,0)*0.475*44/12</f>
        <v>11.261558455488137</v>
      </c>
      <c r="CM110" s="21">
        <f>EXP(-LN(2)/2)*CM109+(1-EXP(-LN(2)/2))/(LN(2)/2)*CG110*CJ110*VLOOKUP('Données projet'!$B$12,Paramètres!$A$1:$I$89,3,0)*0.475*44/12</f>
        <v>6.9307318774901691E-2</v>
      </c>
      <c r="CN110" s="22">
        <f t="shared" si="66"/>
        <v>23.403821962415311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350.09239406910712</v>
      </c>
      <c r="T111" s="59">
        <f t="shared" si="88"/>
        <v>473.30663081727369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84.682177699523564</v>
      </c>
      <c r="AA111" s="21">
        <f>EXP(-LN(2)/25)*AA110+(1-EXP(-LN(2)/25))/(LN(2)/25)*Calculateur!V111*Calculateur!X111*VLOOKUP('Données projet'!$B$9,Paramètres!$A$1:$I$89,3,0)*0.475*44/12</f>
        <v>19.019444948864084</v>
      </c>
      <c r="AB111" s="21">
        <f>EXP(-LN(2)/2)*AB110+(1-EXP(-LN(2)/2))/(LN(2)/2)*V111*Y111*VLOOKUP('Données projet'!$B$9,Paramètres!$A$1:$I$89,3,0)*0.475*44/12</f>
        <v>6.8178857275885346E-7</v>
      </c>
      <c r="AC111" s="22">
        <f t="shared" si="57"/>
        <v>103.70162333017623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179.4725256147085</v>
      </c>
      <c r="AO111" s="59">
        <f t="shared" si="90"/>
        <v>282.16750121151176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55.806508078235908</v>
      </c>
      <c r="AV111" s="21">
        <f>EXP(-LN(2)/25)*AV110+(1-EXP(-LN(2)/25))/(LN(2)/25)*Calculateur!AQ111*Calculateur!AS111*VLOOKUP('Données projet'!$B$10,Paramètres!$A$1:$I$89,3,0)*0.475*44/12</f>
        <v>12.912248181645522</v>
      </c>
      <c r="AW111" s="21">
        <f>EXP(-LN(2)/2)*AW110+(1-EXP(-LN(2)/2))/(LN(2)/2)*AQ111*AT111*VLOOKUP('Données projet'!$B$10,Paramètres!$A$1:$I$89,3,0)*0.475*44/12</f>
        <v>2.5701759978964438E-6</v>
      </c>
      <c r="AX111" s="21">
        <f t="shared" si="60"/>
        <v>68.718758830057425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1.064108801074326E-13</v>
      </c>
      <c r="BF111" s="13">
        <f t="shared" si="91"/>
        <v>1.5870730813698654E-12</v>
      </c>
      <c r="BG111" s="20">
        <f t="shared" si="61"/>
        <v>2.9494845662396269E-12</v>
      </c>
      <c r="BH111" s="59">
        <f t="shared" si="62"/>
        <v>293.33333333333627</v>
      </c>
      <c r="BI111" s="59">
        <f ca="1">AVERAGE(OFFSET($BH$3,0,0,'Données projet'!$E$11+1,1))-AVERAGE(OFFSET($H$3,0,0,'Données projet'!$E$11+1,1))</f>
        <v>227.19831549982962</v>
      </c>
      <c r="BJ111" s="59">
        <f t="shared" si="92"/>
        <v>309.84543033784564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72.11156676031537</v>
      </c>
      <c r="BQ111" s="21">
        <f>EXP(-LN(2)/25)*BQ110+(1-EXP(-LN(2)/25))/(LN(2)/25)*Calculateur!BL111*Calculateur!BN111*VLOOKUP('Données projet'!$B$11,Paramètres!$A$1:$I$89,3,0)*0.475*44/12</f>
        <v>17.605787268024052</v>
      </c>
      <c r="BR111" s="21">
        <f>EXP(-LN(2)/2)*BR110+(1-EXP(-LN(2)/2))/(LN(2)/2)*BL111*BO111*VLOOKUP('Données projet'!$B$11,Paramètres!$A$1:$I$89,3,0)*0.475*44/12</f>
        <v>7.2036524231247807E-6</v>
      </c>
      <c r="BS111" s="22">
        <f t="shared" si="63"/>
        <v>89.717361231991859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2.2737367544323206E-13</v>
      </c>
      <c r="BZ111" s="13">
        <f>BY111*VLOOKUP('Données projet'!$B$12,Paramètres!$A$1:$I$89,3,0)*VLOOKUP('Données projet'!$B$12,Paramètres!$A$1:$I$89,5,0)</f>
        <v>1.4897523215040565E-13</v>
      </c>
      <c r="CA111" s="13">
        <f t="shared" si="93"/>
        <v>2.136562777003313E-12</v>
      </c>
      <c r="CB111" s="20">
        <f t="shared" si="64"/>
        <v>3.9806453659427267E-12</v>
      </c>
      <c r="CC111" s="59">
        <f t="shared" si="65"/>
        <v>293.33333333333729</v>
      </c>
      <c r="CD111" s="59">
        <f ca="1">AVERAGE(OFFSET($CC$3,0,0,'Données projet'!$E$12+1,1))-AVERAGE(OFFSET($H$3,0,0,'Données projet'!$E$12+1,1))</f>
        <v>91.274378490051788</v>
      </c>
      <c r="CE111" s="59">
        <f t="shared" si="94"/>
        <v>126.60105012427914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11.836212881078771</v>
      </c>
      <c r="CL111" s="21">
        <f>EXP(-LN(2)/25)*CL110+(1-EXP(-LN(2)/25))/(LN(2)/25)*Calculateur!CG111*Calculateur!CI111*VLOOKUP('Données projet'!$B$12,Paramètres!$A$1:$I$89,3,0)*0.475*44/12</f>
        <v>10.953610547303194</v>
      </c>
      <c r="CM111" s="21">
        <f>EXP(-LN(2)/2)*CM110+(1-EXP(-LN(2)/2))/(LN(2)/2)*CG111*CJ111*VLOOKUP('Données projet'!$B$12,Paramètres!$A$1:$I$89,3,0)*0.475*44/12</f>
        <v>4.9007675091590708E-2</v>
      </c>
      <c r="CN111" s="22">
        <f t="shared" si="66"/>
        <v>22.838831103473556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350.09239406910712</v>
      </c>
      <c r="T112" s="59">
        <f t="shared" si="88"/>
        <v>473.30663081727369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83.021611845864186</v>
      </c>
      <c r="AA112" s="21">
        <f>EXP(-LN(2)/25)*AA111+(1-EXP(-LN(2)/25))/(LN(2)/25)*Calculateur!V112*Calculateur!X112*VLOOKUP('Données projet'!$B$9,Paramètres!$A$1:$I$89,3,0)*0.475*44/12</f>
        <v>18.499357226548256</v>
      </c>
      <c r="AB112" s="21">
        <f>EXP(-LN(2)/2)*AB111+(1-EXP(-LN(2)/2))/(LN(2)/2)*V112*Y112*VLOOKUP('Données projet'!$B$9,Paramètres!$A$1:$I$89,3,0)*0.475*44/12</f>
        <v>4.8209732313328311E-7</v>
      </c>
      <c r="AC112" s="22">
        <f t="shared" si="57"/>
        <v>101.52096955450976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179.4725256147085</v>
      </c>
      <c r="AO112" s="59">
        <f t="shared" si="90"/>
        <v>282.16750121151176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54.712176493430597</v>
      </c>
      <c r="AV112" s="21">
        <f>EXP(-LN(2)/25)*AV111+(1-EXP(-LN(2)/25))/(LN(2)/25)*Calculateur!AQ112*Calculateur!AS112*VLOOKUP('Données projet'!$B$10,Paramètres!$A$1:$I$89,3,0)*0.475*44/12</f>
        <v>12.559162076092804</v>
      </c>
      <c r="AW112" s="21">
        <f>EXP(-LN(2)/2)*AW111+(1-EXP(-LN(2)/2))/(LN(2)/2)*AQ112*AT112*VLOOKUP('Données projet'!$B$10,Paramètres!$A$1:$I$89,3,0)*0.475*44/12</f>
        <v>1.8173888769554771E-6</v>
      </c>
      <c r="AX112" s="21">
        <f t="shared" si="60"/>
        <v>67.271340386912286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1.064108801074326E-13</v>
      </c>
      <c r="BF112" s="13">
        <f t="shared" si="91"/>
        <v>1.5870730813698654E-12</v>
      </c>
      <c r="BG112" s="20">
        <f t="shared" si="61"/>
        <v>2.9494845662396269E-12</v>
      </c>
      <c r="BH112" s="59">
        <f t="shared" si="62"/>
        <v>293.33333333333627</v>
      </c>
      <c r="BI112" s="59">
        <f ca="1">AVERAGE(OFFSET($BH$3,0,0,'Données projet'!$E$11+1,1))-AVERAGE(OFFSET($H$3,0,0,'Données projet'!$E$11+1,1))</f>
        <v>227.19831549982962</v>
      </c>
      <c r="BJ112" s="59">
        <f t="shared" si="92"/>
        <v>309.84543033784564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70.69750291985828</v>
      </c>
      <c r="BQ112" s="21">
        <f>EXP(-LN(2)/25)*BQ111+(1-EXP(-LN(2)/25))/(LN(2)/25)*Calculateur!BL112*Calculateur!BN112*VLOOKUP('Données projet'!$B$11,Paramètres!$A$1:$I$89,3,0)*0.475*44/12</f>
        <v>17.124356089331819</v>
      </c>
      <c r="BR112" s="21">
        <f>EXP(-LN(2)/2)*BR111+(1-EXP(-LN(2)/2))/(LN(2)/2)*BL112*BO112*VLOOKUP('Données projet'!$B$11,Paramètres!$A$1:$I$89,3,0)*0.475*44/12</f>
        <v>5.0937514777024371E-6</v>
      </c>
      <c r="BS112" s="22">
        <f t="shared" si="63"/>
        <v>87.821864102941575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2.2737367544323206E-13</v>
      </c>
      <c r="BZ112" s="13">
        <f>BY112*VLOOKUP('Données projet'!$B$12,Paramètres!$A$1:$I$89,3,0)*VLOOKUP('Données projet'!$B$12,Paramètres!$A$1:$I$89,5,0)</f>
        <v>1.4897523215040565E-13</v>
      </c>
      <c r="CA112" s="13">
        <f t="shared" si="93"/>
        <v>2.136562777003313E-12</v>
      </c>
      <c r="CB112" s="20">
        <f t="shared" si="64"/>
        <v>3.9806453659427267E-12</v>
      </c>
      <c r="CC112" s="59">
        <f t="shared" si="65"/>
        <v>293.33333333333729</v>
      </c>
      <c r="CD112" s="59">
        <f ca="1">AVERAGE(OFFSET($CC$3,0,0,'Données projet'!$E$12+1,1))-AVERAGE(OFFSET($H$3,0,0,'Données projet'!$E$12+1,1))</f>
        <v>91.274378490051788</v>
      </c>
      <c r="CE112" s="59">
        <f t="shared" si="94"/>
        <v>126.60105012427914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11.604111965857818</v>
      </c>
      <c r="CL112" s="21">
        <f>EXP(-LN(2)/25)*CL111+(1-EXP(-LN(2)/25))/(LN(2)/25)*Calculateur!CG112*Calculateur!CI112*VLOOKUP('Données projet'!$B$12,Paramètres!$A$1:$I$89,3,0)*0.475*44/12</f>
        <v>10.654083490861844</v>
      </c>
      <c r="CM112" s="21">
        <f>EXP(-LN(2)/2)*CM111+(1-EXP(-LN(2)/2))/(LN(2)/2)*CG112*CJ112*VLOOKUP('Données projet'!$B$12,Paramètres!$A$1:$I$89,3,0)*0.475*44/12</f>
        <v>3.4653659387450846E-2</v>
      </c>
      <c r="CN112" s="22">
        <f t="shared" si="66"/>
        <v>22.292849116107114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350.09239406910712</v>
      </c>
      <c r="T113" s="59">
        <f t="shared" si="88"/>
        <v>473.30663081727369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81.393608675749917</v>
      </c>
      <c r="AA113" s="21">
        <f>EXP(-LN(2)/25)*AA112+(1-EXP(-LN(2)/25))/(LN(2)/25)*Calculateur!V113*Calculateur!X113*VLOOKUP('Données projet'!$B$9,Paramètres!$A$1:$I$89,3,0)*0.475*44/12</f>
        <v>17.993491330349379</v>
      </c>
      <c r="AB113" s="21">
        <f>EXP(-LN(2)/2)*AB112+(1-EXP(-LN(2)/2))/(LN(2)/2)*V113*Y113*VLOOKUP('Données projet'!$B$9,Paramètres!$A$1:$I$89,3,0)*0.475*44/12</f>
        <v>3.4089428637942673E-7</v>
      </c>
      <c r="AC113" s="22">
        <f t="shared" si="57"/>
        <v>99.387100346993591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179.4725256147085</v>
      </c>
      <c r="AO113" s="59">
        <f t="shared" si="90"/>
        <v>282.16750121151176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53.639304083526959</v>
      </c>
      <c r="AV113" s="21">
        <f>EXP(-LN(2)/25)*AV112+(1-EXP(-LN(2)/25))/(LN(2)/25)*Calculateur!AQ113*Calculateur!AS113*VLOOKUP('Données projet'!$B$10,Paramètres!$A$1:$I$89,3,0)*0.475*44/12</f>
        <v>12.215731128664418</v>
      </c>
      <c r="AW113" s="21">
        <f>EXP(-LN(2)/2)*AW112+(1-EXP(-LN(2)/2))/(LN(2)/2)*AQ113*AT113*VLOOKUP('Données projet'!$B$10,Paramètres!$A$1:$I$89,3,0)*0.475*44/12</f>
        <v>1.2850879989482219E-6</v>
      </c>
      <c r="AX113" s="21">
        <f t="shared" si="60"/>
        <v>65.855036497279386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1.064108801074326E-13</v>
      </c>
      <c r="BF113" s="13">
        <f t="shared" si="91"/>
        <v>1.5870730813698654E-12</v>
      </c>
      <c r="BG113" s="20">
        <f t="shared" si="61"/>
        <v>2.9494845662396269E-12</v>
      </c>
      <c r="BH113" s="59">
        <f t="shared" si="62"/>
        <v>293.33333333333627</v>
      </c>
      <c r="BI113" s="59">
        <f ca="1">AVERAGE(OFFSET($BH$3,0,0,'Données projet'!$E$11+1,1))-AVERAGE(OFFSET($H$3,0,0,'Données projet'!$E$11+1,1))</f>
        <v>227.19831549982962</v>
      </c>
      <c r="BJ113" s="59">
        <f t="shared" si="92"/>
        <v>309.84543033784564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69.311168008818768</v>
      </c>
      <c r="BQ113" s="21">
        <f>EXP(-LN(2)/25)*BQ112+(1-EXP(-LN(2)/25))/(LN(2)/25)*Calculateur!BL113*Calculateur!BN113*VLOOKUP('Données projet'!$B$11,Paramètres!$A$1:$I$89,3,0)*0.475*44/12</f>
        <v>16.656089671538293</v>
      </c>
      <c r="BR113" s="21">
        <f>EXP(-LN(2)/2)*BR112+(1-EXP(-LN(2)/2))/(LN(2)/2)*BL113*BO113*VLOOKUP('Données projet'!$B$11,Paramètres!$A$1:$I$89,3,0)*0.475*44/12</f>
        <v>3.6018262115623904E-6</v>
      </c>
      <c r="BS113" s="22">
        <f t="shared" si="63"/>
        <v>85.967261282183273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2.2737367544323206E-13</v>
      </c>
      <c r="BZ113" s="13">
        <f>BY113*VLOOKUP('Données projet'!$B$12,Paramètres!$A$1:$I$89,3,0)*VLOOKUP('Données projet'!$B$12,Paramètres!$A$1:$I$89,5,0)</f>
        <v>1.4897523215040565E-13</v>
      </c>
      <c r="CA113" s="13">
        <f t="shared" si="93"/>
        <v>2.136562777003313E-12</v>
      </c>
      <c r="CB113" s="20">
        <f t="shared" si="64"/>
        <v>3.9806453659427267E-12</v>
      </c>
      <c r="CC113" s="59">
        <f t="shared" si="65"/>
        <v>293.33333333333729</v>
      </c>
      <c r="CD113" s="59">
        <f ca="1">AVERAGE(OFFSET($CC$3,0,0,'Données projet'!$E$12+1,1))-AVERAGE(OFFSET($H$3,0,0,'Données projet'!$E$12+1,1))</f>
        <v>91.274378490051788</v>
      </c>
      <c r="CE113" s="59">
        <f t="shared" si="94"/>
        <v>126.60105012427914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11.37656240801677</v>
      </c>
      <c r="CL113" s="21">
        <f>EXP(-LN(2)/25)*CL112+(1-EXP(-LN(2)/25))/(LN(2)/25)*Calculateur!CG113*Calculateur!CI113*VLOOKUP('Données projet'!$B$12,Paramètres!$A$1:$I$89,3,0)*0.475*44/12</f>
        <v>10.362747017530326</v>
      </c>
      <c r="CM113" s="21">
        <f>EXP(-LN(2)/2)*CM112+(1-EXP(-LN(2)/2))/(LN(2)/2)*CG113*CJ113*VLOOKUP('Données projet'!$B$12,Paramètres!$A$1:$I$89,3,0)*0.475*44/12</f>
        <v>2.4503837545795354E-2</v>
      </c>
      <c r="CN113" s="22">
        <f t="shared" si="66"/>
        <v>21.763813263092892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350.09239406910712</v>
      </c>
      <c r="T114" s="59">
        <f t="shared" si="88"/>
        <v>473.30663081727369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79.797529654817694</v>
      </c>
      <c r="AA114" s="21">
        <f>EXP(-LN(2)/25)*AA113+(1-EXP(-LN(2)/25))/(LN(2)/25)*Calculateur!V114*Calculateur!X114*VLOOKUP('Données projet'!$B$9,Paramètres!$A$1:$I$89,3,0)*0.475*44/12</f>
        <v>17.501458363684389</v>
      </c>
      <c r="AB114" s="21">
        <f>EXP(-LN(2)/2)*AB113+(1-EXP(-LN(2)/2))/(LN(2)/2)*V114*Y114*VLOOKUP('Données projet'!$B$9,Paramètres!$A$1:$I$89,3,0)*0.475*44/12</f>
        <v>2.4104866156664155E-7</v>
      </c>
      <c r="AC114" s="22">
        <f t="shared" si="57"/>
        <v>97.298988259550754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179.4725256147085</v>
      </c>
      <c r="AO114" s="59">
        <f t="shared" si="90"/>
        <v>282.16750121151176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52.587470047193975</v>
      </c>
      <c r="AV114" s="21">
        <f>EXP(-LN(2)/25)*AV113+(1-EXP(-LN(2)/25))/(LN(2)/25)*Calculateur!AQ114*Calculateur!AS114*VLOOKUP('Données projet'!$B$10,Paramètres!$A$1:$I$89,3,0)*0.475*44/12</f>
        <v>11.881691318553708</v>
      </c>
      <c r="AW114" s="21">
        <f>EXP(-LN(2)/2)*AW113+(1-EXP(-LN(2)/2))/(LN(2)/2)*AQ114*AT114*VLOOKUP('Données projet'!$B$10,Paramètres!$A$1:$I$89,3,0)*0.475*44/12</f>
        <v>9.0869443847773857E-7</v>
      </c>
      <c r="AX114" s="21">
        <f t="shared" si="60"/>
        <v>64.469162274442112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1.064108801074326E-13</v>
      </c>
      <c r="BF114" s="13">
        <f t="shared" si="91"/>
        <v>1.5870730813698654E-12</v>
      </c>
      <c r="BG114" s="20">
        <f t="shared" si="61"/>
        <v>2.9494845662396269E-12</v>
      </c>
      <c r="BH114" s="59">
        <f t="shared" si="62"/>
        <v>293.33333333333627</v>
      </c>
      <c r="BI114" s="59">
        <f ca="1">AVERAGE(OFFSET($BH$3,0,0,'Données projet'!$E$11+1,1))-AVERAGE(OFFSET($H$3,0,0,'Données projet'!$E$11+1,1))</f>
        <v>227.19831549982962</v>
      </c>
      <c r="BJ114" s="59">
        <f t="shared" si="92"/>
        <v>309.84543033784564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67.952018279803951</v>
      </c>
      <c r="BQ114" s="21">
        <f>EXP(-LN(2)/25)*BQ113+(1-EXP(-LN(2)/25))/(LN(2)/25)*Calculateur!BL114*Calculateur!BN114*VLOOKUP('Données projet'!$B$11,Paramètres!$A$1:$I$89,3,0)*0.475*44/12</f>
        <v>16.200628023564391</v>
      </c>
      <c r="BR114" s="21">
        <f>EXP(-LN(2)/2)*BR113+(1-EXP(-LN(2)/2))/(LN(2)/2)*BL114*BO114*VLOOKUP('Données projet'!$B$11,Paramètres!$A$1:$I$89,3,0)*0.475*44/12</f>
        <v>2.5468757388512186E-6</v>
      </c>
      <c r="BS114" s="22">
        <f t="shared" si="63"/>
        <v>84.152648850244077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2.2737367544323206E-13</v>
      </c>
      <c r="BZ114" s="13">
        <f>BY114*VLOOKUP('Données projet'!$B$12,Paramètres!$A$1:$I$89,3,0)*VLOOKUP('Données projet'!$B$12,Paramètres!$A$1:$I$89,5,0)</f>
        <v>1.4897523215040565E-13</v>
      </c>
      <c r="CA114" s="13">
        <f t="shared" si="93"/>
        <v>2.136562777003313E-12</v>
      </c>
      <c r="CB114" s="20">
        <f t="shared" si="64"/>
        <v>3.9806453659427267E-12</v>
      </c>
      <c r="CC114" s="59">
        <f t="shared" si="65"/>
        <v>293.33333333333729</v>
      </c>
      <c r="CD114" s="59">
        <f ca="1">AVERAGE(OFFSET($CC$3,0,0,'Données projet'!$E$12+1,1))-AVERAGE(OFFSET($H$3,0,0,'Données projet'!$E$12+1,1))</f>
        <v>91.274378490051788</v>
      </c>
      <c r="CE114" s="59">
        <f t="shared" si="94"/>
        <v>126.60105012427914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11.15347495821346</v>
      </c>
      <c r="CL114" s="21">
        <f>EXP(-LN(2)/25)*CL113+(1-EXP(-LN(2)/25))/(LN(2)/25)*Calculateur!CG114*Calculateur!CI114*VLOOKUP('Données projet'!$B$12,Paramètres!$A$1:$I$89,3,0)*0.475*44/12</f>
        <v>10.079377155382778</v>
      </c>
      <c r="CM114" s="21">
        <f>EXP(-LN(2)/2)*CM113+(1-EXP(-LN(2)/2))/(LN(2)/2)*CG114*CJ114*VLOOKUP('Données projet'!$B$12,Paramètres!$A$1:$I$89,3,0)*0.475*44/12</f>
        <v>1.7326829693725423E-2</v>
      </c>
      <c r="CN114" s="22">
        <f t="shared" si="66"/>
        <v>21.250178943289963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350.09239406910712</v>
      </c>
      <c r="T115" s="59">
        <f t="shared" si="88"/>
        <v>473.30663081727369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78.232748769973881</v>
      </c>
      <c r="AA115" s="21">
        <f>EXP(-LN(2)/25)*AA114+(1-EXP(-LN(2)/25))/(LN(2)/25)*Calculateur!V115*Calculateur!X115*VLOOKUP('Données projet'!$B$9,Paramètres!$A$1:$I$89,3,0)*0.475*44/12</f>
        <v>17.022880064367744</v>
      </c>
      <c r="AB115" s="21">
        <f>EXP(-LN(2)/2)*AB114+(1-EXP(-LN(2)/2))/(LN(2)/2)*V115*Y115*VLOOKUP('Données projet'!$B$9,Paramètres!$A$1:$I$89,3,0)*0.475*44/12</f>
        <v>1.7044714318971336E-7</v>
      </c>
      <c r="AC115" s="22">
        <f t="shared" si="57"/>
        <v>95.255629004788759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179.4725256147085</v>
      </c>
      <c r="AO115" s="59">
        <f t="shared" si="90"/>
        <v>282.16750121151176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51.556261834758068</v>
      </c>
      <c r="AV115" s="21">
        <f>EXP(-LN(2)/25)*AV114+(1-EXP(-LN(2)/25))/(LN(2)/25)*Calculateur!AQ115*Calculateur!AS115*VLOOKUP('Données projet'!$B$10,Paramètres!$A$1:$I$89,3,0)*0.475*44/12</f>
        <v>11.556785844616867</v>
      </c>
      <c r="AW115" s="21">
        <f>EXP(-LN(2)/2)*AW114+(1-EXP(-LN(2)/2))/(LN(2)/2)*AQ115*AT115*VLOOKUP('Données projet'!$B$10,Paramètres!$A$1:$I$89,3,0)*0.475*44/12</f>
        <v>6.4254399947411095E-7</v>
      </c>
      <c r="AX115" s="21">
        <f t="shared" si="60"/>
        <v>63.113048321918939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1.064108801074326E-13</v>
      </c>
      <c r="BF115" s="13">
        <f t="shared" si="91"/>
        <v>1.5870730813698654E-12</v>
      </c>
      <c r="BG115" s="20">
        <f t="shared" si="61"/>
        <v>2.9494845662396269E-12</v>
      </c>
      <c r="BH115" s="59">
        <f t="shared" si="62"/>
        <v>293.33333333333627</v>
      </c>
      <c r="BI115" s="59">
        <f ca="1">AVERAGE(OFFSET($BH$3,0,0,'Données projet'!$E$11+1,1))-AVERAGE(OFFSET($H$3,0,0,'Données projet'!$E$11+1,1))</f>
        <v>227.19831549982962</v>
      </c>
      <c r="BJ115" s="59">
        <f t="shared" si="92"/>
        <v>309.84543033784564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66.619520647975634</v>
      </c>
      <c r="BQ115" s="21">
        <f>EXP(-LN(2)/25)*BQ114+(1-EXP(-LN(2)/25))/(LN(2)/25)*Calculateur!BL115*Calculateur!BN115*VLOOKUP('Données projet'!$B$11,Paramètres!$A$1:$I$89,3,0)*0.475*44/12</f>
        <v>15.757620998306022</v>
      </c>
      <c r="BR115" s="21">
        <f>EXP(-LN(2)/2)*BR114+(1-EXP(-LN(2)/2))/(LN(2)/2)*BL115*BO115*VLOOKUP('Données projet'!$B$11,Paramètres!$A$1:$I$89,3,0)*0.475*44/12</f>
        <v>1.8009131057811952E-6</v>
      </c>
      <c r="BS115" s="22">
        <f t="shared" si="63"/>
        <v>82.377143447194769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2.2737367544323206E-13</v>
      </c>
      <c r="BZ115" s="13">
        <f>BY115*VLOOKUP('Données projet'!$B$12,Paramètres!$A$1:$I$89,3,0)*VLOOKUP('Données projet'!$B$12,Paramètres!$A$1:$I$89,5,0)</f>
        <v>1.4897523215040565E-13</v>
      </c>
      <c r="CA115" s="13">
        <f t="shared" si="93"/>
        <v>2.136562777003313E-12</v>
      </c>
      <c r="CB115" s="20">
        <f t="shared" si="64"/>
        <v>3.9806453659427267E-12</v>
      </c>
      <c r="CC115" s="59">
        <f t="shared" si="65"/>
        <v>293.33333333333729</v>
      </c>
      <c r="CD115" s="59">
        <f ca="1">AVERAGE(OFFSET($CC$3,0,0,'Données projet'!$E$12+1,1))-AVERAGE(OFFSET($H$3,0,0,'Données projet'!$E$12+1,1))</f>
        <v>91.274378490051788</v>
      </c>
      <c r="CE115" s="59">
        <f t="shared" si="94"/>
        <v>126.60105012427914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10.934762117230884</v>
      </c>
      <c r="CL115" s="21">
        <f>EXP(-LN(2)/25)*CL114+(1-EXP(-LN(2)/25))/(LN(2)/25)*Calculateur!CG115*Calculateur!CI115*VLOOKUP('Données projet'!$B$12,Paramètres!$A$1:$I$89,3,0)*0.475*44/12</f>
        <v>9.8037560570174271</v>
      </c>
      <c r="CM115" s="21">
        <f>EXP(-LN(2)/2)*CM114+(1-EXP(-LN(2)/2))/(LN(2)/2)*CG115*CJ115*VLOOKUP('Données projet'!$B$12,Paramètres!$A$1:$I$89,3,0)*0.475*44/12</f>
        <v>1.2251918772897677E-2</v>
      </c>
      <c r="CN115" s="22">
        <f t="shared" si="66"/>
        <v>20.75077009302121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350.09239406910712</v>
      </c>
      <c r="T116" s="59">
        <f t="shared" si="88"/>
        <v>473.30663081727369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76.698652283859758</v>
      </c>
      <c r="AA116" s="21">
        <f>EXP(-LN(2)/25)*AA115+(1-EXP(-LN(2)/25))/(LN(2)/25)*Calculateur!V116*Calculateur!X116*VLOOKUP('Données projet'!$B$9,Paramètres!$A$1:$I$89,3,0)*0.475*44/12</f>
        <v>16.557388513813251</v>
      </c>
      <c r="AB116" s="21">
        <f>EXP(-LN(2)/2)*AB115+(1-EXP(-LN(2)/2))/(LN(2)/2)*V116*Y116*VLOOKUP('Données projet'!$B$9,Paramètres!$A$1:$I$89,3,0)*0.475*44/12</f>
        <v>1.2052433078332078E-7</v>
      </c>
      <c r="AC116" s="22">
        <f t="shared" si="57"/>
        <v>93.256040918197343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179.4725256147085</v>
      </c>
      <c r="AO116" s="59">
        <f t="shared" si="90"/>
        <v>282.16750121151176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50.545274986393125</v>
      </c>
      <c r="AV116" s="21">
        <f>EXP(-LN(2)/25)*AV115+(1-EXP(-LN(2)/25))/(LN(2)/25)*Calculateur!AQ116*Calculateur!AS116*VLOOKUP('Données projet'!$B$10,Paramètres!$A$1:$I$89,3,0)*0.475*44/12</f>
        <v>11.240764927950865</v>
      </c>
      <c r="AW116" s="21">
        <f>EXP(-LN(2)/2)*AW115+(1-EXP(-LN(2)/2))/(LN(2)/2)*AQ116*AT116*VLOOKUP('Données projet'!$B$10,Paramètres!$A$1:$I$89,3,0)*0.475*44/12</f>
        <v>4.5434721923886929E-7</v>
      </c>
      <c r="AX116" s="21">
        <f t="shared" si="60"/>
        <v>61.786040368691204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1.064108801074326E-13</v>
      </c>
      <c r="BF116" s="13">
        <f t="shared" si="91"/>
        <v>1.5870730813698654E-12</v>
      </c>
      <c r="BG116" s="20">
        <f t="shared" si="61"/>
        <v>2.9494845662396269E-12</v>
      </c>
      <c r="BH116" s="59">
        <f t="shared" si="62"/>
        <v>293.33333333333627</v>
      </c>
      <c r="BI116" s="59">
        <f ca="1">AVERAGE(OFFSET($BH$3,0,0,'Données projet'!$E$11+1,1))-AVERAGE(OFFSET($H$3,0,0,'Données projet'!$E$11+1,1))</f>
        <v>227.19831549982962</v>
      </c>
      <c r="BJ116" s="59">
        <f t="shared" si="92"/>
        <v>309.84543033784564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65.313152481964167</v>
      </c>
      <c r="BQ116" s="21">
        <f>EXP(-LN(2)/25)*BQ115+(1-EXP(-LN(2)/25))/(LN(2)/25)*Calculateur!BL116*Calculateur!BN116*VLOOKUP('Données projet'!$B$11,Paramètres!$A$1:$I$89,3,0)*0.475*44/12</f>
        <v>15.32672802345007</v>
      </c>
      <c r="BR116" s="21">
        <f>EXP(-LN(2)/2)*BR115+(1-EXP(-LN(2)/2))/(LN(2)/2)*BL116*BO116*VLOOKUP('Données projet'!$B$11,Paramètres!$A$1:$I$89,3,0)*0.475*44/12</f>
        <v>1.2734378694256093E-6</v>
      </c>
      <c r="BS116" s="22">
        <f t="shared" si="63"/>
        <v>80.639881778852114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2.2737367544323206E-13</v>
      </c>
      <c r="BZ116" s="13">
        <f>BY116*VLOOKUP('Données projet'!$B$12,Paramètres!$A$1:$I$89,3,0)*VLOOKUP('Données projet'!$B$12,Paramètres!$A$1:$I$89,5,0)</f>
        <v>1.4897523215040565E-13</v>
      </c>
      <c r="CA116" s="13">
        <f t="shared" si="93"/>
        <v>2.136562777003313E-12</v>
      </c>
      <c r="CB116" s="20">
        <f t="shared" si="64"/>
        <v>3.9806453659427267E-12</v>
      </c>
      <c r="CC116" s="59">
        <f t="shared" si="65"/>
        <v>293.33333333333729</v>
      </c>
      <c r="CD116" s="59">
        <f ca="1">AVERAGE(OFFSET($CC$3,0,0,'Données projet'!$E$12+1,1))-AVERAGE(OFFSET($H$3,0,0,'Données projet'!$E$12+1,1))</f>
        <v>91.274378490051788</v>
      </c>
      <c r="CE116" s="59">
        <f t="shared" si="94"/>
        <v>126.60105012427914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10.720338101658315</v>
      </c>
      <c r="CL116" s="21">
        <f>EXP(-LN(2)/25)*CL115+(1-EXP(-LN(2)/25))/(LN(2)/25)*Calculateur!CG116*Calculateur!CI116*VLOOKUP('Données projet'!$B$12,Paramètres!$A$1:$I$89,3,0)*0.475*44/12</f>
        <v>9.535671832081162</v>
      </c>
      <c r="CM116" s="21">
        <f>EXP(-LN(2)/2)*CM115+(1-EXP(-LN(2)/2))/(LN(2)/2)*CG116*CJ116*VLOOKUP('Données projet'!$B$12,Paramètres!$A$1:$I$89,3,0)*0.475*44/12</f>
        <v>8.6634148468627114E-3</v>
      </c>
      <c r="CN116" s="22">
        <f t="shared" si="66"/>
        <v>20.264673348586339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350.09239406910712</v>
      </c>
      <c r="T117" s="59">
        <f t="shared" si="88"/>
        <v>473.30663081727369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75.194638494131866</v>
      </c>
      <c r="AA117" s="21">
        <f>EXP(-LN(2)/25)*AA116+(1-EXP(-LN(2)/25))/(LN(2)/25)*Calculateur!V117*Calculateur!X117*VLOOKUP('Données projet'!$B$9,Paramètres!$A$1:$I$89,3,0)*0.475*44/12</f>
        <v>16.104625854187809</v>
      </c>
      <c r="AB117" s="21">
        <f>EXP(-LN(2)/2)*AB116+(1-EXP(-LN(2)/2))/(LN(2)/2)*V117*Y117*VLOOKUP('Données projet'!$B$9,Paramètres!$A$1:$I$89,3,0)*0.475*44/12</f>
        <v>8.5223571594856682E-8</v>
      </c>
      <c r="AC117" s="22">
        <f t="shared" si="57"/>
        <v>91.299264433543243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179.4725256147085</v>
      </c>
      <c r="AO117" s="59">
        <f t="shared" si="90"/>
        <v>282.16750121151176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49.554112973483527</v>
      </c>
      <c r="AV117" s="21">
        <f>EXP(-LN(2)/25)*AV116+(1-EXP(-LN(2)/25))/(LN(2)/25)*Calculateur!AQ117*Calculateur!AS117*VLOOKUP('Données projet'!$B$10,Paramètres!$A$1:$I$89,3,0)*0.475*44/12</f>
        <v>10.933385619869911</v>
      </c>
      <c r="AW117" s="21">
        <f>EXP(-LN(2)/2)*AW116+(1-EXP(-LN(2)/2))/(LN(2)/2)*AQ117*AT117*VLOOKUP('Données projet'!$B$10,Paramètres!$A$1:$I$89,3,0)*0.475*44/12</f>
        <v>3.2127199973705548E-7</v>
      </c>
      <c r="AX117" s="21">
        <f t="shared" si="60"/>
        <v>60.487498914625434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1.064108801074326E-13</v>
      </c>
      <c r="BF117" s="13">
        <f t="shared" si="91"/>
        <v>1.5870730813698654E-12</v>
      </c>
      <c r="BG117" s="20">
        <f t="shared" si="61"/>
        <v>2.9494845662396269E-12</v>
      </c>
      <c r="BH117" s="59">
        <f t="shared" si="62"/>
        <v>293.33333333333627</v>
      </c>
      <c r="BI117" s="59">
        <f ca="1">AVERAGE(OFFSET($BH$3,0,0,'Données projet'!$E$11+1,1))-AVERAGE(OFFSET($H$3,0,0,'Données projet'!$E$11+1,1))</f>
        <v>227.19831549982962</v>
      </c>
      <c r="BJ117" s="59">
        <f t="shared" si="92"/>
        <v>309.84543033784564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64.032401398882271</v>
      </c>
      <c r="BQ117" s="21">
        <f>EXP(-LN(2)/25)*BQ116+(1-EXP(-LN(2)/25))/(LN(2)/25)*Calculateur!BL117*Calculateur!BN117*VLOOKUP('Données projet'!$B$11,Paramètres!$A$1:$I$89,3,0)*0.475*44/12</f>
        <v>14.90761783965123</v>
      </c>
      <c r="BR117" s="21">
        <f>EXP(-LN(2)/2)*BR116+(1-EXP(-LN(2)/2))/(LN(2)/2)*BL117*BO117*VLOOKUP('Données projet'!$B$11,Paramètres!$A$1:$I$89,3,0)*0.475*44/12</f>
        <v>9.0045655289059759E-7</v>
      </c>
      <c r="BS117" s="22">
        <f t="shared" si="63"/>
        <v>78.94002013899005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2.2737367544323206E-13</v>
      </c>
      <c r="BZ117" s="13">
        <f>BY117*VLOOKUP('Données projet'!$B$12,Paramètres!$A$1:$I$89,3,0)*VLOOKUP('Données projet'!$B$12,Paramètres!$A$1:$I$89,5,0)</f>
        <v>1.4897523215040565E-13</v>
      </c>
      <c r="CA117" s="13">
        <f t="shared" si="93"/>
        <v>2.136562777003313E-12</v>
      </c>
      <c r="CB117" s="20">
        <f t="shared" si="64"/>
        <v>3.9806453659427267E-12</v>
      </c>
      <c r="CC117" s="59">
        <f t="shared" si="65"/>
        <v>293.33333333333729</v>
      </c>
      <c r="CD117" s="59">
        <f ca="1">AVERAGE(OFFSET($CC$3,0,0,'Données projet'!$E$12+1,1))-AVERAGE(OFFSET($H$3,0,0,'Données projet'!$E$12+1,1))</f>
        <v>91.274378490051788</v>
      </c>
      <c r="CE117" s="59">
        <f t="shared" si="94"/>
        <v>126.60105012427914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10.510118810245389</v>
      </c>
      <c r="CL117" s="21">
        <f>EXP(-LN(2)/25)*CL116+(1-EXP(-LN(2)/25))/(LN(2)/25)*Calculateur!CG117*Calculateur!CI117*VLOOKUP('Données projet'!$B$12,Paramètres!$A$1:$I$89,3,0)*0.475*44/12</f>
        <v>9.2749183843737146</v>
      </c>
      <c r="CM117" s="21">
        <f>EXP(-LN(2)/2)*CM116+(1-EXP(-LN(2)/2))/(LN(2)/2)*CG117*CJ117*VLOOKUP('Données projet'!$B$12,Paramètres!$A$1:$I$89,3,0)*0.475*44/12</f>
        <v>6.1259593864488385E-3</v>
      </c>
      <c r="CN117" s="22">
        <f t="shared" si="66"/>
        <v>19.791163154005552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350.09239406910712</v>
      </c>
      <c r="T118" s="59">
        <f t="shared" si="88"/>
        <v>473.30663081727369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73.720117497462709</v>
      </c>
      <c r="AA118" s="21">
        <f>EXP(-LN(2)/25)*AA117+(1-EXP(-LN(2)/25))/(LN(2)/25)*Calculateur!V118*Calculateur!X118*VLOOKUP('Données projet'!$B$9,Paramètres!$A$1:$I$89,3,0)*0.475*44/12</f>
        <v>15.664244013299577</v>
      </c>
      <c r="AB118" s="21">
        <f>EXP(-LN(2)/2)*AB117+(1-EXP(-LN(2)/2))/(LN(2)/2)*V118*Y118*VLOOKUP('Données projet'!$B$9,Paramètres!$A$1:$I$89,3,0)*0.475*44/12</f>
        <v>6.0262165391660389E-8</v>
      </c>
      <c r="AC118" s="22">
        <f t="shared" si="57"/>
        <v>89.384361571024456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179.4725256147085</v>
      </c>
      <c r="AO118" s="59">
        <f t="shared" si="90"/>
        <v>282.16750121151176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48.582387043097953</v>
      </c>
      <c r="AV118" s="21">
        <f>EXP(-LN(2)/25)*AV117+(1-EXP(-LN(2)/25))/(LN(2)/25)*Calculateur!AQ118*Calculateur!AS118*VLOOKUP('Données projet'!$B$10,Paramètres!$A$1:$I$89,3,0)*0.475*44/12</f>
        <v>10.634411615132807</v>
      </c>
      <c r="AW118" s="21">
        <f>EXP(-LN(2)/2)*AW117+(1-EXP(-LN(2)/2))/(LN(2)/2)*AQ118*AT118*VLOOKUP('Données projet'!$B$10,Paramètres!$A$1:$I$89,3,0)*0.475*44/12</f>
        <v>2.2717360961943464E-7</v>
      </c>
      <c r="AX118" s="21">
        <f t="shared" si="60"/>
        <v>59.216798885404366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1.064108801074326E-13</v>
      </c>
      <c r="BF118" s="13">
        <f t="shared" si="91"/>
        <v>1.5870730813698654E-12</v>
      </c>
      <c r="BG118" s="20">
        <f t="shared" si="61"/>
        <v>2.9494845662396269E-12</v>
      </c>
      <c r="BH118" s="59">
        <f t="shared" si="62"/>
        <v>293.33333333333627</v>
      </c>
      <c r="BI118" s="59">
        <f ca="1">AVERAGE(OFFSET($BH$3,0,0,'Données projet'!$E$11+1,1))-AVERAGE(OFFSET($H$3,0,0,'Données projet'!$E$11+1,1))</f>
        <v>227.19831549982962</v>
      </c>
      <c r="BJ118" s="59">
        <f t="shared" si="92"/>
        <v>309.84543033784564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62.776765063358596</v>
      </c>
      <c r="BQ118" s="21">
        <f>EXP(-LN(2)/25)*BQ117+(1-EXP(-LN(2)/25))/(LN(2)/25)*Calculateur!BL118*Calculateur!BN118*VLOOKUP('Données projet'!$B$11,Paramètres!$A$1:$I$89,3,0)*0.475*44/12</f>
        <v>14.499968245868418</v>
      </c>
      <c r="BR118" s="21">
        <f>EXP(-LN(2)/2)*BR117+(1-EXP(-LN(2)/2))/(LN(2)/2)*BL118*BO118*VLOOKUP('Données projet'!$B$11,Paramètres!$A$1:$I$89,3,0)*0.475*44/12</f>
        <v>6.3671893471280464E-7</v>
      </c>
      <c r="BS118" s="22">
        <f t="shared" si="63"/>
        <v>77.276733945945949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2.2737367544323206E-13</v>
      </c>
      <c r="BZ118" s="13">
        <f>BY118*VLOOKUP('Données projet'!$B$12,Paramètres!$A$1:$I$89,3,0)*VLOOKUP('Données projet'!$B$12,Paramètres!$A$1:$I$89,5,0)</f>
        <v>1.4897523215040565E-13</v>
      </c>
      <c r="CA118" s="13">
        <f t="shared" si="93"/>
        <v>2.136562777003313E-12</v>
      </c>
      <c r="CB118" s="20">
        <f t="shared" si="64"/>
        <v>3.9806453659427267E-12</v>
      </c>
      <c r="CC118" s="59">
        <f t="shared" si="65"/>
        <v>293.33333333333729</v>
      </c>
      <c r="CD118" s="59">
        <f ca="1">AVERAGE(OFFSET($CC$3,0,0,'Données projet'!$E$12+1,1))-AVERAGE(OFFSET($H$3,0,0,'Données projet'!$E$12+1,1))</f>
        <v>91.274378490051788</v>
      </c>
      <c r="CE118" s="59">
        <f t="shared" si="94"/>
        <v>126.60105012427914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10.304021790915963</v>
      </c>
      <c r="CL118" s="21">
        <f>EXP(-LN(2)/25)*CL117+(1-EXP(-LN(2)/25))/(LN(2)/25)*Calculateur!CG118*Calculateur!CI118*VLOOKUP('Données projet'!$B$12,Paramètres!$A$1:$I$89,3,0)*0.475*44/12</f>
        <v>9.0212952534062563</v>
      </c>
      <c r="CM118" s="21">
        <f>EXP(-LN(2)/2)*CM117+(1-EXP(-LN(2)/2))/(LN(2)/2)*CG118*CJ118*VLOOKUP('Données projet'!$B$12,Paramètres!$A$1:$I$89,3,0)*0.475*44/12</f>
        <v>4.3317074234313557E-3</v>
      </c>
      <c r="CN118" s="22">
        <f t="shared" si="66"/>
        <v>19.329648751745651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350.09239406910712</v>
      </c>
      <c r="T119" s="59">
        <f t="shared" si="88"/>
        <v>473.30663081727369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72.27451095816923</v>
      </c>
      <c r="AA119" s="21">
        <f>EXP(-LN(2)/25)*AA118+(1-EXP(-LN(2)/25))/(LN(2)/25)*Calculateur!V119*Calculateur!X119*VLOOKUP('Données projet'!$B$9,Paramètres!$A$1:$I$89,3,0)*0.475*44/12</f>
        <v>15.235904437009108</v>
      </c>
      <c r="AB119" s="21">
        <f>EXP(-LN(2)/2)*AB118+(1-EXP(-LN(2)/2))/(LN(2)/2)*V119*Y119*VLOOKUP('Données projet'!$B$9,Paramètres!$A$1:$I$89,3,0)*0.475*44/12</f>
        <v>4.2611785797428341E-8</v>
      </c>
      <c r="AC119" s="22">
        <f t="shared" si="57"/>
        <v>87.51041543779013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179.4725256147085</v>
      </c>
      <c r="AO119" s="59">
        <f t="shared" si="90"/>
        <v>282.16750121151176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47.629716065512952</v>
      </c>
      <c r="AV119" s="21">
        <f>EXP(-LN(2)/25)*AV118+(1-EXP(-LN(2)/25))/(LN(2)/25)*Calculateur!AQ119*Calculateur!AS119*VLOOKUP('Données projet'!$B$10,Paramètres!$A$1:$I$89,3,0)*0.475*44/12</f>
        <v>10.343613070277598</v>
      </c>
      <c r="AW119" s="21">
        <f>EXP(-LN(2)/2)*AW118+(1-EXP(-LN(2)/2))/(LN(2)/2)*AQ119*AT119*VLOOKUP('Données projet'!$B$10,Paramètres!$A$1:$I$89,3,0)*0.475*44/12</f>
        <v>1.6063599986852774E-7</v>
      </c>
      <c r="AX119" s="21">
        <f t="shared" si="60"/>
        <v>57.973329296426549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1.064108801074326E-13</v>
      </c>
      <c r="BF119" s="13">
        <f t="shared" si="91"/>
        <v>1.5870730813698654E-12</v>
      </c>
      <c r="BG119" s="20">
        <f t="shared" si="61"/>
        <v>2.9494845662396269E-12</v>
      </c>
      <c r="BH119" s="59">
        <f t="shared" si="62"/>
        <v>293.33333333333627</v>
      </c>
      <c r="BI119" s="59">
        <f ca="1">AVERAGE(OFFSET($BH$3,0,0,'Données projet'!$E$11+1,1))-AVERAGE(OFFSET($H$3,0,0,'Données projet'!$E$11+1,1))</f>
        <v>227.19831549982962</v>
      </c>
      <c r="BJ119" s="59">
        <f t="shared" si="92"/>
        <v>309.84543033784564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61.545750990511998</v>
      </c>
      <c r="BQ119" s="21">
        <f>EXP(-LN(2)/25)*BQ118+(1-EXP(-LN(2)/25))/(LN(2)/25)*Calculateur!BL119*Calculateur!BN119*VLOOKUP('Données projet'!$B$11,Paramètres!$A$1:$I$89,3,0)*0.475*44/12</f>
        <v>14.103465851664955</v>
      </c>
      <c r="BR119" s="21">
        <f>EXP(-LN(2)/2)*BR118+(1-EXP(-LN(2)/2))/(LN(2)/2)*BL119*BO119*VLOOKUP('Données projet'!$B$11,Paramètres!$A$1:$I$89,3,0)*0.475*44/12</f>
        <v>4.5022827644529879E-7</v>
      </c>
      <c r="BS119" s="22">
        <f t="shared" si="63"/>
        <v>75.649217292405226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2.2737367544323206E-13</v>
      </c>
      <c r="BZ119" s="13">
        <f>BY119*VLOOKUP('Données projet'!$B$12,Paramètres!$A$1:$I$89,3,0)*VLOOKUP('Données projet'!$B$12,Paramètres!$A$1:$I$89,5,0)</f>
        <v>1.4897523215040565E-13</v>
      </c>
      <c r="CA119" s="13">
        <f t="shared" si="93"/>
        <v>2.136562777003313E-12</v>
      </c>
      <c r="CB119" s="20">
        <f t="shared" si="64"/>
        <v>3.9806453659427267E-12</v>
      </c>
      <c r="CC119" s="59">
        <f t="shared" si="65"/>
        <v>293.33333333333729</v>
      </c>
      <c r="CD119" s="59">
        <f ca="1">AVERAGE(OFFSET($CC$3,0,0,'Données projet'!$E$12+1,1))-AVERAGE(OFFSET($H$3,0,0,'Données projet'!$E$12+1,1))</f>
        <v>91.274378490051788</v>
      </c>
      <c r="CE119" s="59">
        <f t="shared" si="94"/>
        <v>126.60105012427914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10.101966208428818</v>
      </c>
      <c r="CL119" s="21">
        <f>EXP(-LN(2)/25)*CL118+(1-EXP(-LN(2)/25))/(LN(2)/25)*Calculateur!CG119*Calculateur!CI119*VLOOKUP('Données projet'!$B$12,Paramètres!$A$1:$I$89,3,0)*0.475*44/12</f>
        <v>8.7746074602925628</v>
      </c>
      <c r="CM119" s="21">
        <f>EXP(-LN(2)/2)*CM118+(1-EXP(-LN(2)/2))/(LN(2)/2)*CG119*CJ119*VLOOKUP('Données projet'!$B$12,Paramètres!$A$1:$I$89,3,0)*0.475*44/12</f>
        <v>3.0629796932244192E-3</v>
      </c>
      <c r="CN119" s="22">
        <f t="shared" si="66"/>
        <v>18.879636648414607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350.09239406910712</v>
      </c>
      <c r="T120" s="59">
        <f t="shared" si="88"/>
        <v>473.30663081727369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70.857251881378374</v>
      </c>
      <c r="AA120" s="21">
        <f>EXP(-LN(2)/25)*AA119+(1-EXP(-LN(2)/25))/(LN(2)/25)*Calculateur!V120*Calculateur!X120*VLOOKUP('Données projet'!$B$9,Paramètres!$A$1:$I$89,3,0)*0.475*44/12</f>
        <v>14.819277828957702</v>
      </c>
      <c r="AB120" s="21">
        <f>EXP(-LN(2)/2)*AB119+(1-EXP(-LN(2)/2))/(LN(2)/2)*V120*Y120*VLOOKUP('Données projet'!$B$9,Paramètres!$A$1:$I$89,3,0)*0.475*44/12</f>
        <v>3.0131082695830194E-8</v>
      </c>
      <c r="AC120" s="22">
        <f t="shared" si="57"/>
        <v>85.676529740467146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179.4725256147085</v>
      </c>
      <c r="AO120" s="59">
        <f t="shared" si="90"/>
        <v>282.16750121151176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46.69572638472647</v>
      </c>
      <c r="AV120" s="21">
        <f>EXP(-LN(2)/25)*AV119+(1-EXP(-LN(2)/25))/(LN(2)/25)*Calculateur!AQ120*Calculateur!AS120*VLOOKUP('Données projet'!$B$10,Paramètres!$A$1:$I$89,3,0)*0.475*44/12</f>
        <v>10.060766426923887</v>
      </c>
      <c r="AW120" s="21">
        <f>EXP(-LN(2)/2)*AW119+(1-EXP(-LN(2)/2))/(LN(2)/2)*AQ120*AT120*VLOOKUP('Données projet'!$B$10,Paramètres!$A$1:$I$89,3,0)*0.475*44/12</f>
        <v>1.1358680480971732E-7</v>
      </c>
      <c r="AX120" s="21">
        <f t="shared" si="60"/>
        <v>56.756492925237168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1.064108801074326E-13</v>
      </c>
      <c r="BF120" s="13">
        <f t="shared" si="91"/>
        <v>1.5870730813698654E-12</v>
      </c>
      <c r="BG120" s="20">
        <f t="shared" si="61"/>
        <v>2.9494845662396269E-12</v>
      </c>
      <c r="BH120" s="59">
        <f t="shared" si="62"/>
        <v>293.33333333333627</v>
      </c>
      <c r="BI120" s="59">
        <f ca="1">AVERAGE(OFFSET($BH$3,0,0,'Données projet'!$E$11+1,1))-AVERAGE(OFFSET($H$3,0,0,'Données projet'!$E$11+1,1))</f>
        <v>227.19831549982962</v>
      </c>
      <c r="BJ120" s="59">
        <f t="shared" si="92"/>
        <v>309.84543033784564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60.338876352789477</v>
      </c>
      <c r="BQ120" s="21">
        <f>EXP(-LN(2)/25)*BQ119+(1-EXP(-LN(2)/25))/(LN(2)/25)*Calculateur!BL120*Calculateur!BN120*VLOOKUP('Données projet'!$B$11,Paramètres!$A$1:$I$89,3,0)*0.475*44/12</f>
        <v>13.717805836282142</v>
      </c>
      <c r="BR120" s="21">
        <f>EXP(-LN(2)/2)*BR119+(1-EXP(-LN(2)/2))/(LN(2)/2)*BL120*BO120*VLOOKUP('Données projet'!$B$11,Paramètres!$A$1:$I$89,3,0)*0.475*44/12</f>
        <v>3.1835946735640232E-7</v>
      </c>
      <c r="BS120" s="22">
        <f t="shared" si="63"/>
        <v>74.056682507431091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2.2737367544323206E-13</v>
      </c>
      <c r="BZ120" s="13">
        <f>BY120*VLOOKUP('Données projet'!$B$12,Paramètres!$A$1:$I$89,3,0)*VLOOKUP('Données projet'!$B$12,Paramètres!$A$1:$I$89,5,0)</f>
        <v>1.4897523215040565E-13</v>
      </c>
      <c r="CA120" s="13">
        <f t="shared" si="93"/>
        <v>2.136562777003313E-12</v>
      </c>
      <c r="CB120" s="20">
        <f t="shared" si="64"/>
        <v>3.9806453659427267E-12</v>
      </c>
      <c r="CC120" s="59">
        <f t="shared" si="65"/>
        <v>293.33333333333729</v>
      </c>
      <c r="CD120" s="59">
        <f ca="1">AVERAGE(OFFSET($CC$3,0,0,'Données projet'!$E$12+1,1))-AVERAGE(OFFSET($H$3,0,0,'Données projet'!$E$12+1,1))</f>
        <v>91.274378490051788</v>
      </c>
      <c r="CE120" s="59">
        <f t="shared" si="94"/>
        <v>126.60105012427914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9.9038728126725104</v>
      </c>
      <c r="CL120" s="21">
        <f>EXP(-LN(2)/25)*CL119+(1-EXP(-LN(2)/25))/(LN(2)/25)*Calculateur!CG120*Calculateur!CI120*VLOOKUP('Données projet'!$B$12,Paramètres!$A$1:$I$89,3,0)*0.475*44/12</f>
        <v>8.5346653578543101</v>
      </c>
      <c r="CM120" s="21">
        <f>EXP(-LN(2)/2)*CM119+(1-EXP(-LN(2)/2))/(LN(2)/2)*CG120*CJ120*VLOOKUP('Données projet'!$B$12,Paramètres!$A$1:$I$89,3,0)*0.475*44/12</f>
        <v>2.1658537117156778E-3</v>
      </c>
      <c r="CN120" s="22">
        <f t="shared" si="66"/>
        <v>18.440704024238535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350.09239406910712</v>
      </c>
      <c r="T121" s="59">
        <f t="shared" si="88"/>
        <v>473.30663081727369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69.467784390640702</v>
      </c>
      <c r="AA121" s="21">
        <f>EXP(-LN(2)/25)*AA120+(1-EXP(-LN(2)/25))/(LN(2)/25)*Calculateur!V121*Calculateur!X121*VLOOKUP('Données projet'!$B$9,Paramètres!$A$1:$I$89,3,0)*0.475*44/12</f>
        <v>14.414043897412903</v>
      </c>
      <c r="AB121" s="21">
        <f>EXP(-LN(2)/2)*AB120+(1-EXP(-LN(2)/2))/(LN(2)/2)*V121*Y121*VLOOKUP('Données projet'!$B$9,Paramètres!$A$1:$I$89,3,0)*0.475*44/12</f>
        <v>2.1305892898714171E-8</v>
      </c>
      <c r="AC121" s="22">
        <f t="shared" si="57"/>
        <v>83.881828309359506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179.4725256147085</v>
      </c>
      <c r="AO121" s="59">
        <f t="shared" si="90"/>
        <v>282.16750121151176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45.780051671902754</v>
      </c>
      <c r="AV121" s="21">
        <f>EXP(-LN(2)/25)*AV120+(1-EXP(-LN(2)/25))/(LN(2)/25)*Calculateur!AQ121*Calculateur!AS121*VLOOKUP('Données projet'!$B$10,Paramètres!$A$1:$I$89,3,0)*0.475*44/12</f>
        <v>9.7856542399069415</v>
      </c>
      <c r="AW121" s="21">
        <f>EXP(-LN(2)/2)*AW120+(1-EXP(-LN(2)/2))/(LN(2)/2)*AQ121*AT121*VLOOKUP('Données projet'!$B$10,Paramètres!$A$1:$I$89,3,0)*0.475*44/12</f>
        <v>8.0317999934263869E-8</v>
      </c>
      <c r="AX121" s="21">
        <f t="shared" si="60"/>
        <v>55.565705992127697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1.064108801074326E-13</v>
      </c>
      <c r="BF121" s="13">
        <f t="shared" si="91"/>
        <v>1.5870730813698654E-12</v>
      </c>
      <c r="BG121" s="20">
        <f t="shared" si="61"/>
        <v>2.9494845662396269E-12</v>
      </c>
      <c r="BH121" s="59">
        <f t="shared" si="62"/>
        <v>293.33333333333627</v>
      </c>
      <c r="BI121" s="59">
        <f ca="1">AVERAGE(OFFSET($BH$3,0,0,'Données projet'!$E$11+1,1))-AVERAGE(OFFSET($H$3,0,0,'Données projet'!$E$11+1,1))</f>
        <v>227.19831549982962</v>
      </c>
      <c r="BJ121" s="59">
        <f t="shared" si="92"/>
        <v>309.84543033784564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59.155667790591849</v>
      </c>
      <c r="BQ121" s="21">
        <f>EXP(-LN(2)/25)*BQ120+(1-EXP(-LN(2)/25))/(LN(2)/25)*Calculateur!BL121*Calculateur!BN121*VLOOKUP('Données projet'!$B$11,Paramètres!$A$1:$I$89,3,0)*0.475*44/12</f>
        <v>13.342691714300951</v>
      </c>
      <c r="BR121" s="21">
        <f>EXP(-LN(2)/2)*BR120+(1-EXP(-LN(2)/2))/(LN(2)/2)*BL121*BO121*VLOOKUP('Données projet'!$B$11,Paramètres!$A$1:$I$89,3,0)*0.475*44/12</f>
        <v>2.251141382226494E-7</v>
      </c>
      <c r="BS121" s="22">
        <f t="shared" si="63"/>
        <v>72.498359730006939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2.2737367544323206E-13</v>
      </c>
      <c r="BZ121" s="13">
        <f>BY121*VLOOKUP('Données projet'!$B$12,Paramètres!$A$1:$I$89,3,0)*VLOOKUP('Données projet'!$B$12,Paramètres!$A$1:$I$89,5,0)</f>
        <v>1.4897523215040565E-13</v>
      </c>
      <c r="CA121" s="13">
        <f t="shared" si="93"/>
        <v>2.136562777003313E-12</v>
      </c>
      <c r="CB121" s="20">
        <f t="shared" si="64"/>
        <v>3.9806453659427267E-12</v>
      </c>
      <c r="CC121" s="59">
        <f t="shared" si="65"/>
        <v>293.33333333333729</v>
      </c>
      <c r="CD121" s="59">
        <f ca="1">AVERAGE(OFFSET($CC$3,0,0,'Données projet'!$E$12+1,1))-AVERAGE(OFFSET($H$3,0,0,'Données projet'!$E$12+1,1))</f>
        <v>91.274378490051788</v>
      </c>
      <c r="CE121" s="59">
        <f t="shared" si="94"/>
        <v>126.60105012427914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9.7096639075819429</v>
      </c>
      <c r="CL121" s="21">
        <f>EXP(-LN(2)/25)*CL120+(1-EXP(-LN(2)/25))/(LN(2)/25)*Calculateur!CG121*Calculateur!CI121*VLOOKUP('Données projet'!$B$12,Paramètres!$A$1:$I$89,3,0)*0.475*44/12</f>
        <v>8.3012844848252385</v>
      </c>
      <c r="CM121" s="21">
        <f>EXP(-LN(2)/2)*CM120+(1-EXP(-LN(2)/2))/(LN(2)/2)*CG121*CJ121*VLOOKUP('Données projet'!$B$12,Paramètres!$A$1:$I$89,3,0)*0.475*44/12</f>
        <v>1.5314898466122096E-3</v>
      </c>
      <c r="CN121" s="22">
        <f t="shared" si="66"/>
        <v>18.012479882253793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350.09239406910712</v>
      </c>
      <c r="T122" s="59">
        <f t="shared" si="88"/>
        <v>473.30663081727369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68.105563509904911</v>
      </c>
      <c r="AA122" s="21">
        <f>EXP(-LN(2)/25)*AA121+(1-EXP(-LN(2)/25))/(LN(2)/25)*Calculateur!V122*Calculateur!X122*VLOOKUP('Données projet'!$B$9,Paramètres!$A$1:$I$89,3,0)*0.475*44/12</f>
        <v>14.019891109036521</v>
      </c>
      <c r="AB122" s="21">
        <f>EXP(-LN(2)/2)*AB121+(1-EXP(-LN(2)/2))/(LN(2)/2)*V122*Y122*VLOOKUP('Données projet'!$B$9,Paramètres!$A$1:$I$89,3,0)*0.475*44/12</f>
        <v>1.5065541347915097E-8</v>
      </c>
      <c r="AC122" s="22">
        <f t="shared" si="57"/>
        <v>82.125454634006971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179.4725256147085</v>
      </c>
      <c r="AO122" s="59">
        <f t="shared" si="90"/>
        <v>282.16750121151176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44.882332781691083</v>
      </c>
      <c r="AV122" s="21">
        <f>EXP(-LN(2)/25)*AV121+(1-EXP(-LN(2)/25))/(LN(2)/25)*Calculateur!AQ122*Calculateur!AS122*VLOOKUP('Données projet'!$B$10,Paramètres!$A$1:$I$89,3,0)*0.475*44/12</f>
        <v>9.5180650101114956</v>
      </c>
      <c r="AW122" s="21">
        <f>EXP(-LN(2)/2)*AW121+(1-EXP(-LN(2)/2))/(LN(2)/2)*AQ122*AT122*VLOOKUP('Données projet'!$B$10,Paramètres!$A$1:$I$89,3,0)*0.475*44/12</f>
        <v>5.6793402404858661E-8</v>
      </c>
      <c r="AX122" s="21">
        <f t="shared" si="60"/>
        <v>54.400397848595979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1.064108801074326E-13</v>
      </c>
      <c r="BF122" s="13">
        <f t="shared" si="91"/>
        <v>1.5870730813698654E-12</v>
      </c>
      <c r="BG122" s="20">
        <f t="shared" si="61"/>
        <v>2.9494845662396269E-12</v>
      </c>
      <c r="BH122" s="59">
        <f t="shared" si="62"/>
        <v>293.33333333333627</v>
      </c>
      <c r="BI122" s="59">
        <f ca="1">AVERAGE(OFFSET($BH$3,0,0,'Données projet'!$E$11+1,1))-AVERAGE(OFFSET($H$3,0,0,'Données projet'!$E$11+1,1))</f>
        <v>227.19831549982962</v>
      </c>
      <c r="BJ122" s="59">
        <f t="shared" si="92"/>
        <v>309.84543033784564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57.995661226612953</v>
      </c>
      <c r="BQ122" s="21">
        <f>EXP(-LN(2)/25)*BQ121+(1-EXP(-LN(2)/25))/(LN(2)/25)*Calculateur!BL122*Calculateur!BN122*VLOOKUP('Données projet'!$B$11,Paramètres!$A$1:$I$89,3,0)*0.475*44/12</f>
        <v>12.97783510771173</v>
      </c>
      <c r="BR122" s="21">
        <f>EXP(-LN(2)/2)*BR121+(1-EXP(-LN(2)/2))/(LN(2)/2)*BL122*BO122*VLOOKUP('Données projet'!$B$11,Paramètres!$A$1:$I$89,3,0)*0.475*44/12</f>
        <v>1.5917973367820116E-7</v>
      </c>
      <c r="BS122" s="22">
        <f t="shared" si="63"/>
        <v>70.973496493504413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2.2737367544323206E-13</v>
      </c>
      <c r="BZ122" s="13">
        <f>BY122*VLOOKUP('Données projet'!$B$12,Paramètres!$A$1:$I$89,3,0)*VLOOKUP('Données projet'!$B$12,Paramètres!$A$1:$I$89,5,0)</f>
        <v>1.4897523215040565E-13</v>
      </c>
      <c r="CA122" s="13">
        <f t="shared" si="93"/>
        <v>2.136562777003313E-12</v>
      </c>
      <c r="CB122" s="20">
        <f t="shared" si="64"/>
        <v>3.9806453659427267E-12</v>
      </c>
      <c r="CC122" s="59">
        <f t="shared" si="65"/>
        <v>293.33333333333729</v>
      </c>
      <c r="CD122" s="59">
        <f ca="1">AVERAGE(OFFSET($CC$3,0,0,'Données projet'!$E$12+1,1))-AVERAGE(OFFSET($H$3,0,0,'Données projet'!$E$12+1,1))</f>
        <v>91.274378490051788</v>
      </c>
      <c r="CE122" s="59">
        <f t="shared" si="94"/>
        <v>126.60105012427914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9.5192633206644643</v>
      </c>
      <c r="CL122" s="21">
        <f>EXP(-LN(2)/25)*CL121+(1-EXP(-LN(2)/25))/(LN(2)/25)*Calculateur!CG122*Calculateur!CI122*VLOOKUP('Données projet'!$B$12,Paramètres!$A$1:$I$89,3,0)*0.475*44/12</f>
        <v>8.0742854240421149</v>
      </c>
      <c r="CM122" s="21">
        <f>EXP(-LN(2)/2)*CM121+(1-EXP(-LN(2)/2))/(LN(2)/2)*CG122*CJ122*VLOOKUP('Données projet'!$B$12,Paramètres!$A$1:$I$89,3,0)*0.475*44/12</f>
        <v>1.0829268558578389E-3</v>
      </c>
      <c r="CN122" s="22">
        <f t="shared" si="66"/>
        <v>17.594631671562439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350.09239406910712</v>
      </c>
      <c r="T123" s="59">
        <f t="shared" si="88"/>
        <v>473.30663081727369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66.770054949767655</v>
      </c>
      <c r="AA123" s="21">
        <f>EXP(-LN(2)/25)*AA122+(1-EXP(-LN(2)/25))/(LN(2)/25)*Calculateur!V123*Calculateur!X123*VLOOKUP('Données projet'!$B$9,Paramètres!$A$1:$I$89,3,0)*0.475*44/12</f>
        <v>13.636516449385887</v>
      </c>
      <c r="AB123" s="21">
        <f>EXP(-LN(2)/2)*AB122+(1-EXP(-LN(2)/2))/(LN(2)/2)*V123*Y123*VLOOKUP('Données projet'!$B$9,Paramètres!$A$1:$I$89,3,0)*0.475*44/12</f>
        <v>1.0652946449357085E-8</v>
      </c>
      <c r="AC123" s="22">
        <f t="shared" si="57"/>
        <v>80.406571409806475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179.4725256147085</v>
      </c>
      <c r="AO123" s="59">
        <f t="shared" si="90"/>
        <v>282.16750121151176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44.002217611362013</v>
      </c>
      <c r="AV123" s="21">
        <f>EXP(-LN(2)/25)*AV122+(1-EXP(-LN(2)/25))/(LN(2)/25)*Calculateur!AQ123*Calculateur!AS123*VLOOKUP('Données projet'!$B$10,Paramètres!$A$1:$I$89,3,0)*0.475*44/12</f>
        <v>9.2577930218767115</v>
      </c>
      <c r="AW123" s="21">
        <f>EXP(-LN(2)/2)*AW122+(1-EXP(-LN(2)/2))/(LN(2)/2)*AQ123*AT123*VLOOKUP('Données projet'!$B$10,Paramètres!$A$1:$I$89,3,0)*0.475*44/12</f>
        <v>4.0158999967131934E-8</v>
      </c>
      <c r="AX123" s="21">
        <f t="shared" si="60"/>
        <v>53.260010673397723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1.064108801074326E-13</v>
      </c>
      <c r="BF123" s="13">
        <f t="shared" si="91"/>
        <v>1.5870730813698654E-12</v>
      </c>
      <c r="BG123" s="20">
        <f t="shared" si="61"/>
        <v>2.9494845662396269E-12</v>
      </c>
      <c r="BH123" s="59">
        <f t="shared" si="62"/>
        <v>293.33333333333627</v>
      </c>
      <c r="BI123" s="59">
        <f ca="1">AVERAGE(OFFSET($BH$3,0,0,'Données projet'!$E$11+1,1))-AVERAGE(OFFSET($H$3,0,0,'Données projet'!$E$11+1,1))</f>
        <v>227.19831549982962</v>
      </c>
      <c r="BJ123" s="59">
        <f t="shared" si="92"/>
        <v>309.84543033784564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56.858401683819544</v>
      </c>
      <c r="BQ123" s="21">
        <f>EXP(-LN(2)/25)*BQ122+(1-EXP(-LN(2)/25))/(LN(2)/25)*Calculateur!BL123*Calculateur!BN123*VLOOKUP('Données projet'!$B$11,Paramètres!$A$1:$I$89,3,0)*0.475*44/12</f>
        <v>12.622955524216666</v>
      </c>
      <c r="BR123" s="21">
        <f>EXP(-LN(2)/2)*BR122+(1-EXP(-LN(2)/2))/(LN(2)/2)*BL123*BO123*VLOOKUP('Données projet'!$B$11,Paramètres!$A$1:$I$89,3,0)*0.475*44/12</f>
        <v>1.125570691113247E-7</v>
      </c>
      <c r="BS123" s="22">
        <f t="shared" si="63"/>
        <v>69.48135732059329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2.2737367544323206E-13</v>
      </c>
      <c r="BZ123" s="13">
        <f>BY123*VLOOKUP('Données projet'!$B$12,Paramètres!$A$1:$I$89,3,0)*VLOOKUP('Données projet'!$B$12,Paramètres!$A$1:$I$89,5,0)</f>
        <v>1.4897523215040565E-13</v>
      </c>
      <c r="CA123" s="13">
        <f t="shared" si="93"/>
        <v>2.136562777003313E-12</v>
      </c>
      <c r="CB123" s="20">
        <f t="shared" si="64"/>
        <v>3.9806453659427267E-12</v>
      </c>
      <c r="CC123" s="59">
        <f t="shared" si="65"/>
        <v>293.33333333333729</v>
      </c>
      <c r="CD123" s="59">
        <f ca="1">AVERAGE(OFFSET($CC$3,0,0,'Données projet'!$E$12+1,1))-AVERAGE(OFFSET($H$3,0,0,'Données projet'!$E$12+1,1))</f>
        <v>91.274378490051788</v>
      </c>
      <c r="CE123" s="59">
        <f t="shared" si="94"/>
        <v>126.60105012427914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9.3325963731235468</v>
      </c>
      <c r="CL123" s="21">
        <f>EXP(-LN(2)/25)*CL122+(1-EXP(-LN(2)/25))/(LN(2)/25)*Calculateur!CG123*Calculateur!CI123*VLOOKUP('Données projet'!$B$12,Paramètres!$A$1:$I$89,3,0)*0.475*44/12</f>
        <v>7.8534936645134668</v>
      </c>
      <c r="CM123" s="21">
        <f>EXP(-LN(2)/2)*CM122+(1-EXP(-LN(2)/2))/(LN(2)/2)*CG123*CJ123*VLOOKUP('Données projet'!$B$12,Paramètres!$A$1:$I$89,3,0)*0.475*44/12</f>
        <v>7.6574492330610481E-4</v>
      </c>
      <c r="CN123" s="22">
        <f t="shared" si="66"/>
        <v>17.186855782560322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350.09239406910712</v>
      </c>
      <c r="T124" s="59">
        <f t="shared" si="88"/>
        <v>473.30663081727369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65.460734897914904</v>
      </c>
      <c r="AA124" s="21">
        <f>EXP(-LN(2)/25)*AA123+(1-EXP(-LN(2)/25))/(LN(2)/25)*Calculateur!V124*Calculateur!X124*VLOOKUP('Données projet'!$B$9,Paramètres!$A$1:$I$89,3,0)*0.475*44/12</f>
        <v>13.263625189964197</v>
      </c>
      <c r="AB124" s="21">
        <f>EXP(-LN(2)/2)*AB123+(1-EXP(-LN(2)/2))/(LN(2)/2)*V124*Y124*VLOOKUP('Données projet'!$B$9,Paramètres!$A$1:$I$89,3,0)*0.475*44/12</f>
        <v>7.5327706739575486E-9</v>
      </c>
      <c r="AC124" s="22">
        <f t="shared" si="57"/>
        <v>78.724360095411882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179.4725256147085</v>
      </c>
      <c r="AO124" s="59">
        <f t="shared" si="90"/>
        <v>282.16750121151176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43.139360962705844</v>
      </c>
      <c r="AV124" s="21">
        <f>EXP(-LN(2)/25)*AV123+(1-EXP(-LN(2)/25))/(LN(2)/25)*Calculateur!AQ124*Calculateur!AS124*VLOOKUP('Données projet'!$B$10,Paramètres!$A$1:$I$89,3,0)*0.475*44/12</f>
        <v>9.004638184847316</v>
      </c>
      <c r="AW124" s="21">
        <f>EXP(-LN(2)/2)*AW123+(1-EXP(-LN(2)/2))/(LN(2)/2)*AQ124*AT124*VLOOKUP('Données projet'!$B$10,Paramètres!$A$1:$I$89,3,0)*0.475*44/12</f>
        <v>2.839670120242933E-8</v>
      </c>
      <c r="AX124" s="21">
        <f t="shared" si="60"/>
        <v>52.143999175949858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1.064108801074326E-13</v>
      </c>
      <c r="BF124" s="13">
        <f t="shared" si="91"/>
        <v>1.5870730813698654E-12</v>
      </c>
      <c r="BG124" s="20">
        <f t="shared" si="61"/>
        <v>2.9494845662396269E-12</v>
      </c>
      <c r="BH124" s="59">
        <f t="shared" si="62"/>
        <v>293.33333333333627</v>
      </c>
      <c r="BI124" s="59">
        <f ca="1">AVERAGE(OFFSET($BH$3,0,0,'Données projet'!$E$11+1,1))-AVERAGE(OFFSET($H$3,0,0,'Données projet'!$E$11+1,1))</f>
        <v>227.19831549982962</v>
      </c>
      <c r="BJ124" s="59">
        <f t="shared" si="92"/>
        <v>309.84543033784564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55.743443107000488</v>
      </c>
      <c r="BQ124" s="21">
        <f>EXP(-LN(2)/25)*BQ123+(1-EXP(-LN(2)/25))/(LN(2)/25)*Calculateur!BL124*Calculateur!BN124*VLOOKUP('Données projet'!$B$11,Paramètres!$A$1:$I$89,3,0)*0.475*44/12</f>
        <v>12.27778014159458</v>
      </c>
      <c r="BR124" s="21">
        <f>EXP(-LN(2)/2)*BR123+(1-EXP(-LN(2)/2))/(LN(2)/2)*BL124*BO124*VLOOKUP('Données projet'!$B$11,Paramètres!$A$1:$I$89,3,0)*0.475*44/12</f>
        <v>7.958986683910058E-8</v>
      </c>
      <c r="BS124" s="22">
        <f t="shared" si="63"/>
        <v>68.021223328184931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2.2737367544323206E-13</v>
      </c>
      <c r="BZ124" s="13">
        <f>BY124*VLOOKUP('Données projet'!$B$12,Paramètres!$A$1:$I$89,3,0)*VLOOKUP('Données projet'!$B$12,Paramètres!$A$1:$I$89,5,0)</f>
        <v>1.4897523215040565E-13</v>
      </c>
      <c r="CA124" s="13">
        <f t="shared" si="93"/>
        <v>2.136562777003313E-12</v>
      </c>
      <c r="CB124" s="20">
        <f t="shared" si="64"/>
        <v>3.9806453659427267E-12</v>
      </c>
      <c r="CC124" s="59">
        <f t="shared" si="65"/>
        <v>293.33333333333729</v>
      </c>
      <c r="CD124" s="59">
        <f ca="1">AVERAGE(OFFSET($CC$3,0,0,'Données projet'!$E$12+1,1))-AVERAGE(OFFSET($H$3,0,0,'Données projet'!$E$12+1,1))</f>
        <v>91.274378490051788</v>
      </c>
      <c r="CE124" s="59">
        <f t="shared" si="94"/>
        <v>126.60105012427914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9.1495898505683115</v>
      </c>
      <c r="CL124" s="21">
        <f>EXP(-LN(2)/25)*CL123+(1-EXP(-LN(2)/25))/(LN(2)/25)*Calculateur!CG124*Calculateur!CI124*VLOOKUP('Données projet'!$B$12,Paramètres!$A$1:$I$89,3,0)*0.475*44/12</f>
        <v>7.6387394672600637</v>
      </c>
      <c r="CM124" s="21">
        <f>EXP(-LN(2)/2)*CM123+(1-EXP(-LN(2)/2))/(LN(2)/2)*CG124*CJ124*VLOOKUP('Données projet'!$B$12,Paramètres!$A$1:$I$89,3,0)*0.475*44/12</f>
        <v>5.4146342792891946E-4</v>
      </c>
      <c r="CN124" s="22">
        <f t="shared" si="66"/>
        <v>16.788870781256303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350.09239406910712</v>
      </c>
      <c r="T125" s="59">
        <f t="shared" si="88"/>
        <v>473.30663081727369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64.177089813672609</v>
      </c>
      <c r="AA125" s="21">
        <f>EXP(-LN(2)/25)*AA124+(1-EXP(-LN(2)/25))/(LN(2)/25)*Calculateur!V125*Calculateur!X125*VLOOKUP('Données projet'!$B$9,Paramètres!$A$1:$I$89,3,0)*0.475*44/12</f>
        <v>12.900930661640892</v>
      </c>
      <c r="AB125" s="21">
        <f>EXP(-LN(2)/2)*AB124+(1-EXP(-LN(2)/2))/(LN(2)/2)*V125*Y125*VLOOKUP('Données projet'!$B$9,Paramètres!$A$1:$I$89,3,0)*0.475*44/12</f>
        <v>5.3264732246785426E-9</v>
      </c>
      <c r="AC125" s="22">
        <f t="shared" si="57"/>
        <v>77.078020480639978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179.4725256147085</v>
      </c>
      <c r="AO125" s="59">
        <f t="shared" si="90"/>
        <v>282.16750121151176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42.293424406639232</v>
      </c>
      <c r="AV125" s="21">
        <f>EXP(-LN(2)/25)*AV124+(1-EXP(-LN(2)/25))/(LN(2)/25)*Calculateur!AQ125*Calculateur!AS125*VLOOKUP('Données projet'!$B$10,Paramètres!$A$1:$I$89,3,0)*0.475*44/12</f>
        <v>8.7584058801493239</v>
      </c>
      <c r="AW125" s="21">
        <f>EXP(-LN(2)/2)*AW124+(1-EXP(-LN(2)/2))/(LN(2)/2)*AQ125*AT125*VLOOKUP('Données projet'!$B$10,Paramètres!$A$1:$I$89,3,0)*0.475*44/12</f>
        <v>2.0079499983565967E-8</v>
      </c>
      <c r="AX125" s="21">
        <f t="shared" si="60"/>
        <v>51.051830306868055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1.064108801074326E-13</v>
      </c>
      <c r="BF125" s="13">
        <f t="shared" si="91"/>
        <v>1.5870730813698654E-12</v>
      </c>
      <c r="BG125" s="20">
        <f t="shared" si="61"/>
        <v>2.9494845662396269E-12</v>
      </c>
      <c r="BH125" s="59">
        <f t="shared" si="62"/>
        <v>293.33333333333627</v>
      </c>
      <c r="BI125" s="59">
        <f ca="1">AVERAGE(OFFSET($BH$3,0,0,'Données projet'!$E$11+1,1))-AVERAGE(OFFSET($H$3,0,0,'Données projet'!$E$11+1,1))</f>
        <v>227.19831549982962</v>
      </c>
      <c r="BJ125" s="59">
        <f t="shared" si="92"/>
        <v>309.84543033784564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54.650348187815268</v>
      </c>
      <c r="BQ125" s="21">
        <f>EXP(-LN(2)/25)*BQ124+(1-EXP(-LN(2)/25))/(LN(2)/25)*Calculateur!BL125*Calculateur!BN125*VLOOKUP('Données projet'!$B$11,Paramètres!$A$1:$I$89,3,0)*0.475*44/12</f>
        <v>11.942043597962279</v>
      </c>
      <c r="BR125" s="21">
        <f>EXP(-LN(2)/2)*BR124+(1-EXP(-LN(2)/2))/(LN(2)/2)*BL125*BO125*VLOOKUP('Données projet'!$B$11,Paramètres!$A$1:$I$89,3,0)*0.475*44/12</f>
        <v>5.6278534555662349E-8</v>
      </c>
      <c r="BS125" s="22">
        <f t="shared" si="63"/>
        <v>66.592391842056088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2.2737367544323206E-13</v>
      </c>
      <c r="BZ125" s="13">
        <f>BY125*VLOOKUP('Données projet'!$B$12,Paramètres!$A$1:$I$89,3,0)*VLOOKUP('Données projet'!$B$12,Paramètres!$A$1:$I$89,5,0)</f>
        <v>1.4897523215040565E-13</v>
      </c>
      <c r="CA125" s="13">
        <f t="shared" si="93"/>
        <v>2.136562777003313E-12</v>
      </c>
      <c r="CB125" s="20">
        <f t="shared" si="64"/>
        <v>3.9806453659427267E-12</v>
      </c>
      <c r="CC125" s="59">
        <f t="shared" si="65"/>
        <v>293.33333333333729</v>
      </c>
      <c r="CD125" s="59">
        <f ca="1">AVERAGE(OFFSET($CC$3,0,0,'Données projet'!$E$12+1,1))-AVERAGE(OFFSET($H$3,0,0,'Données projet'!$E$12+1,1))</f>
        <v>91.274378490051788</v>
      </c>
      <c r="CE125" s="59">
        <f t="shared" si="94"/>
        <v>126.60105012427914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8.9701719742974273</v>
      </c>
      <c r="CL125" s="21">
        <f>EXP(-LN(2)/25)*CL124+(1-EXP(-LN(2)/25))/(LN(2)/25)*Calculateur!CG125*Calculateur!CI125*VLOOKUP('Données projet'!$B$12,Paramètres!$A$1:$I$89,3,0)*0.475*44/12</f>
        <v>7.4298577348239876</v>
      </c>
      <c r="CM125" s="21">
        <f>EXP(-LN(2)/2)*CM124+(1-EXP(-LN(2)/2))/(LN(2)/2)*CG125*CJ125*VLOOKUP('Données projet'!$B$12,Paramètres!$A$1:$I$89,3,0)*0.475*44/12</f>
        <v>3.828724616530524E-4</v>
      </c>
      <c r="CN125" s="22">
        <f t="shared" si="66"/>
        <v>16.400412581583069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350.09239406910712</v>
      </c>
      <c r="T126" s="59">
        <f t="shared" si="88"/>
        <v>473.30663081727369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62.91861622658611</v>
      </c>
      <c r="AA126" s="21">
        <f>EXP(-LN(2)/25)*AA125+(1-EXP(-LN(2)/25))/(LN(2)/25)*Calculateur!V126*Calculateur!X126*VLOOKUP('Données projet'!$B$9,Paramètres!$A$1:$I$89,3,0)*0.475*44/12</f>
        <v>12.548154034267863</v>
      </c>
      <c r="AB126" s="21">
        <f>EXP(-LN(2)/2)*AB125+(1-EXP(-LN(2)/2))/(LN(2)/2)*V126*Y126*VLOOKUP('Données projet'!$B$9,Paramètres!$A$1:$I$89,3,0)*0.475*44/12</f>
        <v>3.7663853369787743E-9</v>
      </c>
      <c r="AC126" s="22">
        <f t="shared" si="57"/>
        <v>75.466770264620365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179.4725256147085</v>
      </c>
      <c r="AO126" s="59">
        <f t="shared" si="90"/>
        <v>282.16750121151176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41.464076150466738</v>
      </c>
      <c r="AV126" s="21">
        <f>EXP(-LN(2)/25)*AV125+(1-EXP(-LN(2)/25))/(LN(2)/25)*Calculateur!AQ126*Calculateur!AS126*VLOOKUP('Données projet'!$B$10,Paramètres!$A$1:$I$89,3,0)*0.475*44/12</f>
        <v>8.5189068107720924</v>
      </c>
      <c r="AW126" s="21">
        <f>EXP(-LN(2)/2)*AW125+(1-EXP(-LN(2)/2))/(LN(2)/2)*AQ126*AT126*VLOOKUP('Données projet'!$B$10,Paramètres!$A$1:$I$89,3,0)*0.475*44/12</f>
        <v>1.4198350601214665E-8</v>
      </c>
      <c r="AX126" s="21">
        <f t="shared" si="60"/>
        <v>49.982982975437181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1.064108801074326E-13</v>
      </c>
      <c r="BF126" s="13">
        <f t="shared" si="91"/>
        <v>1.5870730813698654E-12</v>
      </c>
      <c r="BG126" s="20">
        <f t="shared" si="61"/>
        <v>2.9494845662396269E-12</v>
      </c>
      <c r="BH126" s="59">
        <f t="shared" si="62"/>
        <v>293.33333333333627</v>
      </c>
      <c r="BI126" s="59">
        <f ca="1">AVERAGE(OFFSET($BH$3,0,0,'Données projet'!$E$11+1,1))-AVERAGE(OFFSET($H$3,0,0,'Données projet'!$E$11+1,1))</f>
        <v>227.19831549982962</v>
      </c>
      <c r="BJ126" s="59">
        <f t="shared" si="92"/>
        <v>309.84543033784564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53.578688193273202</v>
      </c>
      <c r="BQ126" s="21">
        <f>EXP(-LN(2)/25)*BQ125+(1-EXP(-LN(2)/25))/(LN(2)/25)*Calculateur!BL126*Calculateur!BN126*VLOOKUP('Données projet'!$B$11,Paramètres!$A$1:$I$89,3,0)*0.475*44/12</f>
        <v>11.615487787771221</v>
      </c>
      <c r="BR126" s="21">
        <f>EXP(-LN(2)/2)*BR125+(1-EXP(-LN(2)/2))/(LN(2)/2)*BL126*BO126*VLOOKUP('Données projet'!$B$11,Paramètres!$A$1:$I$89,3,0)*0.475*44/12</f>
        <v>3.979493341955029E-8</v>
      </c>
      <c r="BS126" s="22">
        <f t="shared" si="63"/>
        <v>65.19417602083935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2.2737367544323206E-13</v>
      </c>
      <c r="BZ126" s="13">
        <f>BY126*VLOOKUP('Données projet'!$B$12,Paramètres!$A$1:$I$89,3,0)*VLOOKUP('Données projet'!$B$12,Paramètres!$A$1:$I$89,5,0)</f>
        <v>1.4897523215040565E-13</v>
      </c>
      <c r="CA126" s="13">
        <f t="shared" si="93"/>
        <v>2.136562777003313E-12</v>
      </c>
      <c r="CB126" s="20">
        <f t="shared" si="64"/>
        <v>3.9806453659427267E-12</v>
      </c>
      <c r="CC126" s="59">
        <f t="shared" si="65"/>
        <v>293.33333333333729</v>
      </c>
      <c r="CD126" s="59">
        <f ca="1">AVERAGE(OFFSET($CC$3,0,0,'Données projet'!$E$12+1,1))-AVERAGE(OFFSET($H$3,0,0,'Données projet'!$E$12+1,1))</f>
        <v>91.274378490051788</v>
      </c>
      <c r="CE126" s="59">
        <f t="shared" si="94"/>
        <v>126.60105012427914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8.7942723731461161</v>
      </c>
      <c r="CL126" s="21">
        <f>EXP(-LN(2)/25)*CL125+(1-EXP(-LN(2)/25))/(LN(2)/25)*Calculateur!CG126*Calculateur!CI126*VLOOKUP('Données projet'!$B$12,Paramètres!$A$1:$I$89,3,0)*0.475*44/12</f>
        <v>7.2266878843459885</v>
      </c>
      <c r="CM126" s="21">
        <f>EXP(-LN(2)/2)*CM125+(1-EXP(-LN(2)/2))/(LN(2)/2)*CG126*CJ126*VLOOKUP('Données projet'!$B$12,Paramètres!$A$1:$I$89,3,0)*0.475*44/12</f>
        <v>2.7073171396445973E-4</v>
      </c>
      <c r="CN126" s="22">
        <f t="shared" si="66"/>
        <v>16.021230989206071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350.09239406910712</v>
      </c>
      <c r="T127" s="59">
        <f t="shared" si="88"/>
        <v>473.30663081727369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61.684820538949282</v>
      </c>
      <c r="AA127" s="21">
        <f>EXP(-LN(2)/25)*AA126+(1-EXP(-LN(2)/25))/(LN(2)/25)*Calculateur!V127*Calculateur!X127*VLOOKUP('Données projet'!$B$9,Paramètres!$A$1:$I$89,3,0)*0.475*44/12</f>
        <v>12.205024102322067</v>
      </c>
      <c r="AB127" s="21">
        <f>EXP(-LN(2)/2)*AB126+(1-EXP(-LN(2)/2))/(LN(2)/2)*V127*Y127*VLOOKUP('Données projet'!$B$9,Paramètres!$A$1:$I$89,3,0)*0.475*44/12</f>
        <v>2.6632366123392713E-9</v>
      </c>
      <c r="AC127" s="22">
        <f t="shared" si="57"/>
        <v>73.889844643934595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179.4725256147085</v>
      </c>
      <c r="AO127" s="59">
        <f t="shared" si="90"/>
        <v>282.16750121151176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40.650990907745296</v>
      </c>
      <c r="AV127" s="21">
        <f>EXP(-LN(2)/25)*AV126+(1-EXP(-LN(2)/25))/(LN(2)/25)*Calculateur!AQ127*Calculateur!AS127*VLOOKUP('Données projet'!$B$10,Paramètres!$A$1:$I$89,3,0)*0.475*44/12</f>
        <v>8.2859568560416914</v>
      </c>
      <c r="AW127" s="21">
        <f>EXP(-LN(2)/2)*AW126+(1-EXP(-LN(2)/2))/(LN(2)/2)*AQ127*AT127*VLOOKUP('Données projet'!$B$10,Paramètres!$A$1:$I$89,3,0)*0.475*44/12</f>
        <v>1.0039749991782984E-8</v>
      </c>
      <c r="AX127" s="21">
        <f t="shared" si="60"/>
        <v>48.936947773826738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1.064108801074326E-13</v>
      </c>
      <c r="BF127" s="13">
        <f t="shared" si="91"/>
        <v>1.5870730813698654E-12</v>
      </c>
      <c r="BG127" s="20">
        <f t="shared" si="61"/>
        <v>2.9494845662396269E-12</v>
      </c>
      <c r="BH127" s="59">
        <f t="shared" si="62"/>
        <v>293.33333333333627</v>
      </c>
      <c r="BI127" s="59">
        <f ca="1">AVERAGE(OFFSET($BH$3,0,0,'Données projet'!$E$11+1,1))-AVERAGE(OFFSET($H$3,0,0,'Données projet'!$E$11+1,1))</f>
        <v>227.19831549982962</v>
      </c>
      <c r="BJ127" s="59">
        <f t="shared" si="92"/>
        <v>309.84543033784564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52.528042797576049</v>
      </c>
      <c r="BQ127" s="21">
        <f>EXP(-LN(2)/25)*BQ126+(1-EXP(-LN(2)/25))/(LN(2)/25)*Calculateur!BL127*Calculateur!BN127*VLOOKUP('Données projet'!$B$11,Paramètres!$A$1:$I$89,3,0)*0.475*44/12</f>
        <v>11.297861663382662</v>
      </c>
      <c r="BR127" s="21">
        <f>EXP(-LN(2)/2)*BR126+(1-EXP(-LN(2)/2))/(LN(2)/2)*BL127*BO127*VLOOKUP('Données projet'!$B$11,Paramètres!$A$1:$I$89,3,0)*0.475*44/12</f>
        <v>2.8139267277831175E-8</v>
      </c>
      <c r="BS127" s="22">
        <f t="shared" si="63"/>
        <v>63.825904489097979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2.2737367544323206E-13</v>
      </c>
      <c r="BZ127" s="13">
        <f>BY127*VLOOKUP('Données projet'!$B$12,Paramètres!$A$1:$I$89,3,0)*VLOOKUP('Données projet'!$B$12,Paramètres!$A$1:$I$89,5,0)</f>
        <v>1.4897523215040565E-13</v>
      </c>
      <c r="CA127" s="13">
        <f t="shared" si="93"/>
        <v>2.136562777003313E-12</v>
      </c>
      <c r="CB127" s="20">
        <f t="shared" si="64"/>
        <v>3.9806453659427267E-12</v>
      </c>
      <c r="CC127" s="59">
        <f t="shared" si="65"/>
        <v>293.33333333333729</v>
      </c>
      <c r="CD127" s="59">
        <f ca="1">AVERAGE(OFFSET($CC$3,0,0,'Données projet'!$E$12+1,1))-AVERAGE(OFFSET($H$3,0,0,'Données projet'!$E$12+1,1))</f>
        <v>91.274378490051788</v>
      </c>
      <c r="CE127" s="59">
        <f t="shared" si="94"/>
        <v>126.60105012427914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8.6218220558852199</v>
      </c>
      <c r="CL127" s="21">
        <f>EXP(-LN(2)/25)*CL126+(1-EXP(-LN(2)/25))/(LN(2)/25)*Calculateur!CG127*Calculateur!CI127*VLOOKUP('Données projet'!$B$12,Paramètres!$A$1:$I$89,3,0)*0.475*44/12</f>
        <v>7.0290737241135481</v>
      </c>
      <c r="CM127" s="21">
        <f>EXP(-LN(2)/2)*CM126+(1-EXP(-LN(2)/2))/(LN(2)/2)*CG127*CJ127*VLOOKUP('Données projet'!$B$12,Paramètres!$A$1:$I$89,3,0)*0.475*44/12</f>
        <v>1.914362308265262E-4</v>
      </c>
      <c r="CN127" s="22">
        <f t="shared" si="66"/>
        <v>15.651087216229595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350.09239406910712</v>
      </c>
      <c r="T128" s="59">
        <f t="shared" si="88"/>
        <v>473.30663081727369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60.475218832205954</v>
      </c>
      <c r="AA128" s="21">
        <f>EXP(-LN(2)/25)*AA127+(1-EXP(-LN(2)/25))/(LN(2)/25)*Calculateur!V128*Calculateur!X128*VLOOKUP('Données projet'!$B$9,Paramètres!$A$1:$I$89,3,0)*0.475*44/12</f>
        <v>11.871277076409747</v>
      </c>
      <c r="AB128" s="21">
        <f>EXP(-LN(2)/2)*AB127+(1-EXP(-LN(2)/2))/(LN(2)/2)*V128*Y128*VLOOKUP('Données projet'!$B$9,Paramètres!$A$1:$I$89,3,0)*0.475*44/12</f>
        <v>1.8831926684893871E-9</v>
      </c>
      <c r="AC128" s="22">
        <f t="shared" si="57"/>
        <v>72.346495910498902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179.4725256147085</v>
      </c>
      <c r="AO128" s="59">
        <f t="shared" si="90"/>
        <v>282.16750121151176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39.853849770700599</v>
      </c>
      <c r="AV128" s="21">
        <f>EXP(-LN(2)/25)*AV127+(1-EXP(-LN(2)/25))/(LN(2)/25)*Calculateur!AQ128*Calculateur!AS128*VLOOKUP('Données projet'!$B$10,Paramètres!$A$1:$I$89,3,0)*0.475*44/12</f>
        <v>8.0593769300736984</v>
      </c>
      <c r="AW128" s="21">
        <f>EXP(-LN(2)/2)*AW127+(1-EXP(-LN(2)/2))/(LN(2)/2)*AQ128*AT128*VLOOKUP('Données projet'!$B$10,Paramètres!$A$1:$I$89,3,0)*0.475*44/12</f>
        <v>7.0991753006073326E-9</v>
      </c>
      <c r="AX128" s="21">
        <f t="shared" si="60"/>
        <v>47.91322670787347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1.064108801074326E-13</v>
      </c>
      <c r="BF128" s="13">
        <f t="shared" si="91"/>
        <v>1.5870730813698654E-12</v>
      </c>
      <c r="BG128" s="20">
        <f t="shared" si="61"/>
        <v>2.9494845662396269E-12</v>
      </c>
      <c r="BH128" s="59">
        <f t="shared" si="62"/>
        <v>293.33333333333627</v>
      </c>
      <c r="BI128" s="59">
        <f ca="1">AVERAGE(OFFSET($BH$3,0,0,'Données projet'!$E$11+1,1))-AVERAGE(OFFSET($H$3,0,0,'Données projet'!$E$11+1,1))</f>
        <v>227.19831549982962</v>
      </c>
      <c r="BJ128" s="59">
        <f t="shared" si="92"/>
        <v>309.84543033784564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51.497999917258106</v>
      </c>
      <c r="BQ128" s="21">
        <f>EXP(-LN(2)/25)*BQ127+(1-EXP(-LN(2)/25))/(LN(2)/25)*Calculateur!BL128*Calculateur!BN128*VLOOKUP('Données projet'!$B$11,Paramètres!$A$1:$I$89,3,0)*0.475*44/12</f>
        <v>10.988921042068739</v>
      </c>
      <c r="BR128" s="21">
        <f>EXP(-LN(2)/2)*BR127+(1-EXP(-LN(2)/2))/(LN(2)/2)*BL128*BO128*VLOOKUP('Données projet'!$B$11,Paramètres!$A$1:$I$89,3,0)*0.475*44/12</f>
        <v>1.9897466709775145E-8</v>
      </c>
      <c r="BS128" s="22">
        <f t="shared" si="63"/>
        <v>62.486920979224308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2.2737367544323206E-13</v>
      </c>
      <c r="BZ128" s="13">
        <f>BY128*VLOOKUP('Données projet'!$B$12,Paramètres!$A$1:$I$89,3,0)*VLOOKUP('Données projet'!$B$12,Paramètres!$A$1:$I$89,5,0)</f>
        <v>1.4897523215040565E-13</v>
      </c>
      <c r="CA128" s="13">
        <f t="shared" si="93"/>
        <v>2.136562777003313E-12</v>
      </c>
      <c r="CB128" s="20">
        <f t="shared" si="64"/>
        <v>3.9806453659427267E-12</v>
      </c>
      <c r="CC128" s="59">
        <f t="shared" si="65"/>
        <v>293.33333333333729</v>
      </c>
      <c r="CD128" s="59">
        <f ca="1">AVERAGE(OFFSET($CC$3,0,0,'Données projet'!$E$12+1,1))-AVERAGE(OFFSET($H$3,0,0,'Données projet'!$E$12+1,1))</f>
        <v>91.274378490051788</v>
      </c>
      <c r="CE128" s="59">
        <f t="shared" si="94"/>
        <v>126.60105012427914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8.4527533841615021</v>
      </c>
      <c r="CL128" s="21">
        <f>EXP(-LN(2)/25)*CL127+(1-EXP(-LN(2)/25))/(LN(2)/25)*Calculateur!CG128*Calculateur!CI128*VLOOKUP('Données projet'!$B$12,Paramètres!$A$1:$I$89,3,0)*0.475*44/12</f>
        <v>6.8368633334847413</v>
      </c>
      <c r="CM128" s="21">
        <f>EXP(-LN(2)/2)*CM127+(1-EXP(-LN(2)/2))/(LN(2)/2)*CG128*CJ128*VLOOKUP('Données projet'!$B$12,Paramètres!$A$1:$I$89,3,0)*0.475*44/12</f>
        <v>1.3536585698222987E-4</v>
      </c>
      <c r="CN128" s="22">
        <f t="shared" si="66"/>
        <v>15.289752083503226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350.09239406910712</v>
      </c>
      <c r="T129" s="59">
        <f t="shared" si="88"/>
        <v>473.30663081727369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59.289336677147666</v>
      </c>
      <c r="AA129" s="21">
        <f>EXP(-LN(2)/25)*AA128+(1-EXP(-LN(2)/25))/(LN(2)/25)*Calculateur!V129*Calculateur!X129*VLOOKUP('Données projet'!$B$9,Paramètres!$A$1:$I$89,3,0)*0.475*44/12</f>
        <v>11.546656380471994</v>
      </c>
      <c r="AB129" s="21">
        <f>EXP(-LN(2)/2)*AB128+(1-EXP(-LN(2)/2))/(LN(2)/2)*V129*Y129*VLOOKUP('Données projet'!$B$9,Paramètres!$A$1:$I$89,3,0)*0.475*44/12</f>
        <v>1.3316183061696357E-9</v>
      </c>
      <c r="AC129" s="22">
        <f t="shared" si="57"/>
        <v>70.835993058951274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179.4725256147085</v>
      </c>
      <c r="AO129" s="59">
        <f t="shared" si="90"/>
        <v>282.16750121151176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39.072340085145264</v>
      </c>
      <c r="AV129" s="21">
        <f>EXP(-LN(2)/25)*AV128+(1-EXP(-LN(2)/25))/(LN(2)/25)*Calculateur!AQ129*Calculateur!AS129*VLOOKUP('Données projet'!$B$10,Paramètres!$A$1:$I$89,3,0)*0.475*44/12</f>
        <v>7.8389928440966203</v>
      </c>
      <c r="AW129" s="21">
        <f>EXP(-LN(2)/2)*AW128+(1-EXP(-LN(2)/2))/(LN(2)/2)*AQ129*AT129*VLOOKUP('Données projet'!$B$10,Paramètres!$A$1:$I$89,3,0)*0.475*44/12</f>
        <v>5.0198749958914918E-9</v>
      </c>
      <c r="AX129" s="21">
        <f t="shared" si="60"/>
        <v>46.911332934261765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1.064108801074326E-13</v>
      </c>
      <c r="BF129" s="13">
        <f t="shared" si="91"/>
        <v>1.5870730813698654E-12</v>
      </c>
      <c r="BG129" s="20">
        <f t="shared" si="61"/>
        <v>2.9494845662396269E-12</v>
      </c>
      <c r="BH129" s="59">
        <f t="shared" si="62"/>
        <v>293.33333333333627</v>
      </c>
      <c r="BI129" s="59">
        <f ca="1">AVERAGE(OFFSET($BH$3,0,0,'Données projet'!$E$11+1,1))-AVERAGE(OFFSET($H$3,0,0,'Données projet'!$E$11+1,1))</f>
        <v>227.19831549982962</v>
      </c>
      <c r="BJ129" s="59">
        <f t="shared" si="92"/>
        <v>309.84543033784564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50.488155549559075</v>
      </c>
      <c r="BQ129" s="21">
        <f>EXP(-LN(2)/25)*BQ128+(1-EXP(-LN(2)/25))/(LN(2)/25)*Calculateur!BL129*Calculateur!BN129*VLOOKUP('Données projet'!$B$11,Paramètres!$A$1:$I$89,3,0)*0.475*44/12</f>
        <v>10.688428418291128</v>
      </c>
      <c r="BR129" s="21">
        <f>EXP(-LN(2)/2)*BR128+(1-EXP(-LN(2)/2))/(LN(2)/2)*BL129*BO129*VLOOKUP('Données projet'!$B$11,Paramètres!$A$1:$I$89,3,0)*0.475*44/12</f>
        <v>1.4069633638915587E-8</v>
      </c>
      <c r="BS129" s="22">
        <f t="shared" si="63"/>
        <v>61.17658398191984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2.2737367544323206E-13</v>
      </c>
      <c r="BZ129" s="13">
        <f>BY129*VLOOKUP('Données projet'!$B$12,Paramètres!$A$1:$I$89,3,0)*VLOOKUP('Données projet'!$B$12,Paramètres!$A$1:$I$89,5,0)</f>
        <v>1.4897523215040565E-13</v>
      </c>
      <c r="CA129" s="13">
        <f t="shared" si="93"/>
        <v>2.136562777003313E-12</v>
      </c>
      <c r="CB129" s="20">
        <f t="shared" si="64"/>
        <v>3.9806453659427267E-12</v>
      </c>
      <c r="CC129" s="59">
        <f t="shared" si="65"/>
        <v>293.33333333333729</v>
      </c>
      <c r="CD129" s="59">
        <f ca="1">AVERAGE(OFFSET($CC$3,0,0,'Données projet'!$E$12+1,1))-AVERAGE(OFFSET($H$3,0,0,'Données projet'!$E$12+1,1))</f>
        <v>91.274378490051788</v>
      </c>
      <c r="CE129" s="59">
        <f t="shared" si="94"/>
        <v>126.60105012427914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8.2870000459685791</v>
      </c>
      <c r="CL129" s="21">
        <f>EXP(-LN(2)/25)*CL128+(1-EXP(-LN(2)/25))/(LN(2)/25)*Calculateur!CG129*Calculateur!CI129*VLOOKUP('Données projet'!$B$12,Paramètres!$A$1:$I$89,3,0)*0.475*44/12</f>
        <v>6.649908946095584</v>
      </c>
      <c r="CM129" s="21">
        <f>EXP(-LN(2)/2)*CM128+(1-EXP(-LN(2)/2))/(LN(2)/2)*CG129*CJ129*VLOOKUP('Données projet'!$B$12,Paramètres!$A$1:$I$89,3,0)*0.475*44/12</f>
        <v>9.5718115413263101E-5</v>
      </c>
      <c r="CN129" s="22">
        <f t="shared" si="66"/>
        <v>14.937004710179576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350.09239406910712</v>
      </c>
      <c r="T130" s="59">
        <f t="shared" si="88"/>
        <v>473.30663081727369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58.126708947833379</v>
      </c>
      <c r="AA130" s="21">
        <f>EXP(-LN(2)/25)*AA129+(1-EXP(-LN(2)/25))/(LN(2)/25)*Calculateur!V130*Calculateur!X130*VLOOKUP('Données projet'!$B$9,Paramètres!$A$1:$I$89,3,0)*0.475*44/12</f>
        <v>11.230912454535719</v>
      </c>
      <c r="AB130" s="21">
        <f>EXP(-LN(2)/2)*AB129+(1-EXP(-LN(2)/2))/(LN(2)/2)*V130*Y130*VLOOKUP('Données projet'!$B$9,Paramètres!$A$1:$I$89,3,0)*0.475*44/12</f>
        <v>9.4159633424469357E-10</v>
      </c>
      <c r="AC130" s="22">
        <f t="shared" si="57"/>
        <v>69.357621403310688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179.4725256147085</v>
      </c>
      <c r="AO130" s="59">
        <f t="shared" si="90"/>
        <v>282.16750121151176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38.306155327849822</v>
      </c>
      <c r="AV130" s="21">
        <f>EXP(-LN(2)/25)*AV129+(1-EXP(-LN(2)/25))/(LN(2)/25)*Calculateur!AQ130*Calculateur!AS130*VLOOKUP('Données projet'!$B$10,Paramètres!$A$1:$I$89,3,0)*0.475*44/12</f>
        <v>7.6246351725400805</v>
      </c>
      <c r="AW130" s="21">
        <f>EXP(-LN(2)/2)*AW129+(1-EXP(-LN(2)/2))/(LN(2)/2)*AQ130*AT130*VLOOKUP('Données projet'!$B$10,Paramètres!$A$1:$I$89,3,0)*0.475*44/12</f>
        <v>3.5495876503036663E-9</v>
      </c>
      <c r="AX130" s="21">
        <f t="shared" si="60"/>
        <v>45.930790503939491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1.064108801074326E-13</v>
      </c>
      <c r="BF130" s="13">
        <f t="shared" si="91"/>
        <v>1.5870730813698654E-12</v>
      </c>
      <c r="BG130" s="20">
        <f t="shared" si="61"/>
        <v>2.9494845662396269E-12</v>
      </c>
      <c r="BH130" s="59">
        <f t="shared" si="62"/>
        <v>293.33333333333627</v>
      </c>
      <c r="BI130" s="59">
        <f ca="1">AVERAGE(OFFSET($BH$3,0,0,'Données projet'!$E$11+1,1))-AVERAGE(OFFSET($H$3,0,0,'Données projet'!$E$11+1,1))</f>
        <v>227.19831549982962</v>
      </c>
      <c r="BJ130" s="59">
        <f t="shared" si="92"/>
        <v>309.84543033784564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49.498113613966382</v>
      </c>
      <c r="BQ130" s="21">
        <f>EXP(-LN(2)/25)*BQ129+(1-EXP(-LN(2)/25))/(LN(2)/25)*Calculateur!BL130*Calculateur!BN130*VLOOKUP('Données projet'!$B$11,Paramètres!$A$1:$I$89,3,0)*0.475*44/12</f>
        <v>10.396152781112935</v>
      </c>
      <c r="BR130" s="21">
        <f>EXP(-LN(2)/2)*BR129+(1-EXP(-LN(2)/2))/(LN(2)/2)*BL130*BO130*VLOOKUP('Données projet'!$B$11,Paramètres!$A$1:$I$89,3,0)*0.475*44/12</f>
        <v>9.9487333548875725E-9</v>
      </c>
      <c r="BS130" s="22">
        <f t="shared" si="63"/>
        <v>59.894266405028048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2.2737367544323206E-13</v>
      </c>
      <c r="BZ130" s="13">
        <f>BY130*VLOOKUP('Données projet'!$B$12,Paramètres!$A$1:$I$89,3,0)*VLOOKUP('Données projet'!$B$12,Paramètres!$A$1:$I$89,5,0)</f>
        <v>1.4897523215040565E-13</v>
      </c>
      <c r="CA130" s="13">
        <f t="shared" si="93"/>
        <v>2.136562777003313E-12</v>
      </c>
      <c r="CB130" s="20">
        <f t="shared" si="64"/>
        <v>3.9806453659427267E-12</v>
      </c>
      <c r="CC130" s="59">
        <f t="shared" si="65"/>
        <v>293.33333333333729</v>
      </c>
      <c r="CD130" s="59">
        <f ca="1">AVERAGE(OFFSET($CC$3,0,0,'Données projet'!$E$12+1,1))-AVERAGE(OFFSET($H$3,0,0,'Données projet'!$E$12+1,1))</f>
        <v>91.274378490051788</v>
      </c>
      <c r="CE130" s="59">
        <f t="shared" si="94"/>
        <v>126.60105012427914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8.1244970296380661</v>
      </c>
      <c r="CL130" s="21">
        <f>EXP(-LN(2)/25)*CL129+(1-EXP(-LN(2)/25))/(LN(2)/25)*Calculateur!CG130*Calculateur!CI130*VLOOKUP('Données projet'!$B$12,Paramètres!$A$1:$I$89,3,0)*0.475*44/12</f>
        <v>6.4680668362610874</v>
      </c>
      <c r="CM130" s="21">
        <f>EXP(-LN(2)/2)*CM129+(1-EXP(-LN(2)/2))/(LN(2)/2)*CG130*CJ130*VLOOKUP('Données projet'!$B$12,Paramètres!$A$1:$I$89,3,0)*0.475*44/12</f>
        <v>6.7682928491114933E-5</v>
      </c>
      <c r="CN130" s="22">
        <f t="shared" si="66"/>
        <v>14.592631548827644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350.09239406910712</v>
      </c>
      <c r="T131" s="59">
        <f t="shared" si="88"/>
        <v>473.30663081727369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56.986879639158055</v>
      </c>
      <c r="AA131" s="21">
        <f>EXP(-LN(2)/25)*AA130+(1-EXP(-LN(2)/25))/(LN(2)/25)*Calculateur!V131*Calculateur!X131*VLOOKUP('Données projet'!$B$9,Paramètres!$A$1:$I$89,3,0)*0.475*44/12</f>
        <v>10.923802562858423</v>
      </c>
      <c r="AB131" s="21">
        <f>EXP(-LN(2)/2)*AB130+(1-EXP(-LN(2)/2))/(LN(2)/2)*V131*Y131*VLOOKUP('Données projet'!$B$9,Paramètres!$A$1:$I$89,3,0)*0.475*44/12</f>
        <v>6.6580915308481783E-10</v>
      </c>
      <c r="AC131" s="22">
        <f t="shared" si="57"/>
        <v>67.910682202682281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179.4725256147085</v>
      </c>
      <c r="AO131" s="59">
        <f t="shared" si="90"/>
        <v>282.16750121151176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37.554994986318391</v>
      </c>
      <c r="AV131" s="21">
        <f>EXP(-LN(2)/25)*AV130+(1-EXP(-LN(2)/25))/(LN(2)/25)*Calculateur!AQ131*Calculateur!AS131*VLOOKUP('Données projet'!$B$10,Paramètres!$A$1:$I$89,3,0)*0.475*44/12</f>
        <v>7.416139122784835</v>
      </c>
      <c r="AW131" s="21">
        <f>EXP(-LN(2)/2)*AW130+(1-EXP(-LN(2)/2))/(LN(2)/2)*AQ131*AT131*VLOOKUP('Données projet'!$B$10,Paramètres!$A$1:$I$89,3,0)*0.475*44/12</f>
        <v>2.5099374979457459E-9</v>
      </c>
      <c r="AX131" s="21">
        <f t="shared" si="60"/>
        <v>44.971134111613161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1.064108801074326E-13</v>
      </c>
      <c r="BF131" s="13">
        <f t="shared" si="91"/>
        <v>1.5870730813698654E-12</v>
      </c>
      <c r="BG131" s="20">
        <f t="shared" si="61"/>
        <v>2.9494845662396269E-12</v>
      </c>
      <c r="BH131" s="59">
        <f t="shared" si="62"/>
        <v>293.33333333333627</v>
      </c>
      <c r="BI131" s="59">
        <f ca="1">AVERAGE(OFFSET($BH$3,0,0,'Données projet'!$E$11+1,1))-AVERAGE(OFFSET($H$3,0,0,'Données projet'!$E$11+1,1))</f>
        <v>227.19831549982962</v>
      </c>
      <c r="BJ131" s="59">
        <f t="shared" si="92"/>
        <v>309.84543033784564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48.527485796864703</v>
      </c>
      <c r="BQ131" s="21">
        <f>EXP(-LN(2)/25)*BQ130+(1-EXP(-LN(2)/25))/(LN(2)/25)*Calculateur!BL131*Calculateur!BN131*VLOOKUP('Données projet'!$B$11,Paramètres!$A$1:$I$89,3,0)*0.475*44/12</f>
        <v>10.111869436603488</v>
      </c>
      <c r="BR131" s="21">
        <f>EXP(-LN(2)/2)*BR130+(1-EXP(-LN(2)/2))/(LN(2)/2)*BL131*BO131*VLOOKUP('Données projet'!$B$11,Paramètres!$A$1:$I$89,3,0)*0.475*44/12</f>
        <v>7.0348168194577937E-9</v>
      </c>
      <c r="BS131" s="22">
        <f t="shared" si="63"/>
        <v>58.639355240503008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2.2737367544323206E-13</v>
      </c>
      <c r="BZ131" s="13">
        <f>BY131*VLOOKUP('Données projet'!$B$12,Paramètres!$A$1:$I$89,3,0)*VLOOKUP('Données projet'!$B$12,Paramètres!$A$1:$I$89,5,0)</f>
        <v>1.4897523215040565E-13</v>
      </c>
      <c r="CA131" s="13">
        <f t="shared" si="93"/>
        <v>2.136562777003313E-12</v>
      </c>
      <c r="CB131" s="20">
        <f t="shared" si="64"/>
        <v>3.9806453659427267E-12</v>
      </c>
      <c r="CC131" s="59">
        <f t="shared" si="65"/>
        <v>293.33333333333729</v>
      </c>
      <c r="CD131" s="59">
        <f ca="1">AVERAGE(OFFSET($CC$3,0,0,'Données projet'!$E$12+1,1))-AVERAGE(OFFSET($H$3,0,0,'Données projet'!$E$12+1,1))</f>
        <v>91.274378490051788</v>
      </c>
      <c r="CE131" s="59">
        <f t="shared" si="94"/>
        <v>126.60105012427914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7.9651805983407415</v>
      </c>
      <c r="CL131" s="21">
        <f>EXP(-LN(2)/25)*CL130+(1-EXP(-LN(2)/25))/(LN(2)/25)*Calculateur!CG131*Calculateur!CI131*VLOOKUP('Données projet'!$B$12,Paramètres!$A$1:$I$89,3,0)*0.475*44/12</f>
        <v>6.2911972084826759</v>
      </c>
      <c r="CM131" s="21">
        <f>EXP(-LN(2)/2)*CM130+(1-EXP(-LN(2)/2))/(LN(2)/2)*CG131*CJ131*VLOOKUP('Données projet'!$B$12,Paramètres!$A$1:$I$89,3,0)*0.475*44/12</f>
        <v>4.7859057706631551E-5</v>
      </c>
      <c r="CN131" s="22">
        <f t="shared" si="66"/>
        <v>14.256425665881125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350.09239406910712</v>
      </c>
      <c r="T132" s="59">
        <f t="shared" si="88"/>
        <v>473.30663081727369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55.869401687998625</v>
      </c>
      <c r="AA132" s="21">
        <f>EXP(-LN(2)/25)*AA131+(1-EXP(-LN(2)/25))/(LN(2)/25)*Calculateur!V132*Calculateur!X132*VLOOKUP('Données projet'!$B$9,Paramètres!$A$1:$I$89,3,0)*0.475*44/12</f>
        <v>10.625090607319249</v>
      </c>
      <c r="AB132" s="21">
        <f>EXP(-LN(2)/2)*AB131+(1-EXP(-LN(2)/2))/(LN(2)/2)*V132*Y132*VLOOKUP('Données projet'!$B$9,Paramètres!$A$1:$I$89,3,0)*0.475*44/12</f>
        <v>4.7079816712234679E-10</v>
      </c>
      <c r="AC132" s="22">
        <f t="shared" ref="AC132:AC153" si="111">SUM(Z132:AB132)</f>
        <v>66.49449229578866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179.4725256147085</v>
      </c>
      <c r="AO132" s="59">
        <f t="shared" si="90"/>
        <v>282.16750121151176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36.818564440921818</v>
      </c>
      <c r="AV132" s="21">
        <f>EXP(-LN(2)/25)*AV131+(1-EXP(-LN(2)/25))/(LN(2)/25)*Calculateur!AQ132*Calculateur!AS132*VLOOKUP('Données projet'!$B$10,Paramètres!$A$1:$I$89,3,0)*0.475*44/12</f>
        <v>7.2133444084744767</v>
      </c>
      <c r="AW132" s="21">
        <f>EXP(-LN(2)/2)*AW131+(1-EXP(-LN(2)/2))/(LN(2)/2)*AQ132*AT132*VLOOKUP('Données projet'!$B$10,Paramètres!$A$1:$I$89,3,0)*0.475*44/12</f>
        <v>1.7747938251518331E-9</v>
      </c>
      <c r="AX132" s="21">
        <f t="shared" ref="AX132:AX153" si="114">SUM(AU132:AW132)</f>
        <v>44.031908851171089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1.064108801074326E-13</v>
      </c>
      <c r="BF132" s="13">
        <f t="shared" si="91"/>
        <v>1.5870730813698654E-12</v>
      </c>
      <c r="BG132" s="20">
        <f t="shared" ref="BG132:BG153" si="115">(BE132+BF132)*0.475*44/12</f>
        <v>2.9494845662396269E-12</v>
      </c>
      <c r="BH132" s="59">
        <f t="shared" ref="BH132:BH195" si="116">BG132+(AY132+AZ132)*44/12</f>
        <v>293.33333333333627</v>
      </c>
      <c r="BI132" s="59">
        <f ca="1">AVERAGE(OFFSET($BH$3,0,0,'Données projet'!$E$11+1,1))-AVERAGE(OFFSET($H$3,0,0,'Données projet'!$E$11+1,1))</f>
        <v>227.19831549982962</v>
      </c>
      <c r="BJ132" s="59">
        <f t="shared" si="92"/>
        <v>309.84543033784564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47.575891399231878</v>
      </c>
      <c r="BQ132" s="21">
        <f>EXP(-LN(2)/25)*BQ131+(1-EXP(-LN(2)/25))/(LN(2)/25)*Calculateur!BL132*Calculateur!BN132*VLOOKUP('Données projet'!$B$11,Paramètres!$A$1:$I$89,3,0)*0.475*44/12</f>
        <v>9.8353598350994638</v>
      </c>
      <c r="BR132" s="21">
        <f>EXP(-LN(2)/2)*BR131+(1-EXP(-LN(2)/2))/(LN(2)/2)*BL132*BO132*VLOOKUP('Données projet'!$B$11,Paramètres!$A$1:$I$89,3,0)*0.475*44/12</f>
        <v>4.9743666774437862E-9</v>
      </c>
      <c r="BS132" s="22">
        <f t="shared" ref="BS132:BS153" si="117">SUM(BP132:BR132)</f>
        <v>57.411251239305713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2.2737367544323206E-13</v>
      </c>
      <c r="BZ132" s="13">
        <f>BY132*VLOOKUP('Données projet'!$B$12,Paramètres!$A$1:$I$89,3,0)*VLOOKUP('Données projet'!$B$12,Paramètres!$A$1:$I$89,5,0)</f>
        <v>1.4897523215040565E-13</v>
      </c>
      <c r="CA132" s="13">
        <f t="shared" si="93"/>
        <v>2.136562777003313E-12</v>
      </c>
      <c r="CB132" s="20">
        <f t="shared" ref="CB132:CB153" si="118">(BZ132+CA132)*0.475*44/12</f>
        <v>3.9806453659427267E-12</v>
      </c>
      <c r="CC132" s="59">
        <f t="shared" ref="CC132:CC195" si="119">CB132+(BT132+BU132)*44/12</f>
        <v>293.33333333333729</v>
      </c>
      <c r="CD132" s="59">
        <f ca="1">AVERAGE(OFFSET($CC$3,0,0,'Données projet'!$E$12+1,1))-AVERAGE(OFFSET($H$3,0,0,'Données projet'!$E$12+1,1))</f>
        <v>91.274378490051788</v>
      </c>
      <c r="CE132" s="59">
        <f t="shared" si="94"/>
        <v>126.60105012427914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7.8089882650877289</v>
      </c>
      <c r="CL132" s="21">
        <f>EXP(-LN(2)/25)*CL131+(1-EXP(-LN(2)/25))/(LN(2)/25)*Calculateur!CG132*Calculateur!CI132*VLOOKUP('Données projet'!$B$12,Paramètres!$A$1:$I$89,3,0)*0.475*44/12</f>
        <v>6.1191640899770343</v>
      </c>
      <c r="CM132" s="21">
        <f>EXP(-LN(2)/2)*CM131+(1-EXP(-LN(2)/2))/(LN(2)/2)*CG132*CJ132*VLOOKUP('Données projet'!$B$12,Paramètres!$A$1:$I$89,3,0)*0.475*44/12</f>
        <v>3.3841464245557466E-5</v>
      </c>
      <c r="CN132" s="22">
        <f t="shared" ref="CN132:CN153" si="120">SUM(CK132:CM132)</f>
        <v>13.92818619652901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350.09239406910712</v>
      </c>
      <c r="T133" s="59">
        <f t="shared" ref="T133:T196" si="142">$T$3</f>
        <v>473.30663081727369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54.773836797867183</v>
      </c>
      <c r="AA133" s="21">
        <f>EXP(-LN(2)/25)*AA132+(1-EXP(-LN(2)/25))/(LN(2)/25)*Calculateur!V133*Calculateur!X133*VLOOKUP('Données projet'!$B$9,Paramètres!$A$1:$I$89,3,0)*0.475*44/12</f>
        <v>10.334546945912873</v>
      </c>
      <c r="AB133" s="21">
        <f>EXP(-LN(2)/2)*AB132+(1-EXP(-LN(2)/2))/(LN(2)/2)*V133*Y133*VLOOKUP('Données projet'!$B$9,Paramètres!$A$1:$I$89,3,0)*0.475*44/12</f>
        <v>3.3290457654240891E-10</v>
      </c>
      <c r="AC133" s="22">
        <f t="shared" si="111"/>
        <v>65.108383744112956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179.4725256147085</v>
      </c>
      <c r="AO133" s="59">
        <f t="shared" ref="AO133:AO196" si="144">$AO$3</f>
        <v>282.16750121151176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36.096574849342197</v>
      </c>
      <c r="AV133" s="21">
        <f>EXP(-LN(2)/25)*AV132+(1-EXP(-LN(2)/25))/(LN(2)/25)*Calculateur!AQ133*Calculateur!AS133*VLOOKUP('Données projet'!$B$10,Paramètres!$A$1:$I$89,3,0)*0.475*44/12</f>
        <v>7.0160951262914457</v>
      </c>
      <c r="AW133" s="21">
        <f>EXP(-LN(2)/2)*AW132+(1-EXP(-LN(2)/2))/(LN(2)/2)*AQ133*AT133*VLOOKUP('Données projet'!$B$10,Paramètres!$A$1:$I$89,3,0)*0.475*44/12</f>
        <v>1.254968748972873E-9</v>
      </c>
      <c r="AX133" s="21">
        <f t="shared" si="114"/>
        <v>43.112669976888611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1.064108801074326E-13</v>
      </c>
      <c r="BF133" s="13">
        <f t="shared" ref="BF133:BF153" si="145">EXP(-1.0587+0.8836*LN(BE133)+0.284)</f>
        <v>1.5870730813698654E-12</v>
      </c>
      <c r="BG133" s="20">
        <f t="shared" si="115"/>
        <v>2.9494845662396269E-12</v>
      </c>
      <c r="BH133" s="59">
        <f t="shared" si="116"/>
        <v>293.33333333333627</v>
      </c>
      <c r="BI133" s="59">
        <f ca="1">AVERAGE(OFFSET($BH$3,0,0,'Données projet'!$E$11+1,1))-AVERAGE(OFFSET($H$3,0,0,'Données projet'!$E$11+1,1))</f>
        <v>227.19831549982962</v>
      </c>
      <c r="BJ133" s="59">
        <f t="shared" ref="BJ133:BJ196" si="146">$BJ$3</f>
        <v>309.84543033784564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46.642957187321365</v>
      </c>
      <c r="BQ133" s="21">
        <f>EXP(-LN(2)/25)*BQ132+(1-EXP(-LN(2)/25))/(LN(2)/25)*Calculateur!BL133*Calculateur!BN133*VLOOKUP('Données projet'!$B$11,Paramètres!$A$1:$I$89,3,0)*0.475*44/12</f>
        <v>9.5664114031895746</v>
      </c>
      <c r="BR133" s="21">
        <f>EXP(-LN(2)/2)*BR132+(1-EXP(-LN(2)/2))/(LN(2)/2)*BL133*BO133*VLOOKUP('Données projet'!$B$11,Paramètres!$A$1:$I$89,3,0)*0.475*44/12</f>
        <v>3.5174084097288968E-9</v>
      </c>
      <c r="BS133" s="22">
        <f t="shared" si="117"/>
        <v>56.209368594028348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2.2737367544323206E-13</v>
      </c>
      <c r="BZ133" s="13">
        <f>BY133*VLOOKUP('Données projet'!$B$12,Paramètres!$A$1:$I$89,3,0)*VLOOKUP('Données projet'!$B$12,Paramètres!$A$1:$I$89,5,0)</f>
        <v>1.4897523215040565E-13</v>
      </c>
      <c r="CA133" s="13">
        <f t="shared" ref="CA133:CA153" si="147">EXP(-1.0587+0.8836*LN(BZ133)+0.284)</f>
        <v>2.136562777003313E-12</v>
      </c>
      <c r="CB133" s="20">
        <f t="shared" si="118"/>
        <v>3.9806453659427267E-12</v>
      </c>
      <c r="CC133" s="59">
        <f t="shared" si="119"/>
        <v>293.33333333333729</v>
      </c>
      <c r="CD133" s="59">
        <f ca="1">AVERAGE(OFFSET($CC$3,0,0,'Données projet'!$E$12+1,1))-AVERAGE(OFFSET($H$3,0,0,'Données projet'!$E$12+1,1))</f>
        <v>91.274378490051788</v>
      </c>
      <c r="CE133" s="59">
        <f t="shared" ref="CE133:CE196" si="148">$CE$3</f>
        <v>126.60105012427914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7.6558587682218917</v>
      </c>
      <c r="CL133" s="21">
        <f>EXP(-LN(2)/25)*CL132+(1-EXP(-LN(2)/25))/(LN(2)/25)*Calculateur!CG133*Calculateur!CI133*VLOOKUP('Données projet'!$B$12,Paramètres!$A$1:$I$89,3,0)*0.475*44/12</f>
        <v>5.9518352261437579</v>
      </c>
      <c r="CM133" s="21">
        <f>EXP(-LN(2)/2)*CM132+(1-EXP(-LN(2)/2))/(LN(2)/2)*CG133*CJ133*VLOOKUP('Données projet'!$B$12,Paramètres!$A$1:$I$89,3,0)*0.475*44/12</f>
        <v>2.3929528853315775E-5</v>
      </c>
      <c r="CN133" s="22">
        <f t="shared" si="120"/>
        <v>13.607717923894503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350.09239406910712</v>
      </c>
      <c r="T134" s="59">
        <f t="shared" si="142"/>
        <v>473.30663081727369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53.699755267002615</v>
      </c>
      <c r="AA134" s="21">
        <f>EXP(-LN(2)/25)*AA133+(1-EXP(-LN(2)/25))/(LN(2)/25)*Calculateur!V134*Calculateur!X134*VLOOKUP('Données projet'!$B$9,Paramètres!$A$1:$I$89,3,0)*0.475*44/12</f>
        <v>10.051948216206682</v>
      </c>
      <c r="AB134" s="21">
        <f>EXP(-LN(2)/2)*AB133+(1-EXP(-LN(2)/2))/(LN(2)/2)*V134*Y134*VLOOKUP('Données projet'!$B$9,Paramètres!$A$1:$I$89,3,0)*0.475*44/12</f>
        <v>2.3539908356117339E-10</v>
      </c>
      <c r="AC134" s="22">
        <f t="shared" si="111"/>
        <v>63.751703483444693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179.4725256147085</v>
      </c>
      <c r="AO134" s="59">
        <f t="shared" si="144"/>
        <v>282.16750121151176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35.388743033283284</v>
      </c>
      <c r="AV134" s="21">
        <f>EXP(-LN(2)/25)*AV133+(1-EXP(-LN(2)/25))/(LN(2)/25)*Calculateur!AQ134*Calculateur!AS134*VLOOKUP('Données projet'!$B$10,Paramètres!$A$1:$I$89,3,0)*0.475*44/12</f>
        <v>6.8242396361025985</v>
      </c>
      <c r="AW134" s="21">
        <f>EXP(-LN(2)/2)*AW133+(1-EXP(-LN(2)/2))/(LN(2)/2)*AQ134*AT134*VLOOKUP('Données projet'!$B$10,Paramètres!$A$1:$I$89,3,0)*0.475*44/12</f>
        <v>8.8739691257591657E-10</v>
      </c>
      <c r="AX134" s="21">
        <f t="shared" si="114"/>
        <v>42.212982670273277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1.064108801074326E-13</v>
      </c>
      <c r="BF134" s="13">
        <f t="shared" si="145"/>
        <v>1.5870730813698654E-12</v>
      </c>
      <c r="BG134" s="20">
        <f t="shared" si="115"/>
        <v>2.9494845662396269E-12</v>
      </c>
      <c r="BH134" s="59">
        <f t="shared" si="116"/>
        <v>293.33333333333627</v>
      </c>
      <c r="BI134" s="59">
        <f ca="1">AVERAGE(OFFSET($BH$3,0,0,'Données projet'!$E$11+1,1))-AVERAGE(OFFSET($H$3,0,0,'Données projet'!$E$11+1,1))</f>
        <v>227.19831549982962</v>
      </c>
      <c r="BJ134" s="59">
        <f t="shared" si="146"/>
        <v>309.84543033784564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45.728317246272731</v>
      </c>
      <c r="BQ134" s="21">
        <f>EXP(-LN(2)/25)*BQ133+(1-EXP(-LN(2)/25))/(LN(2)/25)*Calculateur!BL134*Calculateur!BN134*VLOOKUP('Données projet'!$B$11,Paramètres!$A$1:$I$89,3,0)*0.475*44/12</f>
        <v>9.3048173802936436</v>
      </c>
      <c r="BR134" s="21">
        <f>EXP(-LN(2)/2)*BR133+(1-EXP(-LN(2)/2))/(LN(2)/2)*BL134*BO134*VLOOKUP('Données projet'!$B$11,Paramètres!$A$1:$I$89,3,0)*0.475*44/12</f>
        <v>2.4871833387218931E-9</v>
      </c>
      <c r="BS134" s="22">
        <f t="shared" si="117"/>
        <v>55.033134629053556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2.2737367544323206E-13</v>
      </c>
      <c r="BZ134" s="13">
        <f>BY134*VLOOKUP('Données projet'!$B$12,Paramètres!$A$1:$I$89,3,0)*VLOOKUP('Données projet'!$B$12,Paramètres!$A$1:$I$89,5,0)</f>
        <v>1.4897523215040565E-13</v>
      </c>
      <c r="CA134" s="13">
        <f t="shared" si="147"/>
        <v>2.136562777003313E-12</v>
      </c>
      <c r="CB134" s="20">
        <f t="shared" si="118"/>
        <v>3.9806453659427267E-12</v>
      </c>
      <c r="CC134" s="59">
        <f t="shared" si="119"/>
        <v>293.33333333333729</v>
      </c>
      <c r="CD134" s="59">
        <f ca="1">AVERAGE(OFFSET($CC$3,0,0,'Données projet'!$E$12+1,1))-AVERAGE(OFFSET($H$3,0,0,'Données projet'!$E$12+1,1))</f>
        <v>91.274378490051788</v>
      </c>
      <c r="CE134" s="59">
        <f t="shared" si="148"/>
        <v>126.60105012427914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7.5057320473898228</v>
      </c>
      <c r="CL134" s="21">
        <f>EXP(-LN(2)/25)*CL133+(1-EXP(-LN(2)/25))/(LN(2)/25)*Calculateur!CG134*Calculateur!CI134*VLOOKUP('Données projet'!$B$12,Paramètres!$A$1:$I$89,3,0)*0.475*44/12</f>
        <v>5.7890819788914456</v>
      </c>
      <c r="CM134" s="21">
        <f>EXP(-LN(2)/2)*CM133+(1-EXP(-LN(2)/2))/(LN(2)/2)*CG134*CJ134*VLOOKUP('Données projet'!$B$12,Paramètres!$A$1:$I$89,3,0)*0.475*44/12</f>
        <v>1.6920732122778733E-5</v>
      </c>
      <c r="CN134" s="22">
        <f t="shared" si="120"/>
        <v>13.294830947013391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350.09239406910712</v>
      </c>
      <c r="T135" s="59">
        <f t="shared" si="142"/>
        <v>473.30663081727369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52.646735819833253</v>
      </c>
      <c r="AA135" s="21">
        <f>EXP(-LN(2)/25)*AA134+(1-EXP(-LN(2)/25))/(LN(2)/25)*Calculateur!V135*Calculateur!X135*VLOOKUP('Données projet'!$B$9,Paramètres!$A$1:$I$89,3,0)*0.475*44/12</f>
        <v>9.7770771636255276</v>
      </c>
      <c r="AB135" s="21">
        <f>EXP(-LN(2)/2)*AB134+(1-EXP(-LN(2)/2))/(LN(2)/2)*V135*Y135*VLOOKUP('Données projet'!$B$9,Paramètres!$A$1:$I$89,3,0)*0.475*44/12</f>
        <v>1.6645228827120446E-10</v>
      </c>
      <c r="AC135" s="22">
        <f t="shared" si="111"/>
        <v>62.423812983625233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179.4725256147085</v>
      </c>
      <c r="AO135" s="59">
        <f t="shared" si="144"/>
        <v>282.16750121151176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34.694791367402509</v>
      </c>
      <c r="AV135" s="21">
        <f>EXP(-LN(2)/25)*AV134+(1-EXP(-LN(2)/25))/(LN(2)/25)*Calculateur!AQ135*Calculateur!AS135*VLOOKUP('Données projet'!$B$10,Paramètres!$A$1:$I$89,3,0)*0.475*44/12</f>
        <v>6.6376304443822072</v>
      </c>
      <c r="AW135" s="21">
        <f>EXP(-LN(2)/2)*AW134+(1-EXP(-LN(2)/2))/(LN(2)/2)*AQ135*AT135*VLOOKUP('Données projet'!$B$10,Paramètres!$A$1:$I$89,3,0)*0.475*44/12</f>
        <v>6.2748437448643648E-10</v>
      </c>
      <c r="AX135" s="21">
        <f t="shared" si="114"/>
        <v>41.3324218124122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1.064108801074326E-13</v>
      </c>
      <c r="BF135" s="13">
        <f t="shared" si="145"/>
        <v>1.5870730813698654E-12</v>
      </c>
      <c r="BG135" s="20">
        <f t="shared" si="115"/>
        <v>2.9494845662396269E-12</v>
      </c>
      <c r="BH135" s="59">
        <f t="shared" si="116"/>
        <v>293.33333333333627</v>
      </c>
      <c r="BI135" s="59">
        <f ca="1">AVERAGE(OFFSET($BH$3,0,0,'Données projet'!$E$11+1,1))-AVERAGE(OFFSET($H$3,0,0,'Données projet'!$E$11+1,1))</f>
        <v>227.19831549982962</v>
      </c>
      <c r="BJ135" s="59">
        <f t="shared" si="146"/>
        <v>309.84543033784564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44.831612836592782</v>
      </c>
      <c r="BQ135" s="21">
        <f>EXP(-LN(2)/25)*BQ134+(1-EXP(-LN(2)/25))/(LN(2)/25)*Calculateur!BL135*Calculateur!BN135*VLOOKUP('Données projet'!$B$11,Paramètres!$A$1:$I$89,3,0)*0.475*44/12</f>
        <v>9.0503766597104338</v>
      </c>
      <c r="BR135" s="21">
        <f>EXP(-LN(2)/2)*BR134+(1-EXP(-LN(2)/2))/(LN(2)/2)*BL135*BO135*VLOOKUP('Données projet'!$B$11,Paramètres!$A$1:$I$89,3,0)*0.475*44/12</f>
        <v>1.7587042048644484E-9</v>
      </c>
      <c r="BS135" s="22">
        <f t="shared" si="117"/>
        <v>53.881989498061927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2.2737367544323206E-13</v>
      </c>
      <c r="BZ135" s="13">
        <f>BY135*VLOOKUP('Données projet'!$B$12,Paramètres!$A$1:$I$89,3,0)*VLOOKUP('Données projet'!$B$12,Paramètres!$A$1:$I$89,5,0)</f>
        <v>1.4897523215040565E-13</v>
      </c>
      <c r="CA135" s="13">
        <f t="shared" si="147"/>
        <v>2.136562777003313E-12</v>
      </c>
      <c r="CB135" s="20">
        <f t="shared" si="118"/>
        <v>3.9806453659427267E-12</v>
      </c>
      <c r="CC135" s="59">
        <f t="shared" si="119"/>
        <v>293.33333333333729</v>
      </c>
      <c r="CD135" s="59">
        <f ca="1">AVERAGE(OFFSET($CC$3,0,0,'Données projet'!$E$12+1,1))-AVERAGE(OFFSET($H$3,0,0,'Données projet'!$E$12+1,1))</f>
        <v>91.274378490051788</v>
      </c>
      <c r="CE135" s="59">
        <f t="shared" si="148"/>
        <v>126.60105012427914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7.3585492199850133</v>
      </c>
      <c r="CL135" s="21">
        <f>EXP(-LN(2)/25)*CL134+(1-EXP(-LN(2)/25))/(LN(2)/25)*Calculateur!CG135*Calculateur!CI135*VLOOKUP('Données projet'!$B$12,Paramètres!$A$1:$I$89,3,0)*0.475*44/12</f>
        <v>5.6307792277440685</v>
      </c>
      <c r="CM135" s="21">
        <f>EXP(-LN(2)/2)*CM134+(1-EXP(-LN(2)/2))/(LN(2)/2)*CG135*CJ135*VLOOKUP('Données projet'!$B$12,Paramètres!$A$1:$I$89,3,0)*0.475*44/12</f>
        <v>1.1964764426657888E-5</v>
      </c>
      <c r="CN135" s="22">
        <f t="shared" si="120"/>
        <v>12.98934041249351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350.09239406910712</v>
      </c>
      <c r="T136" s="59">
        <f t="shared" si="142"/>
        <v>473.30663081727369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51.61436544174444</v>
      </c>
      <c r="AA136" s="21">
        <f>EXP(-LN(2)/25)*AA135+(1-EXP(-LN(2)/25))/(LN(2)/25)*Calculateur!V136*Calculateur!X136*VLOOKUP('Données projet'!$B$9,Paramètres!$A$1:$I$89,3,0)*0.475*44/12</f>
        <v>9.5097224744320457</v>
      </c>
      <c r="AB136" s="21">
        <f>EXP(-LN(2)/2)*AB135+(1-EXP(-LN(2)/2))/(LN(2)/2)*V136*Y136*VLOOKUP('Données projet'!$B$9,Paramètres!$A$1:$I$89,3,0)*0.475*44/12</f>
        <v>1.176995417805867E-10</v>
      </c>
      <c r="AC136" s="22">
        <f t="shared" si="111"/>
        <v>61.124087916294187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179.4725256147085</v>
      </c>
      <c r="AO136" s="59">
        <f t="shared" si="144"/>
        <v>282.16750121151176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34.014447670420935</v>
      </c>
      <c r="AV136" s="21">
        <f>EXP(-LN(2)/25)*AV135+(1-EXP(-LN(2)/25))/(LN(2)/25)*Calculateur!AQ136*Calculateur!AS136*VLOOKUP('Données projet'!$B$10,Paramètres!$A$1:$I$89,3,0)*0.475*44/12</f>
        <v>6.4561240908227608</v>
      </c>
      <c r="AW136" s="21">
        <f>EXP(-LN(2)/2)*AW135+(1-EXP(-LN(2)/2))/(LN(2)/2)*AQ136*AT136*VLOOKUP('Données projet'!$B$10,Paramètres!$A$1:$I$89,3,0)*0.475*44/12</f>
        <v>4.4369845628795829E-10</v>
      </c>
      <c r="AX136" s="21">
        <f t="shared" si="114"/>
        <v>40.470571761687395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1.064108801074326E-13</v>
      </c>
      <c r="BF136" s="13">
        <f t="shared" si="145"/>
        <v>1.5870730813698654E-12</v>
      </c>
      <c r="BG136" s="20">
        <f t="shared" si="115"/>
        <v>2.9494845662396269E-12</v>
      </c>
      <c r="BH136" s="59">
        <f t="shared" si="116"/>
        <v>293.33333333333627</v>
      </c>
      <c r="BI136" s="59">
        <f ca="1">AVERAGE(OFFSET($BH$3,0,0,'Données projet'!$E$11+1,1))-AVERAGE(OFFSET($H$3,0,0,'Données projet'!$E$11+1,1))</f>
        <v>227.19831549982962</v>
      </c>
      <c r="BJ136" s="59">
        <f t="shared" si="146"/>
        <v>309.84543033784564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43.952492253450977</v>
      </c>
      <c r="BQ136" s="21">
        <f>EXP(-LN(2)/25)*BQ135+(1-EXP(-LN(2)/25))/(LN(2)/25)*Calculateur!BL136*Calculateur!BN136*VLOOKUP('Données projet'!$B$11,Paramètres!$A$1:$I$89,3,0)*0.475*44/12</f>
        <v>8.8028936340120278</v>
      </c>
      <c r="BR136" s="21">
        <f>EXP(-LN(2)/2)*BR135+(1-EXP(-LN(2)/2))/(LN(2)/2)*BL136*BO136*VLOOKUP('Données projet'!$B$11,Paramètres!$A$1:$I$89,3,0)*0.475*44/12</f>
        <v>1.2435916693609466E-9</v>
      </c>
      <c r="BS136" s="22">
        <f t="shared" si="117"/>
        <v>52.755385888706599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2.2737367544323206E-13</v>
      </c>
      <c r="BZ136" s="13">
        <f>BY136*VLOOKUP('Données projet'!$B$12,Paramètres!$A$1:$I$89,3,0)*VLOOKUP('Données projet'!$B$12,Paramètres!$A$1:$I$89,5,0)</f>
        <v>1.4897523215040565E-13</v>
      </c>
      <c r="CA136" s="13">
        <f t="shared" si="147"/>
        <v>2.136562777003313E-12</v>
      </c>
      <c r="CB136" s="20">
        <f t="shared" si="118"/>
        <v>3.9806453659427267E-12</v>
      </c>
      <c r="CC136" s="59">
        <f t="shared" si="119"/>
        <v>293.33333333333729</v>
      </c>
      <c r="CD136" s="59">
        <f ca="1">AVERAGE(OFFSET($CC$3,0,0,'Données projet'!$E$12+1,1))-AVERAGE(OFFSET($H$3,0,0,'Données projet'!$E$12+1,1))</f>
        <v>91.274378490051788</v>
      </c>
      <c r="CE136" s="59">
        <f t="shared" si="148"/>
        <v>126.60105012427914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7.2142525580529515</v>
      </c>
      <c r="CL136" s="21">
        <f>EXP(-LN(2)/25)*CL135+(1-EXP(-LN(2)/25))/(LN(2)/25)*Calculateur!CG136*Calculateur!CI136*VLOOKUP('Données projet'!$B$12,Paramètres!$A$1:$I$89,3,0)*0.475*44/12</f>
        <v>5.4768052736515971</v>
      </c>
      <c r="CM136" s="21">
        <f>EXP(-LN(2)/2)*CM135+(1-EXP(-LN(2)/2))/(LN(2)/2)*CG136*CJ136*VLOOKUP('Données projet'!$B$12,Paramètres!$A$1:$I$89,3,0)*0.475*44/12</f>
        <v>8.4603660613893666E-6</v>
      </c>
      <c r="CN136" s="22">
        <f t="shared" si="120"/>
        <v>12.691066292070609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350.09239406910712</v>
      </c>
      <c r="T137" s="59">
        <f t="shared" si="142"/>
        <v>473.30663081727369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50.602239217086193</v>
      </c>
      <c r="AA137" s="21">
        <f>EXP(-LN(2)/25)*AA136+(1-EXP(-LN(2)/25))/(LN(2)/25)*Calculateur!V137*Calculateur!X137*VLOOKUP('Données projet'!$B$9,Paramètres!$A$1:$I$89,3,0)*0.475*44/12</f>
        <v>9.2496786132741313</v>
      </c>
      <c r="AB137" s="21">
        <f>EXP(-LN(2)/2)*AB136+(1-EXP(-LN(2)/2))/(LN(2)/2)*V137*Y137*VLOOKUP('Données projet'!$B$9,Paramètres!$A$1:$I$89,3,0)*0.475*44/12</f>
        <v>8.3226144135602229E-11</v>
      </c>
      <c r="AC137" s="22">
        <f t="shared" si="111"/>
        <v>59.851917830443547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179.4725256147085</v>
      </c>
      <c r="AO137" s="59">
        <f t="shared" si="144"/>
        <v>282.16750121151176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33.347445098368489</v>
      </c>
      <c r="AV137" s="21">
        <f>EXP(-LN(2)/25)*AV136+(1-EXP(-LN(2)/25))/(LN(2)/25)*Calculateur!AQ137*Calculateur!AS137*VLOOKUP('Données projet'!$B$10,Paramètres!$A$1:$I$89,3,0)*0.475*44/12</f>
        <v>6.2795810380464019</v>
      </c>
      <c r="AW137" s="21">
        <f>EXP(-LN(2)/2)*AW136+(1-EXP(-LN(2)/2))/(LN(2)/2)*AQ137*AT137*VLOOKUP('Données projet'!$B$10,Paramètres!$A$1:$I$89,3,0)*0.475*44/12</f>
        <v>3.1374218724321824E-10</v>
      </c>
      <c r="AX137" s="21">
        <f t="shared" si="114"/>
        <v>39.627026136728631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1.064108801074326E-13</v>
      </c>
      <c r="BF137" s="13">
        <f t="shared" si="145"/>
        <v>1.5870730813698654E-12</v>
      </c>
      <c r="BG137" s="20">
        <f t="shared" si="115"/>
        <v>2.9494845662396269E-12</v>
      </c>
      <c r="BH137" s="59">
        <f t="shared" si="116"/>
        <v>293.33333333333627</v>
      </c>
      <c r="BI137" s="59">
        <f ca="1">AVERAGE(OFFSET($BH$3,0,0,'Données projet'!$E$11+1,1))-AVERAGE(OFFSET($H$3,0,0,'Données projet'!$E$11+1,1))</f>
        <v>227.19831549982962</v>
      </c>
      <c r="BJ137" s="59">
        <f t="shared" si="146"/>
        <v>309.84543033784564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43.090610688733967</v>
      </c>
      <c r="BQ137" s="21">
        <f>EXP(-LN(2)/25)*BQ136+(1-EXP(-LN(2)/25))/(LN(2)/25)*Calculateur!BL137*Calculateur!BN137*VLOOKUP('Données projet'!$B$11,Paramètres!$A$1:$I$89,3,0)*0.475*44/12</f>
        <v>8.5621780446659113</v>
      </c>
      <c r="BR137" s="21">
        <f>EXP(-LN(2)/2)*BR136+(1-EXP(-LN(2)/2))/(LN(2)/2)*BL137*BO137*VLOOKUP('Données projet'!$B$11,Paramètres!$A$1:$I$89,3,0)*0.475*44/12</f>
        <v>8.7935210243222421E-10</v>
      </c>
      <c r="BS137" s="22">
        <f t="shared" si="117"/>
        <v>51.652788734279234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2.2737367544323206E-13</v>
      </c>
      <c r="BZ137" s="13">
        <f>BY137*VLOOKUP('Données projet'!$B$12,Paramètres!$A$1:$I$89,3,0)*VLOOKUP('Données projet'!$B$12,Paramètres!$A$1:$I$89,5,0)</f>
        <v>1.4897523215040565E-13</v>
      </c>
      <c r="CA137" s="13">
        <f t="shared" si="147"/>
        <v>2.136562777003313E-12</v>
      </c>
      <c r="CB137" s="20">
        <f t="shared" si="118"/>
        <v>3.9806453659427267E-12</v>
      </c>
      <c r="CC137" s="59">
        <f t="shared" si="119"/>
        <v>293.33333333333729</v>
      </c>
      <c r="CD137" s="59">
        <f ca="1">AVERAGE(OFFSET($CC$3,0,0,'Données projet'!$E$12+1,1))-AVERAGE(OFFSET($H$3,0,0,'Données projet'!$E$12+1,1))</f>
        <v>91.274378490051788</v>
      </c>
      <c r="CE137" s="59">
        <f t="shared" si="148"/>
        <v>126.60105012427914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7.0727854656491038</v>
      </c>
      <c r="CL137" s="21">
        <f>EXP(-LN(2)/25)*CL136+(1-EXP(-LN(2)/25))/(LN(2)/25)*Calculateur!CG137*Calculateur!CI137*VLOOKUP('Données projet'!$B$12,Paramètres!$A$1:$I$89,3,0)*0.475*44/12</f>
        <v>5.3270417454309218</v>
      </c>
      <c r="CM137" s="21">
        <f>EXP(-LN(2)/2)*CM136+(1-EXP(-LN(2)/2))/(LN(2)/2)*CG137*CJ137*VLOOKUP('Données projet'!$B$12,Paramètres!$A$1:$I$89,3,0)*0.475*44/12</f>
        <v>5.9823822133289438E-6</v>
      </c>
      <c r="CN137" s="22">
        <f t="shared" si="120"/>
        <v>12.399833193462239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350.09239406910712</v>
      </c>
      <c r="T138" s="59">
        <f t="shared" si="142"/>
        <v>473.30663081727369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49.609960170357461</v>
      </c>
      <c r="AA138" s="21">
        <f>EXP(-LN(2)/25)*AA137+(1-EXP(-LN(2)/25))/(LN(2)/25)*Calculateur!V138*Calculateur!X138*VLOOKUP('Données projet'!$B$9,Paramètres!$A$1:$I$89,3,0)*0.475*44/12</f>
        <v>8.9967456651746929</v>
      </c>
      <c r="AB138" s="21">
        <f>EXP(-LN(2)/2)*AB137+(1-EXP(-LN(2)/2))/(LN(2)/2)*V138*Y138*VLOOKUP('Données projet'!$B$9,Paramètres!$A$1:$I$89,3,0)*0.475*44/12</f>
        <v>5.8849770890293348E-11</v>
      </c>
      <c r="AC138" s="22">
        <f t="shared" si="111"/>
        <v>58.606705835591001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179.4725256147085</v>
      </c>
      <c r="AO138" s="59">
        <f t="shared" si="144"/>
        <v>282.16750121151176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32.693522039922591</v>
      </c>
      <c r="AV138" s="21">
        <f>EXP(-LN(2)/25)*AV137+(1-EXP(-LN(2)/25))/(LN(2)/25)*Calculateur!AQ138*Calculateur!AS138*VLOOKUP('Données projet'!$B$10,Paramètres!$A$1:$I$89,3,0)*0.475*44/12</f>
        <v>6.1078655643322088</v>
      </c>
      <c r="AW138" s="21">
        <f>EXP(-LN(2)/2)*AW137+(1-EXP(-LN(2)/2))/(LN(2)/2)*AQ138*AT138*VLOOKUP('Données projet'!$B$10,Paramètres!$A$1:$I$89,3,0)*0.475*44/12</f>
        <v>2.2184922814397914E-10</v>
      </c>
      <c r="AX138" s="21">
        <f t="shared" si="114"/>
        <v>38.801387604476652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1.064108801074326E-13</v>
      </c>
      <c r="BF138" s="13">
        <f t="shared" si="145"/>
        <v>1.5870730813698654E-12</v>
      </c>
      <c r="BG138" s="20">
        <f t="shared" si="115"/>
        <v>2.9494845662396269E-12</v>
      </c>
      <c r="BH138" s="59">
        <f t="shared" si="116"/>
        <v>293.33333333333627</v>
      </c>
      <c r="BI138" s="59">
        <f ca="1">AVERAGE(OFFSET($BH$3,0,0,'Données projet'!$E$11+1,1))-AVERAGE(OFFSET($H$3,0,0,'Données projet'!$E$11+1,1))</f>
        <v>227.19831549982962</v>
      </c>
      <c r="BJ138" s="59">
        <f t="shared" si="146"/>
        <v>309.84543033784564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42.245630095805218</v>
      </c>
      <c r="BQ138" s="21">
        <f>EXP(-LN(2)/25)*BQ137+(1-EXP(-LN(2)/25))/(LN(2)/25)*Calculateur!BL138*Calculateur!BN138*VLOOKUP('Données projet'!$B$11,Paramètres!$A$1:$I$89,3,0)*0.475*44/12</f>
        <v>8.3280448357691483</v>
      </c>
      <c r="BR138" s="21">
        <f>EXP(-LN(2)/2)*BR137+(1-EXP(-LN(2)/2))/(LN(2)/2)*BL138*BO138*VLOOKUP('Données projet'!$B$11,Paramètres!$A$1:$I$89,3,0)*0.475*44/12</f>
        <v>6.2179583468047328E-10</v>
      </c>
      <c r="BS138" s="22">
        <f t="shared" si="117"/>
        <v>50.573674932196163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2.2737367544323206E-13</v>
      </c>
      <c r="BZ138" s="13">
        <f>BY138*VLOOKUP('Données projet'!$B$12,Paramètres!$A$1:$I$89,3,0)*VLOOKUP('Données projet'!$B$12,Paramètres!$A$1:$I$89,5,0)</f>
        <v>1.4897523215040565E-13</v>
      </c>
      <c r="CA138" s="13">
        <f t="shared" si="147"/>
        <v>2.136562777003313E-12</v>
      </c>
      <c r="CB138" s="20">
        <f t="shared" si="118"/>
        <v>3.9806453659427267E-12</v>
      </c>
      <c r="CC138" s="59">
        <f t="shared" si="119"/>
        <v>293.33333333333729</v>
      </c>
      <c r="CD138" s="59">
        <f ca="1">AVERAGE(OFFSET($CC$3,0,0,'Données projet'!$E$12+1,1))-AVERAGE(OFFSET($H$3,0,0,'Données projet'!$E$12+1,1))</f>
        <v>91.274378490051788</v>
      </c>
      <c r="CE138" s="59">
        <f t="shared" si="148"/>
        <v>126.60105012427914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6.9340924566408892</v>
      </c>
      <c r="CL138" s="21">
        <f>EXP(-LN(2)/25)*CL137+(1-EXP(-LN(2)/25))/(LN(2)/25)*Calculateur!CG138*Calculateur!CI138*VLOOKUP('Données projet'!$B$12,Paramètres!$A$1:$I$89,3,0)*0.475*44/12</f>
        <v>5.1813735087651631</v>
      </c>
      <c r="CM138" s="21">
        <f>EXP(-LN(2)/2)*CM137+(1-EXP(-LN(2)/2))/(LN(2)/2)*CG138*CJ138*VLOOKUP('Données projet'!$B$12,Paramètres!$A$1:$I$89,3,0)*0.475*44/12</f>
        <v>4.2301830306946833E-6</v>
      </c>
      <c r="CN138" s="22">
        <f t="shared" si="120"/>
        <v>12.115470195589083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350.09239406910712</v>
      </c>
      <c r="T139" s="59">
        <f t="shared" si="142"/>
        <v>473.30663081727369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48.63713911050462</v>
      </c>
      <c r="AA139" s="21">
        <f>EXP(-LN(2)/25)*AA138+(1-EXP(-LN(2)/25))/(LN(2)/25)*Calculateur!V139*Calculateur!X139*VLOOKUP('Données projet'!$B$9,Paramètres!$A$1:$I$89,3,0)*0.475*44/12</f>
        <v>8.7507291818421979</v>
      </c>
      <c r="AB139" s="21">
        <f>EXP(-LN(2)/2)*AB138+(1-EXP(-LN(2)/2))/(LN(2)/2)*V139*Y139*VLOOKUP('Données projet'!$B$9,Paramètres!$A$1:$I$89,3,0)*0.475*44/12</f>
        <v>4.1613072067801114E-11</v>
      </c>
      <c r="AC139" s="22">
        <f t="shared" si="111"/>
        <v>57.387868292388433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179.4725256147085</v>
      </c>
      <c r="AO139" s="59">
        <f t="shared" si="144"/>
        <v>282.16750121151176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32.052422013799138</v>
      </c>
      <c r="AV139" s="21">
        <f>EXP(-LN(2)/25)*AV138+(1-EXP(-LN(2)/25))/(LN(2)/25)*Calculateur!AQ139*Calculateur!AS139*VLOOKUP('Données projet'!$B$10,Paramètres!$A$1:$I$89,3,0)*0.475*44/12</f>
        <v>5.9408456592768539</v>
      </c>
      <c r="AW139" s="21">
        <f>EXP(-LN(2)/2)*AW138+(1-EXP(-LN(2)/2))/(LN(2)/2)*AQ139*AT139*VLOOKUP('Données projet'!$B$10,Paramètres!$A$1:$I$89,3,0)*0.475*44/12</f>
        <v>1.5687109362160912E-10</v>
      </c>
      <c r="AX139" s="21">
        <f t="shared" si="114"/>
        <v>37.993267673232864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1.064108801074326E-13</v>
      </c>
      <c r="BF139" s="13">
        <f t="shared" si="145"/>
        <v>1.5870730813698654E-12</v>
      </c>
      <c r="BG139" s="20">
        <f t="shared" si="115"/>
        <v>2.9494845662396269E-12</v>
      </c>
      <c r="BH139" s="59">
        <f t="shared" si="116"/>
        <v>293.33333333333627</v>
      </c>
      <c r="BI139" s="59">
        <f ca="1">AVERAGE(OFFSET($BH$3,0,0,'Données projet'!$E$11+1,1))-AVERAGE(OFFSET($H$3,0,0,'Données projet'!$E$11+1,1))</f>
        <v>227.19831549982962</v>
      </c>
      <c r="BJ139" s="59">
        <f t="shared" si="146"/>
        <v>309.84543033784564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41.417219056916529</v>
      </c>
      <c r="BQ139" s="21">
        <f>EXP(-LN(2)/25)*BQ138+(1-EXP(-LN(2)/25))/(LN(2)/25)*Calculateur!BL139*Calculateur!BN139*VLOOKUP('Données projet'!$B$11,Paramètres!$A$1:$I$89,3,0)*0.475*44/12</f>
        <v>8.1003140117821975</v>
      </c>
      <c r="BR139" s="21">
        <f>EXP(-LN(2)/2)*BR138+(1-EXP(-LN(2)/2))/(LN(2)/2)*BL139*BO139*VLOOKUP('Données projet'!$B$11,Paramètres!$A$1:$I$89,3,0)*0.475*44/12</f>
        <v>4.396760512161121E-10</v>
      </c>
      <c r="BS139" s="22">
        <f t="shared" si="117"/>
        <v>49.517533069138402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2.2737367544323206E-13</v>
      </c>
      <c r="BZ139" s="13">
        <f>BY139*VLOOKUP('Données projet'!$B$12,Paramètres!$A$1:$I$89,3,0)*VLOOKUP('Données projet'!$B$12,Paramètres!$A$1:$I$89,5,0)</f>
        <v>1.4897523215040565E-13</v>
      </c>
      <c r="CA139" s="13">
        <f t="shared" si="147"/>
        <v>2.136562777003313E-12</v>
      </c>
      <c r="CB139" s="20">
        <f t="shared" si="118"/>
        <v>3.9806453659427267E-12</v>
      </c>
      <c r="CC139" s="59">
        <f t="shared" si="119"/>
        <v>293.33333333333729</v>
      </c>
      <c r="CD139" s="59">
        <f ca="1">AVERAGE(OFFSET($CC$3,0,0,'Données projet'!$E$12+1,1))-AVERAGE(OFFSET($H$3,0,0,'Données projet'!$E$12+1,1))</f>
        <v>91.274378490051788</v>
      </c>
      <c r="CE139" s="59">
        <f t="shared" si="148"/>
        <v>126.60105012427914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6.7981191329449437</v>
      </c>
      <c r="CL139" s="21">
        <f>EXP(-LN(2)/25)*CL138+(1-EXP(-LN(2)/25))/(LN(2)/25)*Calculateur!CG139*Calculateur!CI139*VLOOKUP('Données projet'!$B$12,Paramètres!$A$1:$I$89,3,0)*0.475*44/12</f>
        <v>5.0396885776913889</v>
      </c>
      <c r="CM139" s="21">
        <f>EXP(-LN(2)/2)*CM138+(1-EXP(-LN(2)/2))/(LN(2)/2)*CG139*CJ139*VLOOKUP('Données projet'!$B$12,Paramètres!$A$1:$I$89,3,0)*0.475*44/12</f>
        <v>2.9911911066644719E-6</v>
      </c>
      <c r="CN139" s="22">
        <f t="shared" si="120"/>
        <v>11.83781070182744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350.09239406910712</v>
      </c>
      <c r="T140" s="59">
        <f t="shared" si="142"/>
        <v>473.30663081727369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47.683394478273236</v>
      </c>
      <c r="AA140" s="21">
        <f>EXP(-LN(2)/25)*AA139+(1-EXP(-LN(2)/25))/(LN(2)/25)*Calculateur!V140*Calculateur!X140*VLOOKUP('Données projet'!$B$9,Paramètres!$A$1:$I$89,3,0)*0.475*44/12</f>
        <v>8.5114400321838755</v>
      </c>
      <c r="AB140" s="21">
        <f>EXP(-LN(2)/2)*AB139+(1-EXP(-LN(2)/2))/(LN(2)/2)*V140*Y140*VLOOKUP('Données projet'!$B$9,Paramètres!$A$1:$I$89,3,0)*0.475*44/12</f>
        <v>2.9424885445146674E-11</v>
      </c>
      <c r="AC140" s="22">
        <f t="shared" si="111"/>
        <v>56.194834510486537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179.4725256147085</v>
      </c>
      <c r="AO140" s="59">
        <f t="shared" si="144"/>
        <v>282.16750121151176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31.42389356815556</v>
      </c>
      <c r="AV140" s="21">
        <f>EXP(-LN(2)/25)*AV139+(1-EXP(-LN(2)/25))/(LN(2)/25)*Calculateur!AQ140*Calculateur!AS140*VLOOKUP('Données projet'!$B$10,Paramètres!$A$1:$I$89,3,0)*0.475*44/12</f>
        <v>5.7783929223084334</v>
      </c>
      <c r="AW140" s="21">
        <f>EXP(-LN(2)/2)*AW139+(1-EXP(-LN(2)/2))/(LN(2)/2)*AQ140*AT140*VLOOKUP('Données projet'!$B$10,Paramètres!$A$1:$I$89,3,0)*0.475*44/12</f>
        <v>1.1092461407198957E-10</v>
      </c>
      <c r="AX140" s="21">
        <f t="shared" si="114"/>
        <v>37.202286490574913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1.064108801074326E-13</v>
      </c>
      <c r="BF140" s="13">
        <f t="shared" si="145"/>
        <v>1.5870730813698654E-12</v>
      </c>
      <c r="BG140" s="20">
        <f t="shared" si="115"/>
        <v>2.9494845662396269E-12</v>
      </c>
      <c r="BH140" s="59">
        <f t="shared" si="116"/>
        <v>293.33333333333627</v>
      </c>
      <c r="BI140" s="59">
        <f ca="1">AVERAGE(OFFSET($BH$3,0,0,'Données projet'!$E$11+1,1))-AVERAGE(OFFSET($H$3,0,0,'Données projet'!$E$11+1,1))</f>
        <v>227.19831549982962</v>
      </c>
      <c r="BJ140" s="59">
        <f t="shared" si="146"/>
        <v>309.84543033784564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40.605052653219602</v>
      </c>
      <c r="BQ140" s="21">
        <f>EXP(-LN(2)/25)*BQ139+(1-EXP(-LN(2)/25))/(LN(2)/25)*Calculateur!BL140*Calculateur!BN140*VLOOKUP('Données projet'!$B$11,Paramètres!$A$1:$I$89,3,0)*0.475*44/12</f>
        <v>7.8788104991530128</v>
      </c>
      <c r="BR140" s="21">
        <f>EXP(-LN(2)/2)*BR139+(1-EXP(-LN(2)/2))/(LN(2)/2)*BL140*BO140*VLOOKUP('Données projet'!$B$11,Paramètres!$A$1:$I$89,3,0)*0.475*44/12</f>
        <v>3.1089791734023664E-10</v>
      </c>
      <c r="BS140" s="22">
        <f t="shared" si="117"/>
        <v>48.483863152683512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2.2737367544323206E-13</v>
      </c>
      <c r="BZ140" s="13">
        <f>BY140*VLOOKUP('Données projet'!$B$12,Paramètres!$A$1:$I$89,3,0)*VLOOKUP('Données projet'!$B$12,Paramètres!$A$1:$I$89,5,0)</f>
        <v>1.4897523215040565E-13</v>
      </c>
      <c r="CA140" s="13">
        <f t="shared" si="147"/>
        <v>2.136562777003313E-12</v>
      </c>
      <c r="CB140" s="20">
        <f t="shared" si="118"/>
        <v>3.9806453659427267E-12</v>
      </c>
      <c r="CC140" s="59">
        <f t="shared" si="119"/>
        <v>293.33333333333729</v>
      </c>
      <c r="CD140" s="59">
        <f ca="1">AVERAGE(OFFSET($CC$3,0,0,'Données projet'!$E$12+1,1))-AVERAGE(OFFSET($H$3,0,0,'Données projet'!$E$12+1,1))</f>
        <v>91.274378490051788</v>
      </c>
      <c r="CE140" s="59">
        <f t="shared" si="148"/>
        <v>126.60105012427914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6.6648121631911375</v>
      </c>
      <c r="CL140" s="21">
        <f>EXP(-LN(2)/25)*CL139+(1-EXP(-LN(2)/25))/(LN(2)/25)*Calculateur!CG140*Calculateur!CI140*VLOOKUP('Données projet'!$B$12,Paramètres!$A$1:$I$89,3,0)*0.475*44/12</f>
        <v>4.9018780285087136</v>
      </c>
      <c r="CM140" s="21">
        <f>EXP(-LN(2)/2)*CM139+(1-EXP(-LN(2)/2))/(LN(2)/2)*CG140*CJ140*VLOOKUP('Données projet'!$B$12,Paramètres!$A$1:$I$89,3,0)*0.475*44/12</f>
        <v>2.1150915153473416E-6</v>
      </c>
      <c r="CN140" s="22">
        <f t="shared" si="120"/>
        <v>11.566692306791367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350.09239406910712</v>
      </c>
      <c r="T141" s="59">
        <f t="shared" si="142"/>
        <v>473.30663081727369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46.748352196553121</v>
      </c>
      <c r="AA141" s="21">
        <f>EXP(-LN(2)/25)*AA140+(1-EXP(-LN(2)/25))/(LN(2)/25)*Calculateur!V141*Calculateur!X141*VLOOKUP('Données projet'!$B$9,Paramètres!$A$1:$I$89,3,0)*0.475*44/12</f>
        <v>8.2786942569066291</v>
      </c>
      <c r="AB141" s="21">
        <f>EXP(-LN(2)/2)*AB140+(1-EXP(-LN(2)/2))/(LN(2)/2)*V141*Y141*VLOOKUP('Données projet'!$B$9,Paramètres!$A$1:$I$89,3,0)*0.475*44/12</f>
        <v>2.0806536033900557E-11</v>
      </c>
      <c r="AC141" s="22">
        <f t="shared" si="111"/>
        <v>55.027046453480551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179.4725256147085</v>
      </c>
      <c r="AO141" s="59">
        <f t="shared" si="144"/>
        <v>282.16750121151176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30.807690181966553</v>
      </c>
      <c r="AV141" s="21">
        <f>EXP(-LN(2)/25)*AV140+(1-EXP(-LN(2)/25))/(LN(2)/25)*Calculateur!AQ141*Calculateur!AS141*VLOOKUP('Données projet'!$B$10,Paramètres!$A$1:$I$89,3,0)*0.475*44/12</f>
        <v>5.6203824639754325</v>
      </c>
      <c r="AW141" s="21">
        <f>EXP(-LN(2)/2)*AW140+(1-EXP(-LN(2)/2))/(LN(2)/2)*AQ141*AT141*VLOOKUP('Données projet'!$B$10,Paramètres!$A$1:$I$89,3,0)*0.475*44/12</f>
        <v>7.843554681080456E-11</v>
      </c>
      <c r="AX141" s="21">
        <f t="shared" si="114"/>
        <v>36.428072646020425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1.064108801074326E-13</v>
      </c>
      <c r="BF141" s="13">
        <f t="shared" si="145"/>
        <v>1.5870730813698654E-12</v>
      </c>
      <c r="BG141" s="20">
        <f t="shared" si="115"/>
        <v>2.9494845662396269E-12</v>
      </c>
      <c r="BH141" s="59">
        <f t="shared" si="116"/>
        <v>293.33333333333627</v>
      </c>
      <c r="BI141" s="59">
        <f ca="1">AVERAGE(OFFSET($BH$3,0,0,'Données projet'!$E$11+1,1))-AVERAGE(OFFSET($H$3,0,0,'Données projet'!$E$11+1,1))</f>
        <v>227.19831549982962</v>
      </c>
      <c r="BJ141" s="59">
        <f t="shared" si="146"/>
        <v>309.84543033784564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39.808812337326579</v>
      </c>
      <c r="BQ141" s="21">
        <f>EXP(-LN(2)/25)*BQ140+(1-EXP(-LN(2)/25))/(LN(2)/25)*Calculateur!BL141*Calculateur!BN141*VLOOKUP('Données projet'!$B$11,Paramètres!$A$1:$I$89,3,0)*0.475*44/12</f>
        <v>7.6633640117250366</v>
      </c>
      <c r="BR141" s="21">
        <f>EXP(-LN(2)/2)*BR140+(1-EXP(-LN(2)/2))/(LN(2)/2)*BL141*BO141*VLOOKUP('Données projet'!$B$11,Paramètres!$A$1:$I$89,3,0)*0.475*44/12</f>
        <v>2.1983802560805605E-10</v>
      </c>
      <c r="BS141" s="22">
        <f t="shared" si="117"/>
        <v>47.47217634927145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2.2737367544323206E-13</v>
      </c>
      <c r="BZ141" s="13">
        <f>BY141*VLOOKUP('Données projet'!$B$12,Paramètres!$A$1:$I$89,3,0)*VLOOKUP('Données projet'!$B$12,Paramètres!$A$1:$I$89,5,0)</f>
        <v>1.4897523215040565E-13</v>
      </c>
      <c r="CA141" s="13">
        <f t="shared" si="147"/>
        <v>2.136562777003313E-12</v>
      </c>
      <c r="CB141" s="20">
        <f t="shared" si="118"/>
        <v>3.9806453659427267E-12</v>
      </c>
      <c r="CC141" s="59">
        <f t="shared" si="119"/>
        <v>293.33333333333729</v>
      </c>
      <c r="CD141" s="59">
        <f ca="1">AVERAGE(OFFSET($CC$3,0,0,'Données projet'!$E$12+1,1))-AVERAGE(OFFSET($H$3,0,0,'Données projet'!$E$12+1,1))</f>
        <v>91.274378490051788</v>
      </c>
      <c r="CE141" s="59">
        <f t="shared" si="148"/>
        <v>126.60105012427914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6.5341192618049799</v>
      </c>
      <c r="CL141" s="21">
        <f>EXP(-LN(2)/25)*CL140+(1-EXP(-LN(2)/25))/(LN(2)/25)*Calculateur!CG141*Calculateur!CI141*VLOOKUP('Données projet'!$B$12,Paramètres!$A$1:$I$89,3,0)*0.475*44/12</f>
        <v>4.767835916040581</v>
      </c>
      <c r="CM141" s="21">
        <f>EXP(-LN(2)/2)*CM140+(1-EXP(-LN(2)/2))/(LN(2)/2)*CG141*CJ141*VLOOKUP('Données projet'!$B$12,Paramètres!$A$1:$I$89,3,0)*0.475*44/12</f>
        <v>1.495595553332236E-6</v>
      </c>
      <c r="CN141" s="22">
        <f t="shared" si="120"/>
        <v>11.301956673441113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350.09239406910712</v>
      </c>
      <c r="T142" s="59">
        <f t="shared" si="142"/>
        <v>473.30663081727369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45.831645523658061</v>
      </c>
      <c r="AA142" s="21">
        <f>EXP(-LN(2)/25)*AA141+(1-EXP(-LN(2)/25))/(LN(2)/25)*Calculateur!V142*Calculateur!X142*VLOOKUP('Données projet'!$B$9,Paramètres!$A$1:$I$89,3,0)*0.475*44/12</f>
        <v>8.052312927093908</v>
      </c>
      <c r="AB142" s="21">
        <f>EXP(-LN(2)/2)*AB141+(1-EXP(-LN(2)/2))/(LN(2)/2)*V142*Y142*VLOOKUP('Données projet'!$B$9,Paramètres!$A$1:$I$89,3,0)*0.475*44/12</f>
        <v>1.4712442722573337E-11</v>
      </c>
      <c r="AC142" s="22">
        <f t="shared" si="111"/>
        <v>53.883958450766684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179.4725256147085</v>
      </c>
      <c r="AO142" s="59">
        <f t="shared" si="144"/>
        <v>282.16750121151176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30.203570168333759</v>
      </c>
      <c r="AV142" s="21">
        <f>EXP(-LN(2)/25)*AV141+(1-EXP(-LN(2)/25))/(LN(2)/25)*Calculateur!AQ142*Calculateur!AS142*VLOOKUP('Données projet'!$B$10,Paramètres!$A$1:$I$89,3,0)*0.475*44/12</f>
        <v>5.4666928099349557</v>
      </c>
      <c r="AW142" s="21">
        <f>EXP(-LN(2)/2)*AW141+(1-EXP(-LN(2)/2))/(LN(2)/2)*AQ142*AT142*VLOOKUP('Données projet'!$B$10,Paramètres!$A$1:$I$89,3,0)*0.475*44/12</f>
        <v>5.5462307035994786E-11</v>
      </c>
      <c r="AX142" s="21">
        <f t="shared" si="114"/>
        <v>35.670262978324182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1.064108801074326E-13</v>
      </c>
      <c r="BF142" s="13">
        <f t="shared" si="145"/>
        <v>1.5870730813698654E-12</v>
      </c>
      <c r="BG142" s="20">
        <f t="shared" si="115"/>
        <v>2.9494845662396269E-12</v>
      </c>
      <c r="BH142" s="59">
        <f t="shared" si="116"/>
        <v>293.33333333333627</v>
      </c>
      <c r="BI142" s="59">
        <f ca="1">AVERAGE(OFFSET($BH$3,0,0,'Données projet'!$E$11+1,1))-AVERAGE(OFFSET($H$3,0,0,'Données projet'!$E$11+1,1))</f>
        <v>227.19831549982962</v>
      </c>
      <c r="BJ142" s="59">
        <f t="shared" si="146"/>
        <v>309.84543033784564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39.028185808369585</v>
      </c>
      <c r="BQ142" s="21">
        <f>EXP(-LN(2)/25)*BQ141+(1-EXP(-LN(2)/25))/(LN(2)/25)*Calculateur!BL142*Calculateur!BN142*VLOOKUP('Données projet'!$B$11,Paramètres!$A$1:$I$89,3,0)*0.475*44/12</f>
        <v>7.453808919825617</v>
      </c>
      <c r="BR142" s="21">
        <f>EXP(-LN(2)/2)*BR141+(1-EXP(-LN(2)/2))/(LN(2)/2)*BL142*BO142*VLOOKUP('Données projet'!$B$11,Paramètres!$A$1:$I$89,3,0)*0.475*44/12</f>
        <v>1.5544895867011832E-10</v>
      </c>
      <c r="BS142" s="22">
        <f t="shared" si="117"/>
        <v>46.481994728350649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2.2737367544323206E-13</v>
      </c>
      <c r="BZ142" s="13">
        <f>BY142*VLOOKUP('Données projet'!$B$12,Paramètres!$A$1:$I$89,3,0)*VLOOKUP('Données projet'!$B$12,Paramètres!$A$1:$I$89,5,0)</f>
        <v>1.4897523215040565E-13</v>
      </c>
      <c r="CA142" s="13">
        <f t="shared" si="147"/>
        <v>2.136562777003313E-12</v>
      </c>
      <c r="CB142" s="20">
        <f t="shared" si="118"/>
        <v>3.9806453659427267E-12</v>
      </c>
      <c r="CC142" s="59">
        <f t="shared" si="119"/>
        <v>293.33333333333729</v>
      </c>
      <c r="CD142" s="59">
        <f ca="1">AVERAGE(OFFSET($CC$3,0,0,'Données projet'!$E$12+1,1))-AVERAGE(OFFSET($H$3,0,0,'Données projet'!$E$12+1,1))</f>
        <v>91.274378490051788</v>
      </c>
      <c r="CE142" s="59">
        <f t="shared" si="148"/>
        <v>126.60105012427914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6.4059891685002066</v>
      </c>
      <c r="CL142" s="21">
        <f>EXP(-LN(2)/25)*CL141+(1-EXP(-LN(2)/25))/(LN(2)/25)*Calculateur!CG142*Calculateur!CI142*VLOOKUP('Données projet'!$B$12,Paramètres!$A$1:$I$89,3,0)*0.475*44/12</f>
        <v>4.6374591921868573</v>
      </c>
      <c r="CM142" s="21">
        <f>EXP(-LN(2)/2)*CM141+(1-EXP(-LN(2)/2))/(LN(2)/2)*CG142*CJ142*VLOOKUP('Données projet'!$B$12,Paramètres!$A$1:$I$89,3,0)*0.475*44/12</f>
        <v>1.0575457576736708E-6</v>
      </c>
      <c r="CN142" s="22">
        <f t="shared" si="120"/>
        <v>11.043449418232822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350.09239406910712</v>
      </c>
      <c r="T143" s="59">
        <f t="shared" si="142"/>
        <v>473.30663081727369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44.932914909482612</v>
      </c>
      <c r="AA143" s="21">
        <f>EXP(-LN(2)/25)*AA142+(1-EXP(-LN(2)/25))/(LN(2)/25)*Calculateur!V143*Calculateur!X143*VLOOKUP('Données projet'!$B$9,Paramètres!$A$1:$I$89,3,0)*0.475*44/12</f>
        <v>7.8321220066497919</v>
      </c>
      <c r="AB143" s="21">
        <f>EXP(-LN(2)/2)*AB142+(1-EXP(-LN(2)/2))/(LN(2)/2)*V143*Y143*VLOOKUP('Données projet'!$B$9,Paramètres!$A$1:$I$89,3,0)*0.475*44/12</f>
        <v>1.0403268016950279E-11</v>
      </c>
      <c r="AC143" s="22">
        <f t="shared" si="111"/>
        <v>52.765036916142805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179.4725256147085</v>
      </c>
      <c r="AO143" s="59">
        <f t="shared" si="144"/>
        <v>282.16750121151176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29.61129657969148</v>
      </c>
      <c r="AV143" s="21">
        <f>EXP(-LN(2)/25)*AV142+(1-EXP(-LN(2)/25))/(LN(2)/25)*Calculateur!AQ143*Calculateur!AS143*VLOOKUP('Données projet'!$B$10,Paramètres!$A$1:$I$89,3,0)*0.475*44/12</f>
        <v>5.3172058075664035</v>
      </c>
      <c r="AW143" s="21">
        <f>EXP(-LN(2)/2)*AW142+(1-EXP(-LN(2)/2))/(LN(2)/2)*AQ143*AT143*VLOOKUP('Données projet'!$B$10,Paramètres!$A$1:$I$89,3,0)*0.475*44/12</f>
        <v>3.921777340540228E-11</v>
      </c>
      <c r="AX143" s="21">
        <f t="shared" si="114"/>
        <v>34.928502387297101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1.064108801074326E-13</v>
      </c>
      <c r="BF143" s="13">
        <f t="shared" si="145"/>
        <v>1.5870730813698654E-12</v>
      </c>
      <c r="BG143" s="20">
        <f t="shared" si="115"/>
        <v>2.9494845662396269E-12</v>
      </c>
      <c r="BH143" s="59">
        <f t="shared" si="116"/>
        <v>293.33333333333627</v>
      </c>
      <c r="BI143" s="59">
        <f ca="1">AVERAGE(OFFSET($BH$3,0,0,'Données projet'!$E$11+1,1))-AVERAGE(OFFSET($H$3,0,0,'Données projet'!$E$11+1,1))</f>
        <v>227.19831549982962</v>
      </c>
      <c r="BJ143" s="59">
        <f t="shared" si="146"/>
        <v>309.84543033784564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38.262866889510271</v>
      </c>
      <c r="BQ143" s="21">
        <f>EXP(-LN(2)/25)*BQ142+(1-EXP(-LN(2)/25))/(LN(2)/25)*Calculateur!BL143*Calculateur!BN143*VLOOKUP('Données projet'!$B$11,Paramètres!$A$1:$I$89,3,0)*0.475*44/12</f>
        <v>7.2499841229342099</v>
      </c>
      <c r="BR143" s="21">
        <f>EXP(-LN(2)/2)*BR142+(1-EXP(-LN(2)/2))/(LN(2)/2)*BL143*BO143*VLOOKUP('Données projet'!$B$11,Paramètres!$A$1:$I$89,3,0)*0.475*44/12</f>
        <v>1.0991901280402803E-10</v>
      </c>
      <c r="BS143" s="22">
        <f t="shared" si="117"/>
        <v>45.5128510125544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2.2737367544323206E-13</v>
      </c>
      <c r="BZ143" s="13">
        <f>BY143*VLOOKUP('Données projet'!$B$12,Paramètres!$A$1:$I$89,3,0)*VLOOKUP('Données projet'!$B$12,Paramètres!$A$1:$I$89,5,0)</f>
        <v>1.4897523215040565E-13</v>
      </c>
      <c r="CA143" s="13">
        <f t="shared" si="147"/>
        <v>2.136562777003313E-12</v>
      </c>
      <c r="CB143" s="20">
        <f t="shared" si="118"/>
        <v>3.9806453659427267E-12</v>
      </c>
      <c r="CC143" s="59">
        <f t="shared" si="119"/>
        <v>293.33333333333729</v>
      </c>
      <c r="CD143" s="59">
        <f ca="1">AVERAGE(OFFSET($CC$3,0,0,'Données projet'!$E$12+1,1))-AVERAGE(OFFSET($H$3,0,0,'Données projet'!$E$12+1,1))</f>
        <v>91.274378490051788</v>
      </c>
      <c r="CE143" s="59">
        <f t="shared" si="148"/>
        <v>126.60105012427914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6.2803716281734996</v>
      </c>
      <c r="CL143" s="21">
        <f>EXP(-LN(2)/25)*CL142+(1-EXP(-LN(2)/25))/(LN(2)/25)*Calculateur!CG143*Calculateur!CI143*VLOOKUP('Données projet'!$B$12,Paramètres!$A$1:$I$89,3,0)*0.475*44/12</f>
        <v>4.5106476267031281</v>
      </c>
      <c r="CM143" s="21">
        <f>EXP(-LN(2)/2)*CM142+(1-EXP(-LN(2)/2))/(LN(2)/2)*CG143*CJ143*VLOOKUP('Données projet'!$B$12,Paramètres!$A$1:$I$89,3,0)*0.475*44/12</f>
        <v>7.4779777666611798E-7</v>
      </c>
      <c r="CN143" s="22">
        <f t="shared" si="120"/>
        <v>10.791020002674404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350.09239406910712</v>
      </c>
      <c r="T144" s="59">
        <f t="shared" si="142"/>
        <v>473.30663081727369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44.051807854479598</v>
      </c>
      <c r="AA144" s="21">
        <f>EXP(-LN(2)/25)*AA143+(1-EXP(-LN(2)/25))/(LN(2)/25)*Calculateur!V144*Calculateur!X144*VLOOKUP('Données projet'!$B$9,Paramètres!$A$1:$I$89,3,0)*0.475*44/12</f>
        <v>7.6179522185045574</v>
      </c>
      <c r="AB144" s="21">
        <f>EXP(-LN(2)/2)*AB143+(1-EXP(-LN(2)/2))/(LN(2)/2)*V144*Y144*VLOOKUP('Données projet'!$B$9,Paramètres!$A$1:$I$89,3,0)*0.475*44/12</f>
        <v>7.3562213612866685E-12</v>
      </c>
      <c r="AC144" s="22">
        <f t="shared" si="111"/>
        <v>51.669760072991508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179.4725256147085</v>
      </c>
      <c r="AO144" s="59">
        <f t="shared" si="144"/>
        <v>282.16750121151176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29.030637114871258</v>
      </c>
      <c r="AV144" s="21">
        <f>EXP(-LN(2)/25)*AV143+(1-EXP(-LN(2)/25))/(LN(2)/25)*Calculateur!AQ144*Calculateur!AS144*VLOOKUP('Données projet'!$B$10,Paramètres!$A$1:$I$89,3,0)*0.475*44/12</f>
        <v>5.1718065351387992</v>
      </c>
      <c r="AW144" s="21">
        <f>EXP(-LN(2)/2)*AW143+(1-EXP(-LN(2)/2))/(LN(2)/2)*AQ144*AT144*VLOOKUP('Données projet'!$B$10,Paramètres!$A$1:$I$89,3,0)*0.475*44/12</f>
        <v>2.7731153517997393E-11</v>
      </c>
      <c r="AX144" s="21">
        <f t="shared" si="114"/>
        <v>34.202443650037786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1.064108801074326E-13</v>
      </c>
      <c r="BF144" s="13">
        <f t="shared" si="145"/>
        <v>1.5870730813698654E-12</v>
      </c>
      <c r="BG144" s="20">
        <f t="shared" si="115"/>
        <v>2.9494845662396269E-12</v>
      </c>
      <c r="BH144" s="59">
        <f t="shared" si="116"/>
        <v>293.33333333333627</v>
      </c>
      <c r="BI144" s="59">
        <f ca="1">AVERAGE(OFFSET($BH$3,0,0,'Données projet'!$E$11+1,1))-AVERAGE(OFFSET($H$3,0,0,'Données projet'!$E$11+1,1))</f>
        <v>227.19831549982962</v>
      </c>
      <c r="BJ144" s="59">
        <f t="shared" si="146"/>
        <v>309.84543033784564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37.512555407851337</v>
      </c>
      <c r="BQ144" s="21">
        <f>EXP(-LN(2)/25)*BQ143+(1-EXP(-LN(2)/25))/(LN(2)/25)*Calculateur!BL144*Calculateur!BN144*VLOOKUP('Données projet'!$B$11,Paramètres!$A$1:$I$89,3,0)*0.475*44/12</f>
        <v>7.0517329258324786</v>
      </c>
      <c r="BR144" s="21">
        <f>EXP(-LN(2)/2)*BR143+(1-EXP(-LN(2)/2))/(LN(2)/2)*BL144*BO144*VLOOKUP('Données projet'!$B$11,Paramètres!$A$1:$I$89,3,0)*0.475*44/12</f>
        <v>7.772447933505916E-11</v>
      </c>
      <c r="BS144" s="22">
        <f t="shared" si="117"/>
        <v>44.564288333761546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2.2737367544323206E-13</v>
      </c>
      <c r="BZ144" s="13">
        <f>BY144*VLOOKUP('Données projet'!$B$12,Paramètres!$A$1:$I$89,3,0)*VLOOKUP('Données projet'!$B$12,Paramètres!$A$1:$I$89,5,0)</f>
        <v>1.4897523215040565E-13</v>
      </c>
      <c r="CA144" s="13">
        <f t="shared" si="147"/>
        <v>2.136562777003313E-12</v>
      </c>
      <c r="CB144" s="20">
        <f t="shared" si="118"/>
        <v>3.9806453659427267E-12</v>
      </c>
      <c r="CC144" s="59">
        <f t="shared" si="119"/>
        <v>293.33333333333729</v>
      </c>
      <c r="CD144" s="59">
        <f ca="1">AVERAGE(OFFSET($CC$3,0,0,'Données projet'!$E$12+1,1))-AVERAGE(OFFSET($H$3,0,0,'Données projet'!$E$12+1,1))</f>
        <v>91.274378490051788</v>
      </c>
      <c r="CE144" s="59">
        <f t="shared" si="148"/>
        <v>126.60105012427914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6.1572173711934655</v>
      </c>
      <c r="CL144" s="21">
        <f>EXP(-LN(2)/25)*CL143+(1-EXP(-LN(2)/25))/(LN(2)/25)*Calculateur!CG144*Calculateur!CI144*VLOOKUP('Données projet'!$B$12,Paramètres!$A$1:$I$89,3,0)*0.475*44/12</f>
        <v>4.3873037301462814</v>
      </c>
      <c r="CM144" s="21">
        <f>EXP(-LN(2)/2)*CM143+(1-EXP(-LN(2)/2))/(LN(2)/2)*CG144*CJ144*VLOOKUP('Données projet'!$B$12,Paramètres!$A$1:$I$89,3,0)*0.475*44/12</f>
        <v>5.2877287883683541E-7</v>
      </c>
      <c r="CN144" s="22">
        <f t="shared" si="120"/>
        <v>10.544521630112627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350.09239406910712</v>
      </c>
      <c r="T145" s="59">
        <f t="shared" si="142"/>
        <v>473.30663081727369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43.187978771402953</v>
      </c>
      <c r="AA145" s="21">
        <f>EXP(-LN(2)/25)*AA144+(1-EXP(-LN(2)/25))/(LN(2)/25)*Calculateur!V145*Calculateur!X145*VLOOKUP('Données projet'!$B$9,Paramètres!$A$1:$I$89,3,0)*0.475*44/12</f>
        <v>7.4096389144788546</v>
      </c>
      <c r="AB145" s="21">
        <f>EXP(-LN(2)/2)*AB144+(1-EXP(-LN(2)/2))/(LN(2)/2)*V145*Y145*VLOOKUP('Données projet'!$B$9,Paramètres!$A$1:$I$89,3,0)*0.475*44/12</f>
        <v>5.2016340084751393E-12</v>
      </c>
      <c r="AC145" s="22">
        <f t="shared" si="111"/>
        <v>50.597617685887009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179.4725256147085</v>
      </c>
      <c r="AO145" s="59">
        <f t="shared" si="144"/>
        <v>282.16750121151176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28.461364027988857</v>
      </c>
      <c r="AV145" s="21">
        <f>EXP(-LN(2)/25)*AV144+(1-EXP(-LN(2)/25))/(LN(2)/25)*Calculateur!AQ145*Calculateur!AS145*VLOOKUP('Données projet'!$B$10,Paramètres!$A$1:$I$89,3,0)*0.475*44/12</f>
        <v>5.0303832134619437</v>
      </c>
      <c r="AW145" s="21">
        <f>EXP(-LN(2)/2)*AW144+(1-EXP(-LN(2)/2))/(LN(2)/2)*AQ145*AT145*VLOOKUP('Données projet'!$B$10,Paramètres!$A$1:$I$89,3,0)*0.475*44/12</f>
        <v>1.960888670270114E-11</v>
      </c>
      <c r="AX145" s="21">
        <f t="shared" si="114"/>
        <v>33.491747241470414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1.064108801074326E-13</v>
      </c>
      <c r="BF145" s="13">
        <f t="shared" si="145"/>
        <v>1.5870730813698654E-12</v>
      </c>
      <c r="BG145" s="20">
        <f t="shared" si="115"/>
        <v>2.9494845662396269E-12</v>
      </c>
      <c r="BH145" s="59">
        <f t="shared" si="116"/>
        <v>293.33333333333627</v>
      </c>
      <c r="BI145" s="59">
        <f ca="1">AVERAGE(OFFSET($BH$3,0,0,'Données projet'!$E$11+1,1))-AVERAGE(OFFSET($H$3,0,0,'Données projet'!$E$11+1,1))</f>
        <v>227.19831549982962</v>
      </c>
      <c r="BJ145" s="59">
        <f t="shared" si="146"/>
        <v>309.84543033784564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36.776957076702921</v>
      </c>
      <c r="BQ145" s="21">
        <f>EXP(-LN(2)/25)*BQ144+(1-EXP(-LN(2)/25))/(LN(2)/25)*Calculateur!BL145*Calculateur!BN145*VLOOKUP('Données projet'!$B$11,Paramètres!$A$1:$I$89,3,0)*0.475*44/12</f>
        <v>6.8589029181410721</v>
      </c>
      <c r="BR145" s="21">
        <f>EXP(-LN(2)/2)*BR144+(1-EXP(-LN(2)/2))/(LN(2)/2)*BL145*BO145*VLOOKUP('Données projet'!$B$11,Paramètres!$A$1:$I$89,3,0)*0.475*44/12</f>
        <v>5.4959506402014013E-11</v>
      </c>
      <c r="BS145" s="22">
        <f t="shared" si="117"/>
        <v>43.635859994898951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2.2737367544323206E-13</v>
      </c>
      <c r="BZ145" s="13">
        <f>BY145*VLOOKUP('Données projet'!$B$12,Paramètres!$A$1:$I$89,3,0)*VLOOKUP('Données projet'!$B$12,Paramètres!$A$1:$I$89,5,0)</f>
        <v>1.4897523215040565E-13</v>
      </c>
      <c r="CA145" s="13">
        <f t="shared" si="147"/>
        <v>2.136562777003313E-12</v>
      </c>
      <c r="CB145" s="20">
        <f t="shared" si="118"/>
        <v>3.9806453659427267E-12</v>
      </c>
      <c r="CC145" s="59">
        <f t="shared" si="119"/>
        <v>293.33333333333729</v>
      </c>
      <c r="CD145" s="59">
        <f ca="1">AVERAGE(OFFSET($CC$3,0,0,'Données projet'!$E$12+1,1))-AVERAGE(OFFSET($H$3,0,0,'Données projet'!$E$12+1,1))</f>
        <v>91.274378490051788</v>
      </c>
      <c r="CE145" s="59">
        <f t="shared" si="148"/>
        <v>126.60105012427914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6.0364780940761298</v>
      </c>
      <c r="CL145" s="21">
        <f>EXP(-LN(2)/25)*CL144+(1-EXP(-LN(2)/25))/(LN(2)/25)*Calculateur!CG145*Calculateur!CI145*VLOOKUP('Données projet'!$B$12,Paramètres!$A$1:$I$89,3,0)*0.475*44/12</f>
        <v>4.2673326789271551</v>
      </c>
      <c r="CM145" s="21">
        <f>EXP(-LN(2)/2)*CM144+(1-EXP(-LN(2)/2))/(LN(2)/2)*CG145*CJ145*VLOOKUP('Données projet'!$B$12,Paramètres!$A$1:$I$89,3,0)*0.475*44/12</f>
        <v>3.7389888833305899E-7</v>
      </c>
      <c r="CN145" s="22">
        <f t="shared" si="120"/>
        <v>10.303811146902174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350.09239406910712</v>
      </c>
      <c r="T146" s="59">
        <f t="shared" si="142"/>
        <v>473.30663081727369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42.341088849761732</v>
      </c>
      <c r="AA146" s="21">
        <f>EXP(-LN(2)/25)*AA145+(1-EXP(-LN(2)/25))/(LN(2)/25)*Calculateur!V146*Calculateur!X146*VLOOKUP('Données projet'!$B$9,Paramètres!$A$1:$I$89,3,0)*0.475*44/12</f>
        <v>7.2070219487064549</v>
      </c>
      <c r="AB146" s="21">
        <f>EXP(-LN(2)/2)*AB145+(1-EXP(-LN(2)/2))/(LN(2)/2)*V146*Y146*VLOOKUP('Données projet'!$B$9,Paramètres!$A$1:$I$89,3,0)*0.475*44/12</f>
        <v>3.6781106806433343E-12</v>
      </c>
      <c r="AC146" s="22">
        <f t="shared" si="111"/>
        <v>49.548110798471868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179.4725256147085</v>
      </c>
      <c r="AO146" s="59">
        <f t="shared" si="144"/>
        <v>282.16750121151176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27.903254039117922</v>
      </c>
      <c r="AV146" s="21">
        <f>EXP(-LN(2)/25)*AV145+(1-EXP(-LN(2)/25))/(LN(2)/25)*Calculateur!AQ146*Calculateur!AS146*VLOOKUP('Données projet'!$B$10,Paramètres!$A$1:$I$89,3,0)*0.475*44/12</f>
        <v>4.8928271199534707</v>
      </c>
      <c r="AW146" s="21">
        <f>EXP(-LN(2)/2)*AW145+(1-EXP(-LN(2)/2))/(LN(2)/2)*AQ146*AT146*VLOOKUP('Données projet'!$B$10,Paramètres!$A$1:$I$89,3,0)*0.475*44/12</f>
        <v>1.3865576758998696E-11</v>
      </c>
      <c r="AX146" s="21">
        <f t="shared" si="114"/>
        <v>32.796081159085254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1.064108801074326E-13</v>
      </c>
      <c r="BF146" s="13">
        <f t="shared" si="145"/>
        <v>1.5870730813698654E-12</v>
      </c>
      <c r="BG146" s="20">
        <f t="shared" si="115"/>
        <v>2.9494845662396269E-12</v>
      </c>
      <c r="BH146" s="59">
        <f t="shared" si="116"/>
        <v>293.33333333333627</v>
      </c>
      <c r="BI146" s="59">
        <f ca="1">AVERAGE(OFFSET($BH$3,0,0,'Données projet'!$E$11+1,1))-AVERAGE(OFFSET($H$3,0,0,'Données projet'!$E$11+1,1))</f>
        <v>227.19831549982962</v>
      </c>
      <c r="BJ146" s="59">
        <f t="shared" si="146"/>
        <v>309.84543033784564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36.055783380157642</v>
      </c>
      <c r="BQ146" s="21">
        <f>EXP(-LN(2)/25)*BQ145+(1-EXP(-LN(2)/25))/(LN(2)/25)*Calculateur!BL146*Calculateur!BN146*VLOOKUP('Données projet'!$B$11,Paramètres!$A$1:$I$89,3,0)*0.475*44/12</f>
        <v>6.6713458571504765</v>
      </c>
      <c r="BR146" s="21">
        <f>EXP(-LN(2)/2)*BR145+(1-EXP(-LN(2)/2))/(LN(2)/2)*BL146*BO146*VLOOKUP('Données projet'!$B$11,Paramètres!$A$1:$I$89,3,0)*0.475*44/12</f>
        <v>3.886223966752958E-11</v>
      </c>
      <c r="BS146" s="22">
        <f t="shared" si="117"/>
        <v>42.727129237346979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2.2737367544323206E-13</v>
      </c>
      <c r="BZ146" s="13">
        <f>BY146*VLOOKUP('Données projet'!$B$12,Paramètres!$A$1:$I$89,3,0)*VLOOKUP('Données projet'!$B$12,Paramètres!$A$1:$I$89,5,0)</f>
        <v>1.4897523215040565E-13</v>
      </c>
      <c r="CA146" s="13">
        <f t="shared" si="147"/>
        <v>2.136562777003313E-12</v>
      </c>
      <c r="CB146" s="20">
        <f t="shared" si="118"/>
        <v>3.9806453659427267E-12</v>
      </c>
      <c r="CC146" s="59">
        <f t="shared" si="119"/>
        <v>293.33333333333729</v>
      </c>
      <c r="CD146" s="59">
        <f ca="1">AVERAGE(OFFSET($CC$3,0,0,'Données projet'!$E$12+1,1))-AVERAGE(OFFSET($H$3,0,0,'Données projet'!$E$12+1,1))</f>
        <v>91.274378490051788</v>
      </c>
      <c r="CE146" s="59">
        <f t="shared" si="148"/>
        <v>126.60105012427914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5.9181064405393782</v>
      </c>
      <c r="CL146" s="21">
        <f>EXP(-LN(2)/25)*CL145+(1-EXP(-LN(2)/25))/(LN(2)/25)*Calculateur!CG146*Calculateur!CI146*VLOOKUP('Données projet'!$B$12,Paramètres!$A$1:$I$89,3,0)*0.475*44/12</f>
        <v>4.1506422424126193</v>
      </c>
      <c r="CM146" s="21">
        <f>EXP(-LN(2)/2)*CM145+(1-EXP(-LN(2)/2))/(LN(2)/2)*CG146*CJ146*VLOOKUP('Données projet'!$B$12,Paramètres!$A$1:$I$89,3,0)*0.475*44/12</f>
        <v>2.6438643941841771E-7</v>
      </c>
      <c r="CN146" s="22">
        <f t="shared" si="120"/>
        <v>10.068748947338438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350.09239406910712</v>
      </c>
      <c r="T147" s="59">
        <f t="shared" si="142"/>
        <v>473.30663081727369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41.510805922932043</v>
      </c>
      <c r="AA147" s="21">
        <f>EXP(-LN(2)/25)*AA146+(1-EXP(-LN(2)/25))/(LN(2)/25)*Calculateur!V147*Calculateur!X147*VLOOKUP('Données projet'!$B$9,Paramètres!$A$1:$I$89,3,0)*0.475*44/12</f>
        <v>7.0099455545182643</v>
      </c>
      <c r="AB147" s="21">
        <f>EXP(-LN(2)/2)*AB146+(1-EXP(-LN(2)/2))/(LN(2)/2)*V147*Y147*VLOOKUP('Données projet'!$B$9,Paramètres!$A$1:$I$89,3,0)*0.475*44/12</f>
        <v>2.6008170042375696E-12</v>
      </c>
      <c r="AC147" s="22">
        <f t="shared" si="111"/>
        <v>48.520751477452905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179.4725256147085</v>
      </c>
      <c r="AO147" s="59">
        <f t="shared" si="144"/>
        <v>282.16750121151176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27.356088246715267</v>
      </c>
      <c r="AV147" s="21">
        <f>EXP(-LN(2)/25)*AV146+(1-EXP(-LN(2)/25))/(LN(2)/25)*Calculateur!AQ147*Calculateur!AS147*VLOOKUP('Données projet'!$B$10,Paramètres!$A$1:$I$89,3,0)*0.475*44/12</f>
        <v>4.7590325050557478</v>
      </c>
      <c r="AW147" s="21">
        <f>EXP(-LN(2)/2)*AW146+(1-EXP(-LN(2)/2))/(LN(2)/2)*AQ147*AT147*VLOOKUP('Données projet'!$B$10,Paramètres!$A$1:$I$89,3,0)*0.475*44/12</f>
        <v>9.8044433513505699E-12</v>
      </c>
      <c r="AX147" s="21">
        <f t="shared" si="114"/>
        <v>32.115120751780822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1.064108801074326E-13</v>
      </c>
      <c r="BF147" s="13">
        <f t="shared" si="145"/>
        <v>1.5870730813698654E-12</v>
      </c>
      <c r="BG147" s="20">
        <f t="shared" si="115"/>
        <v>2.9494845662396269E-12</v>
      </c>
      <c r="BH147" s="59">
        <f t="shared" si="116"/>
        <v>293.33333333333627</v>
      </c>
      <c r="BI147" s="59">
        <f ca="1">AVERAGE(OFFSET($BH$3,0,0,'Données projet'!$E$11+1,1))-AVERAGE(OFFSET($H$3,0,0,'Données projet'!$E$11+1,1))</f>
        <v>227.19831549982962</v>
      </c>
      <c r="BJ147" s="59">
        <f t="shared" si="146"/>
        <v>309.84543033784564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35.348751459929098</v>
      </c>
      <c r="BQ147" s="21">
        <f>EXP(-LN(2)/25)*BQ146+(1-EXP(-LN(2)/25))/(LN(2)/25)*Calculateur!BL147*Calculateur!BN147*VLOOKUP('Données projet'!$B$11,Paramètres!$A$1:$I$89,3,0)*0.475*44/12</f>
        <v>6.4889175538558659</v>
      </c>
      <c r="BR147" s="21">
        <f>EXP(-LN(2)/2)*BR146+(1-EXP(-LN(2)/2))/(LN(2)/2)*BL147*BO147*VLOOKUP('Données projet'!$B$11,Paramètres!$A$1:$I$89,3,0)*0.475*44/12</f>
        <v>2.7479753201007007E-11</v>
      </c>
      <c r="BS147" s="22">
        <f t="shared" si="117"/>
        <v>41.837669013812437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2.2737367544323206E-13</v>
      </c>
      <c r="BZ147" s="13">
        <f>BY147*VLOOKUP('Données projet'!$B$12,Paramètres!$A$1:$I$89,3,0)*VLOOKUP('Données projet'!$B$12,Paramètres!$A$1:$I$89,5,0)</f>
        <v>1.4897523215040565E-13</v>
      </c>
      <c r="CA147" s="13">
        <f t="shared" si="147"/>
        <v>2.136562777003313E-12</v>
      </c>
      <c r="CB147" s="20">
        <f t="shared" si="118"/>
        <v>3.9806453659427267E-12</v>
      </c>
      <c r="CC147" s="59">
        <f t="shared" si="119"/>
        <v>293.33333333333729</v>
      </c>
      <c r="CD147" s="59">
        <f ca="1">AVERAGE(OFFSET($CC$3,0,0,'Données projet'!$E$12+1,1))-AVERAGE(OFFSET($H$3,0,0,'Données projet'!$E$12+1,1))</f>
        <v>91.274378490051788</v>
      </c>
      <c r="CE147" s="59">
        <f t="shared" si="148"/>
        <v>126.60105012427914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5.8020559829289029</v>
      </c>
      <c r="CL147" s="21">
        <f>EXP(-LN(2)/25)*CL146+(1-EXP(-LN(2)/25))/(LN(2)/25)*Calculateur!CG147*Calculateur!CI147*VLOOKUP('Données projet'!$B$12,Paramètres!$A$1:$I$89,3,0)*0.475*44/12</f>
        <v>4.0371427120210575</v>
      </c>
      <c r="CM147" s="21">
        <f>EXP(-LN(2)/2)*CM146+(1-EXP(-LN(2)/2))/(LN(2)/2)*CG147*CJ147*VLOOKUP('Données projet'!$B$12,Paramètres!$A$1:$I$89,3,0)*0.475*44/12</f>
        <v>1.8694944416652949E-7</v>
      </c>
      <c r="CN147" s="22">
        <f t="shared" si="120"/>
        <v>9.8391988818994047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350.09239406910712</v>
      </c>
      <c r="T148" s="59">
        <f t="shared" si="142"/>
        <v>473.30663081727369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40.696804337874909</v>
      </c>
      <c r="AA148" s="21">
        <f>EXP(-LN(2)/25)*AA147+(1-EXP(-LN(2)/25))/(LN(2)/25)*Calculateur!V148*Calculateur!X148*VLOOKUP('Données projet'!$B$9,Paramètres!$A$1:$I$89,3,0)*0.475*44/12</f>
        <v>6.8182582246929471</v>
      </c>
      <c r="AB148" s="21">
        <f>EXP(-LN(2)/2)*AB147+(1-EXP(-LN(2)/2))/(LN(2)/2)*V148*Y148*VLOOKUP('Données projet'!$B$9,Paramètres!$A$1:$I$89,3,0)*0.475*44/12</f>
        <v>1.8390553403216671E-12</v>
      </c>
      <c r="AC148" s="22">
        <f t="shared" si="111"/>
        <v>47.515062562569696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179.4725256147085</v>
      </c>
      <c r="AO148" s="59">
        <f t="shared" si="144"/>
        <v>282.16750121151176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26.819652041763447</v>
      </c>
      <c r="AV148" s="21">
        <f>EXP(-LN(2)/25)*AV147+(1-EXP(-LN(2)/25))/(LN(2)/25)*Calculateur!AQ148*Calculateur!AS148*VLOOKUP('Données projet'!$B$10,Paramètres!$A$1:$I$89,3,0)*0.475*44/12</f>
        <v>4.6288965109383557</v>
      </c>
      <c r="AW148" s="21">
        <f>EXP(-LN(2)/2)*AW147+(1-EXP(-LN(2)/2))/(LN(2)/2)*AQ148*AT148*VLOOKUP('Données projet'!$B$10,Paramètres!$A$1:$I$89,3,0)*0.475*44/12</f>
        <v>6.9327883794993482E-12</v>
      </c>
      <c r="AX148" s="21">
        <f t="shared" si="114"/>
        <v>31.448548552708733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1.064108801074326E-13</v>
      </c>
      <c r="BF148" s="13">
        <f t="shared" si="145"/>
        <v>1.5870730813698654E-12</v>
      </c>
      <c r="BG148" s="20">
        <f t="shared" si="115"/>
        <v>2.9494845662396269E-12</v>
      </c>
      <c r="BH148" s="59">
        <f t="shared" si="116"/>
        <v>293.33333333333627</v>
      </c>
      <c r="BI148" s="59">
        <f ca="1">AVERAGE(OFFSET($BH$3,0,0,'Données projet'!$E$11+1,1))-AVERAGE(OFFSET($H$3,0,0,'Données projet'!$E$11+1,1))</f>
        <v>227.19831549982962</v>
      </c>
      <c r="BJ148" s="59">
        <f t="shared" si="146"/>
        <v>309.84543033784564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34.655584004409349</v>
      </c>
      <c r="BQ148" s="21">
        <f>EXP(-LN(2)/25)*BQ147+(1-EXP(-LN(2)/25))/(LN(2)/25)*Calculateur!BL148*Calculateur!BN148*VLOOKUP('Données projet'!$B$11,Paramètres!$A$1:$I$89,3,0)*0.475*44/12</f>
        <v>6.3114777621083338</v>
      </c>
      <c r="BR148" s="21">
        <f>EXP(-LN(2)/2)*BR147+(1-EXP(-LN(2)/2))/(LN(2)/2)*BL148*BO148*VLOOKUP('Données projet'!$B$11,Paramètres!$A$1:$I$89,3,0)*0.475*44/12</f>
        <v>1.943111983376479E-11</v>
      </c>
      <c r="BS148" s="22">
        <f t="shared" si="117"/>
        <v>40.967061766537114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2.2737367544323206E-13</v>
      </c>
      <c r="BZ148" s="13">
        <f>BY148*VLOOKUP('Données projet'!$B$12,Paramètres!$A$1:$I$89,3,0)*VLOOKUP('Données projet'!$B$12,Paramètres!$A$1:$I$89,5,0)</f>
        <v>1.4897523215040565E-13</v>
      </c>
      <c r="CA148" s="13">
        <f t="shared" si="147"/>
        <v>2.136562777003313E-12</v>
      </c>
      <c r="CB148" s="20">
        <f t="shared" si="118"/>
        <v>3.9806453659427267E-12</v>
      </c>
      <c r="CC148" s="59">
        <f t="shared" si="119"/>
        <v>293.33333333333729</v>
      </c>
      <c r="CD148" s="59">
        <f ca="1">AVERAGE(OFFSET($CC$3,0,0,'Données projet'!$E$12+1,1))-AVERAGE(OFFSET($H$3,0,0,'Données projet'!$E$12+1,1))</f>
        <v>91.274378490051788</v>
      </c>
      <c r="CE148" s="59">
        <f t="shared" si="148"/>
        <v>126.60105012427914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5.688281204008379</v>
      </c>
      <c r="CL148" s="21">
        <f>EXP(-LN(2)/25)*CL147+(1-EXP(-LN(2)/25))/(LN(2)/25)*Calculateur!CG148*Calculateur!CI148*VLOOKUP('Données projet'!$B$12,Paramètres!$A$1:$I$89,3,0)*0.475*44/12</f>
        <v>3.9267468322567334</v>
      </c>
      <c r="CM148" s="21">
        <f>EXP(-LN(2)/2)*CM147+(1-EXP(-LN(2)/2))/(LN(2)/2)*CG148*CJ148*VLOOKUP('Données projet'!$B$12,Paramètres!$A$1:$I$89,3,0)*0.475*44/12</f>
        <v>1.3219321970920885E-7</v>
      </c>
      <c r="CN148" s="22">
        <f t="shared" si="120"/>
        <v>9.6150281684583323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350.09239406910712</v>
      </c>
      <c r="T149" s="59">
        <f t="shared" si="142"/>
        <v>473.30663081727369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39.898764827408797</v>
      </c>
      <c r="AA149" s="21">
        <f>EXP(-LN(2)/25)*AA148+(1-EXP(-LN(2)/25))/(LN(2)/25)*Calculateur!V149*Calculateur!X149*VLOOKUP('Données projet'!$B$9,Paramètres!$A$1:$I$89,3,0)*0.475*44/12</f>
        <v>6.6318125949821018</v>
      </c>
      <c r="AB149" s="21">
        <f>EXP(-LN(2)/2)*AB148+(1-EXP(-LN(2)/2))/(LN(2)/2)*V149*Y149*VLOOKUP('Données projet'!$B$9,Paramètres!$A$1:$I$89,3,0)*0.475*44/12</f>
        <v>1.3004085021187848E-12</v>
      </c>
      <c r="AC149" s="22">
        <f t="shared" si="111"/>
        <v>46.530577422392199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179.4725256147085</v>
      </c>
      <c r="AO149" s="59">
        <f t="shared" si="144"/>
        <v>282.16750121151176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26.293735023596955</v>
      </c>
      <c r="AV149" s="21">
        <f>EXP(-LN(2)/25)*AV148+(1-EXP(-LN(2)/25))/(LN(2)/25)*Calculateur!AQ149*Calculateur!AS149*VLOOKUP('Données projet'!$B$10,Paramètres!$A$1:$I$89,3,0)*0.475*44/12</f>
        <v>4.502319092423658</v>
      </c>
      <c r="AW149" s="21">
        <f>EXP(-LN(2)/2)*AW148+(1-EXP(-LN(2)/2))/(LN(2)/2)*AQ149*AT149*VLOOKUP('Données projet'!$B$10,Paramètres!$A$1:$I$89,3,0)*0.475*44/12</f>
        <v>4.902221675675285E-12</v>
      </c>
      <c r="AX149" s="21">
        <f t="shared" si="114"/>
        <v>30.796054116025516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1.064108801074326E-13</v>
      </c>
      <c r="BF149" s="13">
        <f t="shared" si="145"/>
        <v>1.5870730813698654E-12</v>
      </c>
      <c r="BG149" s="20">
        <f t="shared" si="115"/>
        <v>2.9494845662396269E-12</v>
      </c>
      <c r="BH149" s="59">
        <f t="shared" si="116"/>
        <v>293.33333333333627</v>
      </c>
      <c r="BI149" s="59">
        <f ca="1">AVERAGE(OFFSET($BH$3,0,0,'Données projet'!$E$11+1,1))-AVERAGE(OFFSET($H$3,0,0,'Données projet'!$E$11+1,1))</f>
        <v>227.19831549982962</v>
      </c>
      <c r="BJ149" s="59">
        <f t="shared" si="146"/>
        <v>309.84543033784564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33.97600913990194</v>
      </c>
      <c r="BQ149" s="21">
        <f>EXP(-LN(2)/25)*BQ148+(1-EXP(-LN(2)/25))/(LN(2)/25)*Calculateur!BL149*Calculateur!BN149*VLOOKUP('Données projet'!$B$11,Paramètres!$A$1:$I$89,3,0)*0.475*44/12</f>
        <v>6.1388900707972907</v>
      </c>
      <c r="BR149" s="21">
        <f>EXP(-LN(2)/2)*BR148+(1-EXP(-LN(2)/2))/(LN(2)/2)*BL149*BO149*VLOOKUP('Données projet'!$B$11,Paramètres!$A$1:$I$89,3,0)*0.475*44/12</f>
        <v>1.3739876600503503E-11</v>
      </c>
      <c r="BS149" s="22">
        <f t="shared" si="117"/>
        <v>40.11489921071297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2.2737367544323206E-13</v>
      </c>
      <c r="BZ149" s="13">
        <f>BY149*VLOOKUP('Données projet'!$B$12,Paramètres!$A$1:$I$89,3,0)*VLOOKUP('Données projet'!$B$12,Paramètres!$A$1:$I$89,5,0)</f>
        <v>1.4897523215040565E-13</v>
      </c>
      <c r="CA149" s="13">
        <f t="shared" si="147"/>
        <v>2.136562777003313E-12</v>
      </c>
      <c r="CB149" s="20">
        <f t="shared" si="118"/>
        <v>3.9806453659427267E-12</v>
      </c>
      <c r="CC149" s="59">
        <f t="shared" si="119"/>
        <v>293.33333333333729</v>
      </c>
      <c r="CD149" s="59">
        <f ca="1">AVERAGE(OFFSET($CC$3,0,0,'Données projet'!$E$12+1,1))-AVERAGE(OFFSET($H$3,0,0,'Données projet'!$E$12+1,1))</f>
        <v>91.274378490051788</v>
      </c>
      <c r="CE149" s="59">
        <f t="shared" si="148"/>
        <v>126.60105012427914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5.5767374791067237</v>
      </c>
      <c r="CL149" s="21">
        <f>EXP(-LN(2)/25)*CL148+(1-EXP(-LN(2)/25))/(LN(2)/25)*Calculateur!CG149*Calculateur!CI149*VLOOKUP('Données projet'!$B$12,Paramètres!$A$1:$I$89,3,0)*0.475*44/12</f>
        <v>3.8193697336300318</v>
      </c>
      <c r="CM149" s="21">
        <f>EXP(-LN(2)/2)*CM148+(1-EXP(-LN(2)/2))/(LN(2)/2)*CG149*CJ149*VLOOKUP('Données projet'!$B$12,Paramètres!$A$1:$I$89,3,0)*0.475*44/12</f>
        <v>9.3474722083264747E-8</v>
      </c>
      <c r="CN149" s="22">
        <f t="shared" si="120"/>
        <v>9.3961073062114764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350.09239406910712</v>
      </c>
      <c r="T150" s="59">
        <f t="shared" si="142"/>
        <v>473.30663081727369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39.116374384986891</v>
      </c>
      <c r="AA150" s="21">
        <f>EXP(-LN(2)/25)*AA149+(1-EXP(-LN(2)/25))/(LN(2)/25)*Calculateur!V150*Calculateur!X150*VLOOKUP('Données projet'!$B$9,Paramètres!$A$1:$I$89,3,0)*0.475*44/12</f>
        <v>6.4504653308204487</v>
      </c>
      <c r="AB150" s="21">
        <f>EXP(-LN(2)/2)*AB149+(1-EXP(-LN(2)/2))/(LN(2)/2)*V150*Y150*VLOOKUP('Données projet'!$B$9,Paramètres!$A$1:$I$89,3,0)*0.475*44/12</f>
        <v>9.1952767016083357E-13</v>
      </c>
      <c r="AC150" s="22">
        <f t="shared" si="111"/>
        <v>45.566839715808257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179.4725256147085</v>
      </c>
      <c r="AO150" s="59">
        <f t="shared" si="144"/>
        <v>282.16750121151176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25.778130917379002</v>
      </c>
      <c r="AV150" s="21">
        <f>EXP(-LN(2)/25)*AV149+(1-EXP(-LN(2)/25))/(LN(2)/25)*Calculateur!AQ150*Calculateur!AS150*VLOOKUP('Données projet'!$B$10,Paramètres!$A$1:$I$89,3,0)*0.475*44/12</f>
        <v>4.3792029400746619</v>
      </c>
      <c r="AW150" s="21">
        <f>EXP(-LN(2)/2)*AW149+(1-EXP(-LN(2)/2))/(LN(2)/2)*AQ150*AT150*VLOOKUP('Données projet'!$B$10,Paramètres!$A$1:$I$89,3,0)*0.475*44/12</f>
        <v>3.4663941897496741E-12</v>
      </c>
      <c r="AX150" s="21">
        <f t="shared" si="114"/>
        <v>30.157333857457132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1.064108801074326E-13</v>
      </c>
      <c r="BF150" s="13">
        <f t="shared" si="145"/>
        <v>1.5870730813698654E-12</v>
      </c>
      <c r="BG150" s="20">
        <f t="shared" si="115"/>
        <v>2.9494845662396269E-12</v>
      </c>
      <c r="BH150" s="59">
        <f t="shared" si="116"/>
        <v>293.33333333333627</v>
      </c>
      <c r="BI150" s="59">
        <f ca="1">AVERAGE(OFFSET($BH$3,0,0,'Données projet'!$E$11+1,1))-AVERAGE(OFFSET($H$3,0,0,'Données projet'!$E$11+1,1))</f>
        <v>227.19831549982962</v>
      </c>
      <c r="BJ150" s="59">
        <f t="shared" si="146"/>
        <v>309.84543033784564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33.309760323987781</v>
      </c>
      <c r="BQ150" s="21">
        <f>EXP(-LN(2)/25)*BQ149+(1-EXP(-LN(2)/25))/(LN(2)/25)*Calculateur!BL150*Calculateur!BN150*VLOOKUP('Données projet'!$B$11,Paramètres!$A$1:$I$89,3,0)*0.475*44/12</f>
        <v>5.9710217989811403</v>
      </c>
      <c r="BR150" s="21">
        <f>EXP(-LN(2)/2)*BR149+(1-EXP(-LN(2)/2))/(LN(2)/2)*BL150*BO150*VLOOKUP('Données projet'!$B$11,Paramètres!$A$1:$I$89,3,0)*0.475*44/12</f>
        <v>9.715559916882395E-12</v>
      </c>
      <c r="BS150" s="22">
        <f t="shared" si="117"/>
        <v>39.280782122978636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2.2737367544323206E-13</v>
      </c>
      <c r="BZ150" s="13">
        <f>BY150*VLOOKUP('Données projet'!$B$12,Paramètres!$A$1:$I$89,3,0)*VLOOKUP('Données projet'!$B$12,Paramètres!$A$1:$I$89,5,0)</f>
        <v>1.4897523215040565E-13</v>
      </c>
      <c r="CA150" s="13">
        <f t="shared" si="147"/>
        <v>2.136562777003313E-12</v>
      </c>
      <c r="CB150" s="20">
        <f t="shared" si="118"/>
        <v>3.9806453659427267E-12</v>
      </c>
      <c r="CC150" s="59">
        <f t="shared" si="119"/>
        <v>293.33333333333729</v>
      </c>
      <c r="CD150" s="59">
        <f ca="1">AVERAGE(OFFSET($CC$3,0,0,'Données projet'!$E$12+1,1))-AVERAGE(OFFSET($H$3,0,0,'Données projet'!$E$12+1,1))</f>
        <v>91.274378490051788</v>
      </c>
      <c r="CE150" s="59">
        <f t="shared" si="148"/>
        <v>126.60105012427914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5.4673810586154357</v>
      </c>
      <c r="CL150" s="21">
        <f>EXP(-LN(2)/25)*CL149+(1-EXP(-LN(2)/25))/(LN(2)/25)*Calculateur!CG150*Calculateur!CI150*VLOOKUP('Données projet'!$B$12,Paramètres!$A$1:$I$89,3,0)*0.475*44/12</f>
        <v>3.7149288674119938</v>
      </c>
      <c r="CM150" s="21">
        <f>EXP(-LN(2)/2)*CM149+(1-EXP(-LN(2)/2))/(LN(2)/2)*CG150*CJ150*VLOOKUP('Données projet'!$B$12,Paramètres!$A$1:$I$89,3,0)*0.475*44/12</f>
        <v>6.6096609854604427E-8</v>
      </c>
      <c r="CN150" s="22">
        <f t="shared" si="120"/>
        <v>9.1823099921240381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350.09239406910712</v>
      </c>
      <c r="T151" s="59">
        <f t="shared" si="142"/>
        <v>473.30663081727369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38.349326141929829</v>
      </c>
      <c r="AA151" s="21">
        <f>EXP(-LN(2)/25)*AA150+(1-EXP(-LN(2)/25))/(LN(2)/25)*Calculateur!V151*Calculateur!X151*VLOOKUP('Données projet'!$B$9,Paramètres!$A$1:$I$89,3,0)*0.475*44/12</f>
        <v>6.2740770171339344</v>
      </c>
      <c r="AB151" s="21">
        <f>EXP(-LN(2)/2)*AB150+(1-EXP(-LN(2)/2))/(LN(2)/2)*V151*Y151*VLOOKUP('Données projet'!$B$9,Paramètres!$A$1:$I$89,3,0)*0.475*44/12</f>
        <v>6.5020425105939241E-13</v>
      </c>
      <c r="AC151" s="22">
        <f t="shared" si="111"/>
        <v>44.623403159064416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179.4725256147085</v>
      </c>
      <c r="AO151" s="59">
        <f t="shared" si="144"/>
        <v>282.16750121151176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25.27263749319653</v>
      </c>
      <c r="AV151" s="21">
        <f>EXP(-LN(2)/25)*AV150+(1-EXP(-LN(2)/25))/(LN(2)/25)*Calculateur!AQ151*Calculateur!AS151*VLOOKUP('Données projet'!$B$10,Paramètres!$A$1:$I$89,3,0)*0.475*44/12</f>
        <v>4.2594534053860462</v>
      </c>
      <c r="AW151" s="21">
        <f>EXP(-LN(2)/2)*AW150+(1-EXP(-LN(2)/2))/(LN(2)/2)*AQ151*AT151*VLOOKUP('Données projet'!$B$10,Paramètres!$A$1:$I$89,3,0)*0.475*44/12</f>
        <v>2.4511108378376425E-12</v>
      </c>
      <c r="AX151" s="21">
        <f t="shared" si="114"/>
        <v>29.532090898585029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1.064108801074326E-13</v>
      </c>
      <c r="BF151" s="13">
        <f t="shared" si="145"/>
        <v>1.5870730813698654E-12</v>
      </c>
      <c r="BG151" s="20">
        <f t="shared" si="115"/>
        <v>2.9494845662396269E-12</v>
      </c>
      <c r="BH151" s="59">
        <f t="shared" si="116"/>
        <v>293.33333333333627</v>
      </c>
      <c r="BI151" s="59">
        <f ca="1">AVERAGE(OFFSET($BH$3,0,0,'Données projet'!$E$11+1,1))-AVERAGE(OFFSET($H$3,0,0,'Données projet'!$E$11+1,1))</f>
        <v>227.19831549982962</v>
      </c>
      <c r="BJ151" s="59">
        <f t="shared" si="146"/>
        <v>309.84543033784564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32.656576240982048</v>
      </c>
      <c r="BQ151" s="21">
        <f>EXP(-LN(2)/25)*BQ150+(1-EXP(-LN(2)/25))/(LN(2)/25)*Calculateur!BL151*Calculateur!BN151*VLOOKUP('Données projet'!$B$11,Paramètres!$A$1:$I$89,3,0)*0.475*44/12</f>
        <v>5.8077438938856112</v>
      </c>
      <c r="BR151" s="21">
        <f>EXP(-LN(2)/2)*BR150+(1-EXP(-LN(2)/2))/(LN(2)/2)*BL151*BO151*VLOOKUP('Données projet'!$B$11,Paramètres!$A$1:$I$89,3,0)*0.475*44/12</f>
        <v>6.8699383002517516E-12</v>
      </c>
      <c r="BS151" s="22">
        <f t="shared" si="117"/>
        <v>38.464320134874534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2.2737367544323206E-13</v>
      </c>
      <c r="BZ151" s="13">
        <f>BY151*VLOOKUP('Données projet'!$B$12,Paramètres!$A$1:$I$89,3,0)*VLOOKUP('Données projet'!$B$12,Paramètres!$A$1:$I$89,5,0)</f>
        <v>1.4897523215040565E-13</v>
      </c>
      <c r="CA151" s="13">
        <f t="shared" si="147"/>
        <v>2.136562777003313E-12</v>
      </c>
      <c r="CB151" s="20">
        <f t="shared" si="118"/>
        <v>3.9806453659427267E-12</v>
      </c>
      <c r="CC151" s="59">
        <f t="shared" si="119"/>
        <v>293.33333333333729</v>
      </c>
      <c r="CD151" s="59">
        <f ca="1">AVERAGE(OFFSET($CC$3,0,0,'Données projet'!$E$12+1,1))-AVERAGE(OFFSET($H$3,0,0,'Données projet'!$E$12+1,1))</f>
        <v>91.274378490051788</v>
      </c>
      <c r="CE151" s="59">
        <f t="shared" si="148"/>
        <v>126.60105012427914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5.3601690508291515</v>
      </c>
      <c r="CL151" s="21">
        <f>EXP(-LN(2)/25)*CL150+(1-EXP(-LN(2)/25))/(LN(2)/25)*Calculateur!CG151*Calculateur!CI151*VLOOKUP('Données projet'!$B$12,Paramètres!$A$1:$I$89,3,0)*0.475*44/12</f>
        <v>3.6133439421729943</v>
      </c>
      <c r="CM151" s="21">
        <f>EXP(-LN(2)/2)*CM150+(1-EXP(-LN(2)/2))/(LN(2)/2)*CG151*CJ151*VLOOKUP('Données projet'!$B$12,Paramètres!$A$1:$I$89,3,0)*0.475*44/12</f>
        <v>4.6737361041632374E-8</v>
      </c>
      <c r="CN151" s="22">
        <f t="shared" si="120"/>
        <v>8.9735130397395064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350.09239406910712</v>
      </c>
      <c r="T152" s="59">
        <f t="shared" si="142"/>
        <v>473.30663081727369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37.597319247065883</v>
      </c>
      <c r="AA152" s="21">
        <f>EXP(-LN(2)/25)*AA151+(1-EXP(-LN(2)/25))/(LN(2)/25)*Calculateur!V152*Calculateur!X152*VLOOKUP('Données projet'!$B$9,Paramètres!$A$1:$I$89,3,0)*0.475*44/12</f>
        <v>6.1025120511610362</v>
      </c>
      <c r="AB152" s="21">
        <f>EXP(-LN(2)/2)*AB151+(1-EXP(-LN(2)/2))/(LN(2)/2)*V152*Y152*VLOOKUP('Données projet'!$B$9,Paramètres!$A$1:$I$89,3,0)*0.475*44/12</f>
        <v>4.5976383508041678E-13</v>
      </c>
      <c r="AC152" s="22">
        <f t="shared" si="111"/>
        <v>43.69983129822738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179.4725256147085</v>
      </c>
      <c r="AO152" s="59">
        <f t="shared" si="144"/>
        <v>282.16750121151176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24.777056486741735</v>
      </c>
      <c r="AV152" s="21">
        <f>EXP(-LN(2)/25)*AV151+(1-EXP(-LN(2)/25))/(LN(2)/25)*Calculateur!AQ152*Calculateur!AS152*VLOOKUP('Données projet'!$B$10,Paramètres!$A$1:$I$89,3,0)*0.475*44/12</f>
        <v>4.1429784280208457</v>
      </c>
      <c r="AW152" s="21">
        <f>EXP(-LN(2)/2)*AW151+(1-EXP(-LN(2)/2))/(LN(2)/2)*AQ152*AT152*VLOOKUP('Données projet'!$B$10,Paramètres!$A$1:$I$89,3,0)*0.475*44/12</f>
        <v>1.7331970948748371E-12</v>
      </c>
      <c r="AX152" s="21">
        <f t="shared" si="114"/>
        <v>28.920034914764315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1.064108801074326E-13</v>
      </c>
      <c r="BF152" s="13">
        <f t="shared" si="145"/>
        <v>1.5870730813698654E-12</v>
      </c>
      <c r="BG152" s="20">
        <f t="shared" si="115"/>
        <v>2.9494845662396269E-12</v>
      </c>
      <c r="BH152" s="59">
        <f t="shared" si="116"/>
        <v>293.33333333333627</v>
      </c>
      <c r="BI152" s="59">
        <f ca="1">AVERAGE(OFFSET($BH$3,0,0,'Données projet'!$E$11+1,1))-AVERAGE(OFFSET($H$3,0,0,'Données projet'!$E$11+1,1))</f>
        <v>227.19831549982962</v>
      </c>
      <c r="BJ152" s="59">
        <f t="shared" si="146"/>
        <v>309.84543033784564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32.016200699441107</v>
      </c>
      <c r="BQ152" s="21">
        <f>EXP(-LN(2)/25)*BQ151+(1-EXP(-LN(2)/25))/(LN(2)/25)*Calculateur!BL152*Calculateur!BN152*VLOOKUP('Données projet'!$B$11,Paramètres!$A$1:$I$89,3,0)*0.475*44/12</f>
        <v>5.6489308316913318</v>
      </c>
      <c r="BR152" s="21">
        <f>EXP(-LN(2)/2)*BR151+(1-EXP(-LN(2)/2))/(LN(2)/2)*BL152*BO152*VLOOKUP('Données projet'!$B$11,Paramètres!$A$1:$I$89,3,0)*0.475*44/12</f>
        <v>4.8577799584411975E-12</v>
      </c>
      <c r="BS152" s="22">
        <f t="shared" si="117"/>
        <v>37.665131531137298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2.2737367544323206E-13</v>
      </c>
      <c r="BZ152" s="13">
        <f>BY152*VLOOKUP('Données projet'!$B$12,Paramètres!$A$1:$I$89,3,0)*VLOOKUP('Données projet'!$B$12,Paramètres!$A$1:$I$89,5,0)</f>
        <v>1.4897523215040565E-13</v>
      </c>
      <c r="CA152" s="13">
        <f t="shared" si="147"/>
        <v>2.136562777003313E-12</v>
      </c>
      <c r="CB152" s="20">
        <f t="shared" si="118"/>
        <v>3.9806453659427267E-12</v>
      </c>
      <c r="CC152" s="59">
        <f t="shared" si="119"/>
        <v>293.33333333333729</v>
      </c>
      <c r="CD152" s="59">
        <f ca="1">AVERAGE(OFFSET($CC$3,0,0,'Données projet'!$E$12+1,1))-AVERAGE(OFFSET($H$3,0,0,'Données projet'!$E$12+1,1))</f>
        <v>91.274378490051788</v>
      </c>
      <c r="CE152" s="59">
        <f t="shared" si="148"/>
        <v>126.60105012427914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5.2550594051226884</v>
      </c>
      <c r="CL152" s="21">
        <f>EXP(-LN(2)/25)*CL151+(1-EXP(-LN(2)/25))/(LN(2)/25)*Calculateur!CG152*Calculateur!CI152*VLOOKUP('Données projet'!$B$12,Paramètres!$A$1:$I$89,3,0)*0.475*44/12</f>
        <v>3.5145368620567741</v>
      </c>
      <c r="CM152" s="21">
        <f>EXP(-LN(2)/2)*CM151+(1-EXP(-LN(2)/2))/(LN(2)/2)*CG152*CJ152*VLOOKUP('Données projet'!$B$12,Paramètres!$A$1:$I$89,3,0)*0.475*44/12</f>
        <v>3.3048304927302213E-8</v>
      </c>
      <c r="CN152" s="22">
        <f t="shared" si="120"/>
        <v>8.7695963002277679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350.09239406910712</v>
      </c>
      <c r="T153" s="59">
        <f t="shared" si="142"/>
        <v>473.30663081727369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36.860058748731305</v>
      </c>
      <c r="AA153" s="21">
        <f>EXP(-LN(2)/25)*AA152+(1-EXP(-LN(2)/25))/(LN(2)/25)*Calculateur!V153*Calculateur!X153*VLOOKUP('Données projet'!$B$9,Paramètres!$A$1:$I$89,3,0)*0.475*44/12</f>
        <v>5.9356385382048762</v>
      </c>
      <c r="AB153" s="21">
        <f>EXP(-LN(2)/2)*AB152+(1-EXP(-LN(2)/2))/(LN(2)/2)*V153*Y153*VLOOKUP('Données projet'!$B$9,Paramètres!$A$1:$I$89,3,0)*0.475*44/12</f>
        <v>3.2510212552969621E-13</v>
      </c>
      <c r="AC153" s="22">
        <f t="shared" si="111"/>
        <v>42.795697286936509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179.4725256147085</v>
      </c>
      <c r="AO153" s="59">
        <f t="shared" si="144"/>
        <v>282.16750121151176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24.291193521548951</v>
      </c>
      <c r="AV153" s="21">
        <f>EXP(-LN(2)/25)*AV152+(1-EXP(-LN(2)/25))/(LN(2)/25)*Calculateur!AQ153*Calculateur!AS153*VLOOKUP('Données projet'!$B$10,Paramètres!$A$1:$I$89,3,0)*0.475*44/12</f>
        <v>4.0296884650368492</v>
      </c>
      <c r="AW153" s="21">
        <f>EXP(-LN(2)/2)*AW152+(1-EXP(-LN(2)/2))/(LN(2)/2)*AQ153*AT153*VLOOKUP('Données projet'!$B$10,Paramètres!$A$1:$I$89,3,0)*0.475*44/12</f>
        <v>1.2255554189188212E-12</v>
      </c>
      <c r="AX153" s="21">
        <f t="shared" si="114"/>
        <v>28.320881986587025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1.064108801074326E-13</v>
      </c>
      <c r="BF153" s="13">
        <f t="shared" si="145"/>
        <v>1.5870730813698654E-12</v>
      </c>
      <c r="BG153" s="20">
        <f t="shared" si="115"/>
        <v>2.9494845662396269E-12</v>
      </c>
      <c r="BH153" s="59">
        <f t="shared" si="116"/>
        <v>293.33333333333627</v>
      </c>
      <c r="BI153" s="59">
        <f ca="1">AVERAGE(OFFSET($BH$3,0,0,'Données projet'!$E$11+1,1))-AVERAGE(OFFSET($H$3,0,0,'Données projet'!$E$11+1,1))</f>
        <v>227.19831549982962</v>
      </c>
      <c r="BJ153" s="59">
        <f t="shared" si="146"/>
        <v>309.84543033784564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31.38838253167927</v>
      </c>
      <c r="BQ153" s="21">
        <f>EXP(-LN(2)/25)*BQ152+(1-EXP(-LN(2)/25))/(LN(2)/25)*Calculateur!BL153*Calculateur!BN153*VLOOKUP('Données projet'!$B$11,Paramètres!$A$1:$I$89,3,0)*0.475*44/12</f>
        <v>5.4944605210343704</v>
      </c>
      <c r="BR153" s="21">
        <f>EXP(-LN(2)/2)*BR152+(1-EXP(-LN(2)/2))/(LN(2)/2)*BL153*BO153*VLOOKUP('Données projet'!$B$11,Paramètres!$A$1:$I$89,3,0)*0.475*44/12</f>
        <v>3.4349691501258758E-12</v>
      </c>
      <c r="BS153" s="22">
        <f t="shared" si="117"/>
        <v>36.882843052717071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2.2737367544323206E-13</v>
      </c>
      <c r="BZ153" s="13">
        <f>BY153*VLOOKUP('Données projet'!$B$12,Paramètres!$A$1:$I$89,3,0)*VLOOKUP('Données projet'!$B$12,Paramètres!$A$1:$I$89,5,0)</f>
        <v>1.4897523215040565E-13</v>
      </c>
      <c r="CA153" s="13">
        <f t="shared" si="147"/>
        <v>2.136562777003313E-12</v>
      </c>
      <c r="CB153" s="20">
        <f t="shared" si="118"/>
        <v>3.9806453659427267E-12</v>
      </c>
      <c r="CC153" s="59">
        <f t="shared" si="119"/>
        <v>293.33333333333729</v>
      </c>
      <c r="CD153" s="59">
        <f ca="1">AVERAGE(OFFSET($CC$3,0,0,'Données projet'!$E$12+1,1))-AVERAGE(OFFSET($H$3,0,0,'Données projet'!$E$12+1,1))</f>
        <v>91.274378490051788</v>
      </c>
      <c r="CE153" s="59">
        <f t="shared" si="148"/>
        <v>126.60105012427914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5.152010895457976</v>
      </c>
      <c r="CL153" s="21">
        <f>EXP(-LN(2)/25)*CL152+(1-EXP(-LN(2)/25))/(LN(2)/25)*Calculateur!CG153*Calculateur!CI153*VLOOKUP('Données projet'!$B$12,Paramètres!$A$1:$I$89,3,0)*0.475*44/12</f>
        <v>3.4184316667423706</v>
      </c>
      <c r="CM153" s="21">
        <f>EXP(-LN(2)/2)*CM152+(1-EXP(-LN(2)/2))/(LN(2)/2)*CG153*CJ153*VLOOKUP('Données projet'!$B$12,Paramètres!$A$1:$I$89,3,0)*0.475*44/12</f>
        <v>2.3368680520816187E-8</v>
      </c>
      <c r="CN153" s="22">
        <f t="shared" si="120"/>
        <v>8.5704425855690278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350.09239406910712</v>
      </c>
      <c r="T154" s="59">
        <f t="shared" si="142"/>
        <v>473.30663081727369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36.137255479084565</v>
      </c>
      <c r="AA154" s="21">
        <f>EXP(-LN(2)/25)*AA153+(1-EXP(-LN(2)/25))/(LN(2)/25)*Calculateur!V154*Calculateur!X154*VLOOKUP('Données projet'!$B$9,Paramètres!$A$1:$I$89,3,0)*0.475*44/12</f>
        <v>5.7733281902359996</v>
      </c>
      <c r="AB154" s="21">
        <f>EXP(-LN(2)/2)*AB153+(1-EXP(-LN(2)/2))/(LN(2)/2)*V154*Y154*VLOOKUP('Données projet'!$B$9,Paramètres!$A$1:$I$89,3,0)*0.475*44/12</f>
        <v>2.2988191754020839E-13</v>
      </c>
      <c r="AC154" s="22">
        <f t="shared" ref="AC154:AC203" si="163">SUM(Z154:AB154)</f>
        <v>41.910583669320793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179.4725256147085</v>
      </c>
      <c r="AO154" s="59">
        <f t="shared" si="144"/>
        <v>282.16750121151176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23.814858032756451</v>
      </c>
      <c r="AV154" s="21">
        <f>EXP(-LN(2)/25)*AV153+(1-EXP(-LN(2)/25))/(LN(2)/25)*Calculateur!AQ154*Calculateur!AS154*VLOOKUP('Données projet'!$B$10,Paramètres!$A$1:$I$89,3,0)*0.475*44/12</f>
        <v>3.9194964220483102</v>
      </c>
      <c r="AW154" s="21">
        <f>EXP(-LN(2)/2)*AW153+(1-EXP(-LN(2)/2))/(LN(2)/2)*AQ154*AT154*VLOOKUP('Données projet'!$B$10,Paramètres!$A$1:$I$89,3,0)*0.475*44/12</f>
        <v>8.6659854743741853E-13</v>
      </c>
      <c r="AX154" s="21">
        <f t="shared" ref="AX154:AX203" si="166">SUM(AU154:AW154)</f>
        <v>27.734354454805629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1.064108801074326E-13</v>
      </c>
      <c r="BF154" s="13">
        <f t="shared" ref="BF154:BF203" si="167">EXP(-1.0587+0.8836*LN(BE154)+0.284)</f>
        <v>1.5870730813698654E-12</v>
      </c>
      <c r="BG154" s="20">
        <f t="shared" ref="BG154:BG203" si="168">(BE154+BF154)*0.475*44/12</f>
        <v>2.9494845662396269E-12</v>
      </c>
      <c r="BH154" s="59">
        <f t="shared" si="116"/>
        <v>293.33333333333627</v>
      </c>
      <c r="BI154" s="59">
        <f ca="1">AVERAGE(OFFSET($BH$3,0,0,'Données projet'!$E$11+1,1))-AVERAGE(OFFSET($H$3,0,0,'Données projet'!$E$11+1,1))</f>
        <v>227.19831549982962</v>
      </c>
      <c r="BJ154" s="59">
        <f t="shared" si="146"/>
        <v>309.84543033784564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30.77287549525597</v>
      </c>
      <c r="BQ154" s="21">
        <f>EXP(-LN(2)/25)*BQ153+(1-EXP(-LN(2)/25))/(LN(2)/25)*Calculateur!BL154*Calculateur!BN154*VLOOKUP('Données projet'!$B$11,Paramètres!$A$1:$I$89,3,0)*0.475*44/12</f>
        <v>5.3442142091455649</v>
      </c>
      <c r="BR154" s="21">
        <f>EXP(-LN(2)/2)*BR153+(1-EXP(-LN(2)/2))/(LN(2)/2)*BL154*BO154*VLOOKUP('Données projet'!$B$11,Paramètres!$A$1:$I$89,3,0)*0.475*44/12</f>
        <v>2.4288899792205988E-12</v>
      </c>
      <c r="BS154" s="22">
        <f t="shared" ref="BS154:BS203" si="169">SUM(BP154:BR154)</f>
        <v>36.117089704403966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2.2737367544323206E-13</v>
      </c>
      <c r="BZ154" s="13">
        <f>BY154*VLOOKUP('Données projet'!$B$12,Paramètres!$A$1:$I$89,3,0)*VLOOKUP('Données projet'!$B$12,Paramètres!$A$1:$I$89,5,0)</f>
        <v>1.4897523215040565E-13</v>
      </c>
      <c r="CA154" s="13">
        <f t="shared" ref="CA154:CA203" si="170">EXP(-1.0587+0.8836*LN(BZ154)+0.284)</f>
        <v>2.136562777003313E-12</v>
      </c>
      <c r="CB154" s="20">
        <f t="shared" ref="CB154:CB203" si="171">(BZ154+CA154)*0.475*44/12</f>
        <v>3.9806453659427267E-12</v>
      </c>
      <c r="CC154" s="59">
        <f t="shared" si="119"/>
        <v>293.33333333333729</v>
      </c>
      <c r="CD154" s="59">
        <f ca="1">AVERAGE(OFFSET($CC$3,0,0,'Données projet'!$E$12+1,1))-AVERAGE(OFFSET($H$3,0,0,'Données projet'!$E$12+1,1))</f>
        <v>91.274378490051788</v>
      </c>
      <c r="CE154" s="59">
        <f t="shared" si="148"/>
        <v>126.60105012427914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5.0509831042144038</v>
      </c>
      <c r="CL154" s="21">
        <f>EXP(-LN(2)/25)*CL153+(1-EXP(-LN(2)/25))/(LN(2)/25)*Calculateur!CG154*Calculateur!CI154*VLOOKUP('Données projet'!$B$12,Paramètres!$A$1:$I$89,3,0)*0.475*44/12</f>
        <v>3.324954473047792</v>
      </c>
      <c r="CM154" s="21">
        <f>EXP(-LN(2)/2)*CM153+(1-EXP(-LN(2)/2))/(LN(2)/2)*CG154*CJ154*VLOOKUP('Données projet'!$B$12,Paramètres!$A$1:$I$89,3,0)*0.475*44/12</f>
        <v>1.6524152463651107E-8</v>
      </c>
      <c r="CN154" s="22">
        <f t="shared" ref="CN154:CN203" si="172">SUM(CK154:CM154)</f>
        <v>8.3759375937863485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350.09239406910712</v>
      </c>
      <c r="T155" s="59">
        <f t="shared" si="142"/>
        <v>473.30663081727369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35.428625940689138</v>
      </c>
      <c r="AA155" s="21">
        <f>EXP(-LN(2)/25)*AA154+(1-EXP(-LN(2)/25))/(LN(2)/25)*Calculateur!V155*Calculateur!X155*VLOOKUP('Données projet'!$B$9,Paramètres!$A$1:$I$89,3,0)*0.475*44/12</f>
        <v>5.6154562272678614</v>
      </c>
      <c r="AB155" s="21">
        <f>EXP(-LN(2)/2)*AB154+(1-EXP(-LN(2)/2))/(LN(2)/2)*V155*Y155*VLOOKUP('Données projet'!$B$9,Paramètres!$A$1:$I$89,3,0)*0.475*44/12</f>
        <v>1.625510627648481E-13</v>
      </c>
      <c r="AC155" s="22">
        <f t="shared" si="163"/>
        <v>41.044082167957164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179.4725256147085</v>
      </c>
      <c r="AO155" s="59">
        <f t="shared" si="144"/>
        <v>282.16750121151176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23.34786319236321</v>
      </c>
      <c r="AV155" s="21">
        <f>EXP(-LN(2)/25)*AV154+(1-EXP(-LN(2)/25))/(LN(2)/25)*Calculateur!AQ155*Calculateur!AS155*VLOOKUP('Données projet'!$B$10,Paramètres!$A$1:$I$89,3,0)*0.475*44/12</f>
        <v>3.8123175862700402</v>
      </c>
      <c r="AW155" s="21">
        <f>EXP(-LN(2)/2)*AW154+(1-EXP(-LN(2)/2))/(LN(2)/2)*AQ155*AT155*VLOOKUP('Données projet'!$B$10,Paramètres!$A$1:$I$89,3,0)*0.475*44/12</f>
        <v>6.1277770945941062E-13</v>
      </c>
      <c r="AX155" s="21">
        <f t="shared" si="166"/>
        <v>27.160180778633862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1.064108801074326E-13</v>
      </c>
      <c r="BF155" s="13">
        <f t="shared" si="167"/>
        <v>1.5870730813698654E-12</v>
      </c>
      <c r="BG155" s="20">
        <f t="shared" si="168"/>
        <v>2.9494845662396269E-12</v>
      </c>
      <c r="BH155" s="59">
        <f t="shared" si="116"/>
        <v>293.33333333333627</v>
      </c>
      <c r="BI155" s="59">
        <f ca="1">AVERAGE(OFFSET($BH$3,0,0,'Données projet'!$E$11+1,1))-AVERAGE(OFFSET($H$3,0,0,'Données projet'!$E$11+1,1))</f>
        <v>227.19831549982962</v>
      </c>
      <c r="BJ155" s="59">
        <f t="shared" si="146"/>
        <v>309.84543033784564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30.16943817639471</v>
      </c>
      <c r="BQ155" s="21">
        <f>EXP(-LN(2)/25)*BQ154+(1-EXP(-LN(2)/25))/(LN(2)/25)*Calculateur!BL155*Calculateur!BN155*VLOOKUP('Données projet'!$B$11,Paramètres!$A$1:$I$89,3,0)*0.475*44/12</f>
        <v>5.1980763905564684</v>
      </c>
      <c r="BR155" s="21">
        <f>EXP(-LN(2)/2)*BR154+(1-EXP(-LN(2)/2))/(LN(2)/2)*BL155*BO155*VLOOKUP('Données projet'!$B$11,Paramètres!$A$1:$I$89,3,0)*0.475*44/12</f>
        <v>1.7174845750629379E-12</v>
      </c>
      <c r="BS155" s="22">
        <f t="shared" si="169"/>
        <v>35.367514566952899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2.2737367544323206E-13</v>
      </c>
      <c r="BZ155" s="13">
        <f>BY155*VLOOKUP('Données projet'!$B$12,Paramètres!$A$1:$I$89,3,0)*VLOOKUP('Données projet'!$B$12,Paramètres!$A$1:$I$89,5,0)</f>
        <v>1.4897523215040565E-13</v>
      </c>
      <c r="CA155" s="13">
        <f t="shared" si="170"/>
        <v>2.136562777003313E-12</v>
      </c>
      <c r="CB155" s="20">
        <f t="shared" si="171"/>
        <v>3.9806453659427267E-12</v>
      </c>
      <c r="CC155" s="59">
        <f t="shared" si="119"/>
        <v>293.33333333333729</v>
      </c>
      <c r="CD155" s="59">
        <f ca="1">AVERAGE(OFFSET($CC$3,0,0,'Données projet'!$E$12+1,1))-AVERAGE(OFFSET($H$3,0,0,'Données projet'!$E$12+1,1))</f>
        <v>91.274378490051788</v>
      </c>
      <c r="CE155" s="59">
        <f t="shared" si="148"/>
        <v>126.60105012427914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4.9519364063362499</v>
      </c>
      <c r="CL155" s="21">
        <f>EXP(-LN(2)/25)*CL154+(1-EXP(-LN(2)/25))/(LN(2)/25)*Calculateur!CG155*Calculateur!CI155*VLOOKUP('Données projet'!$B$12,Paramètres!$A$1:$I$89,3,0)*0.475*44/12</f>
        <v>3.2340334181305437</v>
      </c>
      <c r="CM155" s="21">
        <f>EXP(-LN(2)/2)*CM154+(1-EXP(-LN(2)/2))/(LN(2)/2)*CG155*CJ155*VLOOKUP('Données projet'!$B$12,Paramètres!$A$1:$I$89,3,0)*0.475*44/12</f>
        <v>1.1684340260408093E-8</v>
      </c>
      <c r="CN155" s="22">
        <f t="shared" si="172"/>
        <v>8.1859698361511342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350.09239406910712</v>
      </c>
      <c r="T156" s="59">
        <f t="shared" si="142"/>
        <v>473.30663081727369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34.733892195320301</v>
      </c>
      <c r="AA156" s="21">
        <f>EXP(-LN(2)/25)*AA155+(1-EXP(-LN(2)/25))/(LN(2)/25)*Calculateur!V156*Calculateur!X156*VLOOKUP('Données projet'!$B$9,Paramètres!$A$1:$I$89,3,0)*0.475*44/12</f>
        <v>5.4619012814292134</v>
      </c>
      <c r="AB156" s="21">
        <f>EXP(-LN(2)/2)*AB155+(1-EXP(-LN(2)/2))/(LN(2)/2)*V156*Y156*VLOOKUP('Données projet'!$B$9,Paramètres!$A$1:$I$89,3,0)*0.475*44/12</f>
        <v>1.149409587701042E-13</v>
      </c>
      <c r="AC156" s="22">
        <f t="shared" si="163"/>
        <v>40.195793476749628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179.4725256147085</v>
      </c>
      <c r="AO156" s="59">
        <f t="shared" si="144"/>
        <v>282.16750121151176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22.890025835951352</v>
      </c>
      <c r="AV156" s="21">
        <f>EXP(-LN(2)/25)*AV155+(1-EXP(-LN(2)/25))/(LN(2)/25)*Calculateur!AQ156*Calculateur!AS156*VLOOKUP('Données projet'!$B$10,Paramètres!$A$1:$I$89,3,0)*0.475*44/12</f>
        <v>3.7080695613924175</v>
      </c>
      <c r="AW156" s="21">
        <f>EXP(-LN(2)/2)*AW155+(1-EXP(-LN(2)/2))/(LN(2)/2)*AQ156*AT156*VLOOKUP('Données projet'!$B$10,Paramètres!$A$1:$I$89,3,0)*0.475*44/12</f>
        <v>4.3329927371870926E-13</v>
      </c>
      <c r="AX156" s="21">
        <f t="shared" si="166"/>
        <v>26.598095397344203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1.064108801074326E-13</v>
      </c>
      <c r="BF156" s="13">
        <f t="shared" si="167"/>
        <v>1.5870730813698654E-12</v>
      </c>
      <c r="BG156" s="20">
        <f t="shared" si="168"/>
        <v>2.9494845662396269E-12</v>
      </c>
      <c r="BH156" s="59">
        <f t="shared" si="116"/>
        <v>293.33333333333627</v>
      </c>
      <c r="BI156" s="59">
        <f ca="1">AVERAGE(OFFSET($BH$3,0,0,'Données projet'!$E$11+1,1))-AVERAGE(OFFSET($H$3,0,0,'Données projet'!$E$11+1,1))</f>
        <v>227.19831549982962</v>
      </c>
      <c r="BJ156" s="59">
        <f t="shared" si="146"/>
        <v>309.84543033784564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29.577833895295896</v>
      </c>
      <c r="BQ156" s="21">
        <f>EXP(-LN(2)/25)*BQ155+(1-EXP(-LN(2)/25))/(LN(2)/25)*Calculateur!BL156*Calculateur!BN156*VLOOKUP('Données projet'!$B$11,Paramètres!$A$1:$I$89,3,0)*0.475*44/12</f>
        <v>5.0559347183017449</v>
      </c>
      <c r="BR156" s="21">
        <f>EXP(-LN(2)/2)*BR155+(1-EXP(-LN(2)/2))/(LN(2)/2)*BL156*BO156*VLOOKUP('Données projet'!$B$11,Paramètres!$A$1:$I$89,3,0)*0.475*44/12</f>
        <v>1.2144449896102994E-12</v>
      </c>
      <c r="BS156" s="22">
        <f t="shared" si="169"/>
        <v>34.633768613598853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2.2737367544323206E-13</v>
      </c>
      <c r="BZ156" s="13">
        <f>BY156*VLOOKUP('Données projet'!$B$12,Paramètres!$A$1:$I$89,3,0)*VLOOKUP('Données projet'!$B$12,Paramètres!$A$1:$I$89,5,0)</f>
        <v>1.4897523215040565E-13</v>
      </c>
      <c r="CA156" s="13">
        <f t="shared" si="170"/>
        <v>2.136562777003313E-12</v>
      </c>
      <c r="CB156" s="20">
        <f t="shared" si="171"/>
        <v>3.9806453659427267E-12</v>
      </c>
      <c r="CC156" s="59">
        <f t="shared" si="119"/>
        <v>293.33333333333729</v>
      </c>
      <c r="CD156" s="59">
        <f ca="1">AVERAGE(OFFSET($CC$3,0,0,'Données projet'!$E$12+1,1))-AVERAGE(OFFSET($H$3,0,0,'Données projet'!$E$12+1,1))</f>
        <v>91.274378490051788</v>
      </c>
      <c r="CE156" s="59">
        <f t="shared" si="148"/>
        <v>126.60105012427914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4.8548319537909661</v>
      </c>
      <c r="CL156" s="21">
        <f>EXP(-LN(2)/25)*CL155+(1-EXP(-LN(2)/25))/(LN(2)/25)*Calculateur!CG156*Calculateur!CI156*VLOOKUP('Données projet'!$B$12,Paramètres!$A$1:$I$89,3,0)*0.475*44/12</f>
        <v>3.145598604241338</v>
      </c>
      <c r="CM156" s="21">
        <f>EXP(-LN(2)/2)*CM155+(1-EXP(-LN(2)/2))/(LN(2)/2)*CG156*CJ156*VLOOKUP('Données projet'!$B$12,Paramètres!$A$1:$I$89,3,0)*0.475*44/12</f>
        <v>8.2620762318255533E-9</v>
      </c>
      <c r="CN156" s="22">
        <f t="shared" si="172"/>
        <v>8.00043056629438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350.09239406910712</v>
      </c>
      <c r="T157" s="59">
        <f t="shared" si="142"/>
        <v>473.30663081727369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34.052781754952406</v>
      </c>
      <c r="AA157" s="21">
        <f>EXP(-LN(2)/25)*AA156+(1-EXP(-LN(2)/25))/(LN(2)/25)*Calculateur!V157*Calculateur!X157*VLOOKUP('Données projet'!$B$9,Paramètres!$A$1:$I$89,3,0)*0.475*44/12</f>
        <v>5.3125453036596264</v>
      </c>
      <c r="AB157" s="21">
        <f>EXP(-LN(2)/2)*AB156+(1-EXP(-LN(2)/2))/(LN(2)/2)*V157*Y157*VLOOKUP('Données projet'!$B$9,Paramètres!$A$1:$I$89,3,0)*0.475*44/12</f>
        <v>8.1275531382424051E-14</v>
      </c>
      <c r="AC157" s="22">
        <f t="shared" si="163"/>
        <v>39.36532705861211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179.4725256147085</v>
      </c>
      <c r="AO157" s="59">
        <f t="shared" si="144"/>
        <v>282.16750121151176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22.44116639084552</v>
      </c>
      <c r="AV157" s="21">
        <f>EXP(-LN(2)/25)*AV156+(1-EXP(-LN(2)/25))/(LN(2)/25)*Calculateur!AQ157*Calculateur!AS157*VLOOKUP('Données projet'!$B$10,Paramètres!$A$1:$I$89,3,0)*0.475*44/12</f>
        <v>3.6066722042372383</v>
      </c>
      <c r="AW157" s="21">
        <f>EXP(-LN(2)/2)*AW156+(1-EXP(-LN(2)/2))/(LN(2)/2)*AQ157*AT157*VLOOKUP('Données projet'!$B$10,Paramètres!$A$1:$I$89,3,0)*0.475*44/12</f>
        <v>3.0638885472970531E-13</v>
      </c>
      <c r="AX157" s="21">
        <f t="shared" si="166"/>
        <v>26.047838595083064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1.064108801074326E-13</v>
      </c>
      <c r="BF157" s="13">
        <f t="shared" si="167"/>
        <v>1.5870730813698654E-12</v>
      </c>
      <c r="BG157" s="20">
        <f t="shared" si="168"/>
        <v>2.9494845662396269E-12</v>
      </c>
      <c r="BH157" s="59">
        <f t="shared" si="116"/>
        <v>293.33333333333627</v>
      </c>
      <c r="BI157" s="59">
        <f ca="1">AVERAGE(OFFSET($BH$3,0,0,'Données projet'!$E$11+1,1))-AVERAGE(OFFSET($H$3,0,0,'Données projet'!$E$11+1,1))</f>
        <v>227.19831549982962</v>
      </c>
      <c r="BJ157" s="59">
        <f t="shared" si="146"/>
        <v>309.84543033784564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28.997830613306448</v>
      </c>
      <c r="BQ157" s="21">
        <f>EXP(-LN(2)/25)*BQ156+(1-EXP(-LN(2)/25))/(LN(2)/25)*Calculateur!BL157*Calculateur!BN157*VLOOKUP('Données projet'!$B$11,Paramètres!$A$1:$I$89,3,0)*0.475*44/12</f>
        <v>4.9176799175497328</v>
      </c>
      <c r="BR157" s="21">
        <f>EXP(-LN(2)/2)*BR156+(1-EXP(-LN(2)/2))/(LN(2)/2)*BL157*BO157*VLOOKUP('Données projet'!$B$11,Paramètres!$A$1:$I$89,3,0)*0.475*44/12</f>
        <v>8.5874228753146895E-13</v>
      </c>
      <c r="BS157" s="22">
        <f t="shared" si="169"/>
        <v>33.915510530857041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2.2737367544323206E-13</v>
      </c>
      <c r="BZ157" s="13">
        <f>BY157*VLOOKUP('Données projet'!$B$12,Paramètres!$A$1:$I$89,3,0)*VLOOKUP('Données projet'!$B$12,Paramètres!$A$1:$I$89,5,0)</f>
        <v>1.4897523215040565E-13</v>
      </c>
      <c r="CA157" s="13">
        <f t="shared" si="170"/>
        <v>2.136562777003313E-12</v>
      </c>
      <c r="CB157" s="20">
        <f t="shared" si="171"/>
        <v>3.9806453659427267E-12</v>
      </c>
      <c r="CC157" s="59">
        <f t="shared" si="119"/>
        <v>293.33333333333729</v>
      </c>
      <c r="CD157" s="59">
        <f ca="1">AVERAGE(OFFSET($CC$3,0,0,'Données projet'!$E$12+1,1))-AVERAGE(OFFSET($H$3,0,0,'Données projet'!$E$12+1,1))</f>
        <v>91.274378490051788</v>
      </c>
      <c r="CE157" s="59">
        <f t="shared" si="148"/>
        <v>126.60105012427914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4.7596316603322277</v>
      </c>
      <c r="CL157" s="21">
        <f>EXP(-LN(2)/25)*CL156+(1-EXP(-LN(2)/25))/(LN(2)/25)*Calculateur!CG157*Calculateur!CI157*VLOOKUP('Données projet'!$B$12,Paramètres!$A$1:$I$89,3,0)*0.475*44/12</f>
        <v>3.0595820449885172</v>
      </c>
      <c r="CM157" s="21">
        <f>EXP(-LN(2)/2)*CM156+(1-EXP(-LN(2)/2))/(LN(2)/2)*CG157*CJ157*VLOOKUP('Données projet'!$B$12,Paramètres!$A$1:$I$89,3,0)*0.475*44/12</f>
        <v>5.8421701302040467E-9</v>
      </c>
      <c r="CN157" s="22">
        <f t="shared" si="172"/>
        <v>7.8192137111629156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350.09239406910712</v>
      </c>
      <c r="T158" s="59">
        <f t="shared" si="142"/>
        <v>473.30663081727369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33.385027474883778</v>
      </c>
      <c r="AA158" s="21">
        <f>EXP(-LN(2)/25)*AA157+(1-EXP(-LN(2)/25))/(LN(2)/25)*Calculateur!V158*Calculateur!X158*VLOOKUP('Données projet'!$B$9,Paramètres!$A$1:$I$89,3,0)*0.475*44/12</f>
        <v>5.1672734729564382</v>
      </c>
      <c r="AB158" s="21">
        <f>EXP(-LN(2)/2)*AB157+(1-EXP(-LN(2)/2))/(LN(2)/2)*V158*Y158*VLOOKUP('Données projet'!$B$9,Paramètres!$A$1:$I$89,3,0)*0.475*44/12</f>
        <v>5.7470479385052098E-14</v>
      </c>
      <c r="AC158" s="22">
        <f t="shared" si="163"/>
        <v>38.552300947840273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179.4725256147085</v>
      </c>
      <c r="AO158" s="59">
        <f t="shared" si="144"/>
        <v>282.16750121151176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22.001108805680985</v>
      </c>
      <c r="AV158" s="21">
        <f>EXP(-LN(2)/25)*AV157+(1-EXP(-LN(2)/25))/(LN(2)/25)*Calculateur!AQ158*Calculateur!AS158*VLOOKUP('Données projet'!$B$10,Paramètres!$A$1:$I$89,3,0)*0.475*44/12</f>
        <v>3.5080475631457229</v>
      </c>
      <c r="AW158" s="21">
        <f>EXP(-LN(2)/2)*AW157+(1-EXP(-LN(2)/2))/(LN(2)/2)*AQ158*AT158*VLOOKUP('Données projet'!$B$10,Paramètres!$A$1:$I$89,3,0)*0.475*44/12</f>
        <v>2.1664963685935463E-13</v>
      </c>
      <c r="AX158" s="21">
        <f t="shared" si="166"/>
        <v>25.509156368826925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1.064108801074326E-13</v>
      </c>
      <c r="BF158" s="13">
        <f t="shared" si="167"/>
        <v>1.5870730813698654E-12</v>
      </c>
      <c r="BG158" s="20">
        <f t="shared" si="168"/>
        <v>2.9494845662396269E-12</v>
      </c>
      <c r="BH158" s="59">
        <f t="shared" si="116"/>
        <v>293.33333333333627</v>
      </c>
      <c r="BI158" s="59">
        <f ca="1">AVERAGE(OFFSET($BH$3,0,0,'Données projet'!$E$11+1,1))-AVERAGE(OFFSET($H$3,0,0,'Données projet'!$E$11+1,1))</f>
        <v>227.19831549982962</v>
      </c>
      <c r="BJ158" s="59">
        <f t="shared" si="146"/>
        <v>309.84543033784564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28.429200841909744</v>
      </c>
      <c r="BQ158" s="21">
        <f>EXP(-LN(2)/25)*BQ157+(1-EXP(-LN(2)/25))/(LN(2)/25)*Calculateur!BL158*Calculateur!BN158*VLOOKUP('Données projet'!$B$11,Paramètres!$A$1:$I$89,3,0)*0.475*44/12</f>
        <v>4.7832057015947882</v>
      </c>
      <c r="BR158" s="21">
        <f>EXP(-LN(2)/2)*BR157+(1-EXP(-LN(2)/2))/(LN(2)/2)*BL158*BO158*VLOOKUP('Données projet'!$B$11,Paramètres!$A$1:$I$89,3,0)*0.475*44/12</f>
        <v>6.0722249480514969E-13</v>
      </c>
      <c r="BS158" s="22">
        <f t="shared" si="169"/>
        <v>33.212406543505132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2.2737367544323206E-13</v>
      </c>
      <c r="BZ158" s="13">
        <f>BY158*VLOOKUP('Données projet'!$B$12,Paramètres!$A$1:$I$89,3,0)*VLOOKUP('Données projet'!$B$12,Paramètres!$A$1:$I$89,5,0)</f>
        <v>1.4897523215040565E-13</v>
      </c>
      <c r="CA158" s="13">
        <f t="shared" si="170"/>
        <v>2.136562777003313E-12</v>
      </c>
      <c r="CB158" s="20">
        <f t="shared" si="171"/>
        <v>3.9806453659427267E-12</v>
      </c>
      <c r="CC158" s="59">
        <f t="shared" si="119"/>
        <v>293.33333333333729</v>
      </c>
      <c r="CD158" s="59">
        <f ca="1">AVERAGE(OFFSET($CC$3,0,0,'Données projet'!$E$12+1,1))-AVERAGE(OFFSET($H$3,0,0,'Données projet'!$E$12+1,1))</f>
        <v>91.274378490051788</v>
      </c>
      <c r="CE158" s="59">
        <f t="shared" si="148"/>
        <v>126.60105012427914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4.666298186561769</v>
      </c>
      <c r="CL158" s="21">
        <f>EXP(-LN(2)/25)*CL157+(1-EXP(-LN(2)/25))/(LN(2)/25)*Calculateur!CG158*Calculateur!CI158*VLOOKUP('Données projet'!$B$12,Paramètres!$A$1:$I$89,3,0)*0.475*44/12</f>
        <v>2.975917613071879</v>
      </c>
      <c r="CM158" s="21">
        <f>EXP(-LN(2)/2)*CM157+(1-EXP(-LN(2)/2))/(LN(2)/2)*CG158*CJ158*VLOOKUP('Données projet'!$B$12,Paramètres!$A$1:$I$89,3,0)*0.475*44/12</f>
        <v>4.1310381159127767E-9</v>
      </c>
      <c r="CN158" s="22">
        <f t="shared" si="172"/>
        <v>7.6422158037646861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350.09239406910712</v>
      </c>
      <c r="T159" s="59">
        <f t="shared" si="142"/>
        <v>473.30663081727369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32.730367448957402</v>
      </c>
      <c r="AA159" s="21">
        <f>EXP(-LN(2)/25)*AA158+(1-EXP(-LN(2)/25))/(LN(2)/25)*Calculateur!V159*Calculateur!X159*VLOOKUP('Données projet'!$B$9,Paramètres!$A$1:$I$89,3,0)*0.475*44/12</f>
        <v>5.0259741081033429</v>
      </c>
      <c r="AB159" s="21">
        <f>EXP(-LN(2)/2)*AB158+(1-EXP(-LN(2)/2))/(LN(2)/2)*V159*Y159*VLOOKUP('Données projet'!$B$9,Paramètres!$A$1:$I$89,3,0)*0.475*44/12</f>
        <v>4.0637765691212026E-14</v>
      </c>
      <c r="AC159" s="22">
        <f t="shared" si="163"/>
        <v>37.756341557060786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179.4725256147085</v>
      </c>
      <c r="AO159" s="59">
        <f t="shared" si="144"/>
        <v>282.16750121151176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21.569680481352901</v>
      </c>
      <c r="AV159" s="21">
        <f>EXP(-LN(2)/25)*AV158+(1-EXP(-LN(2)/25))/(LN(2)/25)*Calculateur!AQ159*Calculateur!AS159*VLOOKUP('Données projet'!$B$10,Paramètres!$A$1:$I$89,3,0)*0.475*44/12</f>
        <v>3.4121198180512993</v>
      </c>
      <c r="AW159" s="21">
        <f>EXP(-LN(2)/2)*AW158+(1-EXP(-LN(2)/2))/(LN(2)/2)*AQ159*AT159*VLOOKUP('Données projet'!$B$10,Paramètres!$A$1:$I$89,3,0)*0.475*44/12</f>
        <v>1.5319442736485266E-13</v>
      </c>
      <c r="AX159" s="21">
        <f t="shared" si="166"/>
        <v>24.981800299404352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1.064108801074326E-13</v>
      </c>
      <c r="BF159" s="13">
        <f t="shared" si="167"/>
        <v>1.5870730813698654E-12</v>
      </c>
      <c r="BG159" s="20">
        <f t="shared" si="168"/>
        <v>2.9494845662396269E-12</v>
      </c>
      <c r="BH159" s="59">
        <f t="shared" si="116"/>
        <v>293.33333333333627</v>
      </c>
      <c r="BI159" s="59">
        <f ca="1">AVERAGE(OFFSET($BH$3,0,0,'Données projet'!$E$11+1,1))-AVERAGE(OFFSET($H$3,0,0,'Données projet'!$E$11+1,1))</f>
        <v>227.19831549982962</v>
      </c>
      <c r="BJ159" s="59">
        <f t="shared" si="146"/>
        <v>309.84543033784564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27.871721553500215</v>
      </c>
      <c r="BQ159" s="21">
        <f>EXP(-LN(2)/25)*BQ158+(1-EXP(-LN(2)/25))/(LN(2)/25)*Calculateur!BL159*Calculateur!BN159*VLOOKUP('Données projet'!$B$11,Paramètres!$A$1:$I$89,3,0)*0.475*44/12</f>
        <v>4.6524086901468227</v>
      </c>
      <c r="BR159" s="21">
        <f>EXP(-LN(2)/2)*BR158+(1-EXP(-LN(2)/2))/(LN(2)/2)*BL159*BO159*VLOOKUP('Données projet'!$B$11,Paramètres!$A$1:$I$89,3,0)*0.475*44/12</f>
        <v>4.2937114376573448E-13</v>
      </c>
      <c r="BS159" s="22">
        <f t="shared" si="169"/>
        <v>32.524130243647463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2.2737367544323206E-13</v>
      </c>
      <c r="BZ159" s="13">
        <f>BY159*VLOOKUP('Données projet'!$B$12,Paramètres!$A$1:$I$89,3,0)*VLOOKUP('Données projet'!$B$12,Paramètres!$A$1:$I$89,5,0)</f>
        <v>1.4897523215040565E-13</v>
      </c>
      <c r="CA159" s="13">
        <f t="shared" si="170"/>
        <v>2.136562777003313E-12</v>
      </c>
      <c r="CB159" s="20">
        <f t="shared" si="171"/>
        <v>3.9806453659427267E-12</v>
      </c>
      <c r="CC159" s="59">
        <f t="shared" si="119"/>
        <v>293.33333333333729</v>
      </c>
      <c r="CD159" s="59">
        <f ca="1">AVERAGE(OFFSET($CC$3,0,0,'Données projet'!$E$12+1,1))-AVERAGE(OFFSET($H$3,0,0,'Données projet'!$E$12+1,1))</f>
        <v>91.274378490051788</v>
      </c>
      <c r="CE159" s="59">
        <f t="shared" si="148"/>
        <v>126.60105012427914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4.5747949252841513</v>
      </c>
      <c r="CL159" s="21">
        <f>EXP(-LN(2)/25)*CL158+(1-EXP(-LN(2)/25))/(LN(2)/25)*Calculateur!CG159*Calculateur!CI159*VLOOKUP('Données projet'!$B$12,Paramètres!$A$1:$I$89,3,0)*0.475*44/12</f>
        <v>2.8945409894457228</v>
      </c>
      <c r="CM159" s="21">
        <f>EXP(-LN(2)/2)*CM158+(1-EXP(-LN(2)/2))/(LN(2)/2)*CG159*CJ159*VLOOKUP('Données projet'!$B$12,Paramètres!$A$1:$I$89,3,0)*0.475*44/12</f>
        <v>2.9210850651020234E-9</v>
      </c>
      <c r="CN159" s="22">
        <f t="shared" si="172"/>
        <v>7.4693359176509588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350.09239406910712</v>
      </c>
      <c r="T160" s="59">
        <f t="shared" si="142"/>
        <v>473.30663081727369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32.088544906836255</v>
      </c>
      <c r="AA160" s="21">
        <f>EXP(-LN(2)/25)*AA159+(1-EXP(-LN(2)/25))/(LN(2)/25)*Calculateur!V160*Calculateur!X160*VLOOKUP('Données projet'!$B$9,Paramètres!$A$1:$I$89,3,0)*0.475*44/12</f>
        <v>4.8885385818127656</v>
      </c>
      <c r="AB160" s="21">
        <f>EXP(-LN(2)/2)*AB159+(1-EXP(-LN(2)/2))/(LN(2)/2)*V160*Y160*VLOOKUP('Données projet'!$B$9,Paramètres!$A$1:$I$89,3,0)*0.475*44/12</f>
        <v>2.8735239692526049E-14</v>
      </c>
      <c r="AC160" s="22">
        <f t="shared" si="163"/>
        <v>36.97708348864905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179.4725256147085</v>
      </c>
      <c r="AO160" s="59">
        <f t="shared" si="144"/>
        <v>282.16750121151176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21.146712203319595</v>
      </c>
      <c r="AV160" s="21">
        <f>EXP(-LN(2)/25)*AV159+(1-EXP(-LN(2)/25))/(LN(2)/25)*Calculateur!AQ160*Calculateur!AS160*VLOOKUP('Données projet'!$B$10,Paramètres!$A$1:$I$89,3,0)*0.475*44/12</f>
        <v>3.3188152221911036</v>
      </c>
      <c r="AW160" s="21">
        <f>EXP(-LN(2)/2)*AW159+(1-EXP(-LN(2)/2))/(LN(2)/2)*AQ160*AT160*VLOOKUP('Données projet'!$B$10,Paramètres!$A$1:$I$89,3,0)*0.475*44/12</f>
        <v>1.0832481842967732E-13</v>
      </c>
      <c r="AX160" s="21">
        <f t="shared" si="166"/>
        <v>24.465527425510807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1.064108801074326E-13</v>
      </c>
      <c r="BF160" s="13">
        <f t="shared" si="167"/>
        <v>1.5870730813698654E-12</v>
      </c>
      <c r="BG160" s="20">
        <f t="shared" si="168"/>
        <v>2.9494845662396269E-12</v>
      </c>
      <c r="BH160" s="59">
        <f t="shared" si="116"/>
        <v>293.33333333333627</v>
      </c>
      <c r="BI160" s="59">
        <f ca="1">AVERAGE(OFFSET($BH$3,0,0,'Données projet'!$E$11+1,1))-AVERAGE(OFFSET($H$3,0,0,'Données projet'!$E$11+1,1))</f>
        <v>227.19831549982962</v>
      </c>
      <c r="BJ160" s="59">
        <f t="shared" si="146"/>
        <v>309.84543033784564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27.325174093907606</v>
      </c>
      <c r="BQ160" s="21">
        <f>EXP(-LN(2)/25)*BQ159+(1-EXP(-LN(2)/25))/(LN(2)/25)*Calculateur!BL160*Calculateur!BN160*VLOOKUP('Données projet'!$B$11,Paramètres!$A$1:$I$89,3,0)*0.475*44/12</f>
        <v>4.5251883298552178</v>
      </c>
      <c r="BR160" s="21">
        <f>EXP(-LN(2)/2)*BR159+(1-EXP(-LN(2)/2))/(LN(2)/2)*BL160*BO160*VLOOKUP('Données projet'!$B$11,Paramètres!$A$1:$I$89,3,0)*0.475*44/12</f>
        <v>3.0361124740257484E-13</v>
      </c>
      <c r="BS160" s="22">
        <f t="shared" si="169"/>
        <v>31.850362423763126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2.2737367544323206E-13</v>
      </c>
      <c r="BZ160" s="13">
        <f>BY160*VLOOKUP('Données projet'!$B$12,Paramètres!$A$1:$I$89,3,0)*VLOOKUP('Données projet'!$B$12,Paramètres!$A$1:$I$89,5,0)</f>
        <v>1.4897523215040565E-13</v>
      </c>
      <c r="CA160" s="13">
        <f t="shared" si="170"/>
        <v>2.136562777003313E-12</v>
      </c>
      <c r="CB160" s="20">
        <f t="shared" si="171"/>
        <v>3.9806453659427267E-12</v>
      </c>
      <c r="CC160" s="59">
        <f t="shared" si="119"/>
        <v>293.33333333333729</v>
      </c>
      <c r="CD160" s="59">
        <f ca="1">AVERAGE(OFFSET($CC$3,0,0,'Données projet'!$E$12+1,1))-AVERAGE(OFFSET($H$3,0,0,'Données projet'!$E$12+1,1))</f>
        <v>91.274378490051788</v>
      </c>
      <c r="CE160" s="59">
        <f t="shared" si="148"/>
        <v>126.60105012427914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4.4850859871487092</v>
      </c>
      <c r="CL160" s="21">
        <f>EXP(-LN(2)/25)*CL159+(1-EXP(-LN(2)/25))/(LN(2)/25)*Calculateur!CG160*Calculateur!CI160*VLOOKUP('Données projet'!$B$12,Paramètres!$A$1:$I$89,3,0)*0.475*44/12</f>
        <v>2.8153896138720342</v>
      </c>
      <c r="CM160" s="21">
        <f>EXP(-LN(2)/2)*CM159+(1-EXP(-LN(2)/2))/(LN(2)/2)*CG160*CJ160*VLOOKUP('Données projet'!$B$12,Paramètres!$A$1:$I$89,3,0)*0.475*44/12</f>
        <v>2.0655190579563883E-9</v>
      </c>
      <c r="CN160" s="22">
        <f t="shared" si="172"/>
        <v>7.3004756030862623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350.09239406910712</v>
      </c>
      <c r="T161" s="59">
        <f t="shared" si="142"/>
        <v>473.30663081727369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31.459308113293005</v>
      </c>
      <c r="AA161" s="21">
        <f>EXP(-LN(2)/25)*AA160+(1-EXP(-LN(2)/25))/(LN(2)/25)*Calculateur!V161*Calculateur!X161*VLOOKUP('Données projet'!$B$9,Paramètres!$A$1:$I$89,3,0)*0.475*44/12</f>
        <v>4.7548612372160246</v>
      </c>
      <c r="AB161" s="21">
        <f>EXP(-LN(2)/2)*AB160+(1-EXP(-LN(2)/2))/(LN(2)/2)*V161*Y161*VLOOKUP('Données projet'!$B$9,Paramètres!$A$1:$I$89,3,0)*0.475*44/12</f>
        <v>2.0318882845606013E-14</v>
      </c>
      <c r="AC161" s="22">
        <f t="shared" si="163"/>
        <v>36.214169350509053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179.4725256147085</v>
      </c>
      <c r="AO161" s="59">
        <f t="shared" si="144"/>
        <v>282.16750121151176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20.732038075233348</v>
      </c>
      <c r="AV161" s="21">
        <f>EXP(-LN(2)/25)*AV160+(1-EXP(-LN(2)/25))/(LN(2)/25)*Calculateur!AQ161*Calculateur!AS161*VLOOKUP('Données projet'!$B$10,Paramètres!$A$1:$I$89,3,0)*0.475*44/12</f>
        <v>3.2280620454113804</v>
      </c>
      <c r="AW161" s="21">
        <f>EXP(-LN(2)/2)*AW160+(1-EXP(-LN(2)/2))/(LN(2)/2)*AQ161*AT161*VLOOKUP('Données projet'!$B$10,Paramètres!$A$1:$I$89,3,0)*0.475*44/12</f>
        <v>7.6597213682426328E-14</v>
      </c>
      <c r="AX161" s="21">
        <f t="shared" si="166"/>
        <v>23.960100120644807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1.064108801074326E-13</v>
      </c>
      <c r="BF161" s="13">
        <f t="shared" si="167"/>
        <v>1.5870730813698654E-12</v>
      </c>
      <c r="BG161" s="20">
        <f t="shared" si="168"/>
        <v>2.9494845662396269E-12</v>
      </c>
      <c r="BH161" s="59">
        <f t="shared" si="116"/>
        <v>293.33333333333627</v>
      </c>
      <c r="BI161" s="59">
        <f ca="1">AVERAGE(OFFSET($BH$3,0,0,'Données projet'!$E$11+1,1))-AVERAGE(OFFSET($H$3,0,0,'Données projet'!$E$11+1,1))</f>
        <v>227.19831549982962</v>
      </c>
      <c r="BJ161" s="59">
        <f t="shared" si="146"/>
        <v>309.84543033784564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26.789344096636572</v>
      </c>
      <c r="BQ161" s="21">
        <f>EXP(-LN(2)/25)*BQ160+(1-EXP(-LN(2)/25))/(LN(2)/25)*Calculateur!BL161*Calculateur!BN161*VLOOKUP('Données projet'!$B$11,Paramètres!$A$1:$I$89,3,0)*0.475*44/12</f>
        <v>4.4014468170060148</v>
      </c>
      <c r="BR161" s="21">
        <f>EXP(-LN(2)/2)*BR160+(1-EXP(-LN(2)/2))/(LN(2)/2)*BL161*BO161*VLOOKUP('Données projet'!$B$11,Paramètres!$A$1:$I$89,3,0)*0.475*44/12</f>
        <v>2.1468557188286724E-13</v>
      </c>
      <c r="BS161" s="22">
        <f t="shared" si="169"/>
        <v>31.1907909136428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2.2737367544323206E-13</v>
      </c>
      <c r="BZ161" s="13">
        <f>BY161*VLOOKUP('Données projet'!$B$12,Paramètres!$A$1:$I$89,3,0)*VLOOKUP('Données projet'!$B$12,Paramètres!$A$1:$I$89,5,0)</f>
        <v>1.4897523215040565E-13</v>
      </c>
      <c r="CA161" s="13">
        <f t="shared" si="170"/>
        <v>2.136562777003313E-12</v>
      </c>
      <c r="CB161" s="20">
        <f t="shared" si="171"/>
        <v>3.9806453659427267E-12</v>
      </c>
      <c r="CC161" s="59">
        <f t="shared" si="119"/>
        <v>293.33333333333729</v>
      </c>
      <c r="CD161" s="59">
        <f ca="1">AVERAGE(OFFSET($CC$3,0,0,'Données projet'!$E$12+1,1))-AVERAGE(OFFSET($H$3,0,0,'Données projet'!$E$12+1,1))</f>
        <v>91.274378490051788</v>
      </c>
      <c r="CE161" s="59">
        <f t="shared" si="148"/>
        <v>126.60105012427914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4.3971361865730536</v>
      </c>
      <c r="CL161" s="21">
        <f>EXP(-LN(2)/25)*CL160+(1-EXP(-LN(2)/25))/(LN(2)/25)*Calculateur!CG161*Calculateur!CI161*VLOOKUP('Données projet'!$B$12,Paramètres!$A$1:$I$89,3,0)*0.475*44/12</f>
        <v>2.7384026368257985</v>
      </c>
      <c r="CM161" s="21">
        <f>EXP(-LN(2)/2)*CM160+(1-EXP(-LN(2)/2))/(LN(2)/2)*CG161*CJ161*VLOOKUP('Données projet'!$B$12,Paramètres!$A$1:$I$89,3,0)*0.475*44/12</f>
        <v>1.4605425325510117E-9</v>
      </c>
      <c r="CN161" s="22">
        <f t="shared" si="172"/>
        <v>7.1355388248593945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350.09239406910712</v>
      </c>
      <c r="T162" s="59">
        <f t="shared" si="142"/>
        <v>473.30663081727369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30.842410269474591</v>
      </c>
      <c r="AA162" s="21">
        <f>EXP(-LN(2)/25)*AA161+(1-EXP(-LN(2)/25))/(LN(2)/25)*Calculateur!V162*Calculateur!X162*VLOOKUP('Données projet'!$B$9,Paramètres!$A$1:$I$89,3,0)*0.475*44/12</f>
        <v>4.6248393066370674</v>
      </c>
      <c r="AB162" s="21">
        <f>EXP(-LN(2)/2)*AB161+(1-EXP(-LN(2)/2))/(LN(2)/2)*V162*Y162*VLOOKUP('Données projet'!$B$9,Paramètres!$A$1:$I$89,3,0)*0.475*44/12</f>
        <v>1.4367619846263024E-14</v>
      </c>
      <c r="AC162" s="22">
        <f t="shared" si="163"/>
        <v>35.467249576111669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179.4725256147085</v>
      </c>
      <c r="AO162" s="59">
        <f t="shared" si="144"/>
        <v>282.16750121151176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20.32549545387263</v>
      </c>
      <c r="AV162" s="21">
        <f>EXP(-LN(2)/25)*AV161+(1-EXP(-LN(2)/25))/(LN(2)/25)*Calculateur!AQ162*Calculateur!AS162*VLOOKUP('Données projet'!$B$10,Paramètres!$A$1:$I$89,3,0)*0.475*44/12</f>
        <v>3.1397905190232009</v>
      </c>
      <c r="AW162" s="21">
        <f>EXP(-LN(2)/2)*AW161+(1-EXP(-LN(2)/2))/(LN(2)/2)*AQ162*AT162*VLOOKUP('Données projet'!$B$10,Paramètres!$A$1:$I$89,3,0)*0.475*44/12</f>
        <v>5.4162409214838658E-14</v>
      </c>
      <c r="AX162" s="21">
        <f t="shared" si="166"/>
        <v>23.465285972895884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1.064108801074326E-13</v>
      </c>
      <c r="BF162" s="13">
        <f t="shared" si="167"/>
        <v>1.5870730813698654E-12</v>
      </c>
      <c r="BG162" s="20">
        <f t="shared" si="168"/>
        <v>2.9494845662396269E-12</v>
      </c>
      <c r="BH162" s="59">
        <f t="shared" si="116"/>
        <v>293.33333333333627</v>
      </c>
      <c r="BI162" s="59">
        <f ca="1">AVERAGE(OFFSET($BH$3,0,0,'Données projet'!$E$11+1,1))-AVERAGE(OFFSET($H$3,0,0,'Données projet'!$E$11+1,1))</f>
        <v>227.19831549982962</v>
      </c>
      <c r="BJ162" s="59">
        <f t="shared" si="146"/>
        <v>309.84543033784564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26.264021398788</v>
      </c>
      <c r="BQ162" s="21">
        <f>EXP(-LN(2)/25)*BQ161+(1-EXP(-LN(2)/25))/(LN(2)/25)*Calculateur!BL162*Calculateur!BN162*VLOOKUP('Données projet'!$B$11,Paramètres!$A$1:$I$89,3,0)*0.475*44/12</f>
        <v>4.2810890223329565</v>
      </c>
      <c r="BR162" s="21">
        <f>EXP(-LN(2)/2)*BR161+(1-EXP(-LN(2)/2))/(LN(2)/2)*BL162*BO162*VLOOKUP('Données projet'!$B$11,Paramètres!$A$1:$I$89,3,0)*0.475*44/12</f>
        <v>1.5180562370128742E-13</v>
      </c>
      <c r="BS162" s="22">
        <f t="shared" si="169"/>
        <v>30.545110421121109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2.2737367544323206E-13</v>
      </c>
      <c r="BZ162" s="13">
        <f>BY162*VLOOKUP('Données projet'!$B$12,Paramètres!$A$1:$I$89,3,0)*VLOOKUP('Données projet'!$B$12,Paramètres!$A$1:$I$89,5,0)</f>
        <v>1.4897523215040565E-13</v>
      </c>
      <c r="CA162" s="13">
        <f t="shared" si="170"/>
        <v>2.136562777003313E-12</v>
      </c>
      <c r="CB162" s="20">
        <f t="shared" si="171"/>
        <v>3.9806453659427267E-12</v>
      </c>
      <c r="CC162" s="59">
        <f t="shared" si="119"/>
        <v>293.33333333333729</v>
      </c>
      <c r="CD162" s="59">
        <f ca="1">AVERAGE(OFFSET($CC$3,0,0,'Données projet'!$E$12+1,1))-AVERAGE(OFFSET($H$3,0,0,'Données projet'!$E$12+1,1))</f>
        <v>91.274378490051788</v>
      </c>
      <c r="CE162" s="59">
        <f t="shared" si="148"/>
        <v>126.60105012427914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4.3109110279426055</v>
      </c>
      <c r="CL162" s="21">
        <f>EXP(-LN(2)/25)*CL161+(1-EXP(-LN(2)/25))/(LN(2)/25)*Calculateur!CG162*Calculateur!CI162*VLOOKUP('Données projet'!$B$12,Paramètres!$A$1:$I$89,3,0)*0.475*44/12</f>
        <v>2.6635208727154609</v>
      </c>
      <c r="CM162" s="21">
        <f>EXP(-LN(2)/2)*CM161+(1-EXP(-LN(2)/2))/(LN(2)/2)*CG162*CJ162*VLOOKUP('Données projet'!$B$12,Paramètres!$A$1:$I$89,3,0)*0.475*44/12</f>
        <v>1.0327595289781942E-9</v>
      </c>
      <c r="CN162" s="22">
        <f t="shared" si="172"/>
        <v>6.9744319016908261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350.09239406910712</v>
      </c>
      <c r="T163" s="59">
        <f t="shared" si="142"/>
        <v>473.30663081727369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30.237609416102927</v>
      </c>
      <c r="AA163" s="21">
        <f>EXP(-LN(2)/25)*AA162+(1-EXP(-LN(2)/25))/(LN(2)/25)*Calculateur!V163*Calculateur!X163*VLOOKUP('Données projet'!$B$9,Paramètres!$A$1:$I$89,3,0)*0.475*44/12</f>
        <v>4.4983728325873482</v>
      </c>
      <c r="AB163" s="21">
        <f>EXP(-LN(2)/2)*AB162+(1-EXP(-LN(2)/2))/(LN(2)/2)*V163*Y163*VLOOKUP('Données projet'!$B$9,Paramètres!$A$1:$I$89,3,0)*0.475*44/12</f>
        <v>1.0159441422803006E-14</v>
      </c>
      <c r="AC163" s="22">
        <f t="shared" si="163"/>
        <v>34.735982248690284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179.4725256147085</v>
      </c>
      <c r="AO163" s="59">
        <f t="shared" si="144"/>
        <v>282.16750121151176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19.926924885350282</v>
      </c>
      <c r="AV163" s="21">
        <f>EXP(-LN(2)/25)*AV162+(1-EXP(-LN(2)/25))/(LN(2)/25)*Calculateur!AQ163*Calculateur!AS163*VLOOKUP('Données projet'!$B$10,Paramètres!$A$1:$I$89,3,0)*0.475*44/12</f>
        <v>3.0539327821661044</v>
      </c>
      <c r="AW163" s="21">
        <f>EXP(-LN(2)/2)*AW162+(1-EXP(-LN(2)/2))/(LN(2)/2)*AQ163*AT163*VLOOKUP('Données projet'!$B$10,Paramètres!$A$1:$I$89,3,0)*0.475*44/12</f>
        <v>3.8298606841213164E-14</v>
      </c>
      <c r="AX163" s="21">
        <f t="shared" si="166"/>
        <v>22.980857667516425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1.064108801074326E-13</v>
      </c>
      <c r="BF163" s="13">
        <f t="shared" si="167"/>
        <v>1.5870730813698654E-12</v>
      </c>
      <c r="BG163" s="20">
        <f t="shared" si="168"/>
        <v>2.9494845662396269E-12</v>
      </c>
      <c r="BH163" s="59">
        <f t="shared" si="116"/>
        <v>293.33333333333627</v>
      </c>
      <c r="BI163" s="59">
        <f ca="1">AVERAGE(OFFSET($BH$3,0,0,'Données projet'!$E$11+1,1))-AVERAGE(OFFSET($H$3,0,0,'Données projet'!$E$11+1,1))</f>
        <v>227.19831549982962</v>
      </c>
      <c r="BJ163" s="59">
        <f t="shared" si="146"/>
        <v>309.84543033784564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25.748999958629028</v>
      </c>
      <c r="BQ163" s="21">
        <f>EXP(-LN(2)/25)*BQ162+(1-EXP(-LN(2)/25))/(LN(2)/25)*Calculateur!BL163*Calculateur!BN163*VLOOKUP('Données projet'!$B$11,Paramètres!$A$1:$I$89,3,0)*0.475*44/12</f>
        <v>4.1640224178845751</v>
      </c>
      <c r="BR163" s="21">
        <f>EXP(-LN(2)/2)*BR162+(1-EXP(-LN(2)/2))/(LN(2)/2)*BL163*BO163*VLOOKUP('Données projet'!$B$11,Paramètres!$A$1:$I$89,3,0)*0.475*44/12</f>
        <v>1.0734278594143362E-13</v>
      </c>
      <c r="BS163" s="22">
        <f t="shared" si="169"/>
        <v>29.913022376513709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2.2737367544323206E-13</v>
      </c>
      <c r="BZ163" s="13">
        <f>BY163*VLOOKUP('Données projet'!$B$12,Paramètres!$A$1:$I$89,3,0)*VLOOKUP('Données projet'!$B$12,Paramètres!$A$1:$I$89,5,0)</f>
        <v>1.4897523215040565E-13</v>
      </c>
      <c r="CA163" s="13">
        <f t="shared" si="170"/>
        <v>2.136562777003313E-12</v>
      </c>
      <c r="CB163" s="20">
        <f t="shared" si="171"/>
        <v>3.9806453659427267E-12</v>
      </c>
      <c r="CC163" s="59">
        <f t="shared" si="119"/>
        <v>293.33333333333729</v>
      </c>
      <c r="CD163" s="59">
        <f ca="1">AVERAGE(OFFSET($CC$3,0,0,'Données projet'!$E$12+1,1))-AVERAGE(OFFSET($H$3,0,0,'Données projet'!$E$12+1,1))</f>
        <v>91.274378490051788</v>
      </c>
      <c r="CE163" s="59">
        <f t="shared" si="148"/>
        <v>126.60105012427914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4.2263766920807466</v>
      </c>
      <c r="CL163" s="21">
        <f>EXP(-LN(2)/25)*CL162+(1-EXP(-LN(2)/25))/(LN(2)/25)*Calculateur!CG163*Calculateur!CI163*VLOOKUP('Données projet'!$B$12,Paramètres!$A$1:$I$89,3,0)*0.475*44/12</f>
        <v>2.5906867543825816</v>
      </c>
      <c r="CM163" s="21">
        <f>EXP(-LN(2)/2)*CM162+(1-EXP(-LN(2)/2))/(LN(2)/2)*CG163*CJ163*VLOOKUP('Données projet'!$B$12,Paramètres!$A$1:$I$89,3,0)*0.475*44/12</f>
        <v>7.3027126627550584E-10</v>
      </c>
      <c r="CN163" s="22">
        <f t="shared" si="172"/>
        <v>6.8170634471935987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350.09239406910712</v>
      </c>
      <c r="T164" s="59">
        <f t="shared" si="142"/>
        <v>473.30663081727369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29.644668338573787</v>
      </c>
      <c r="AA164" s="21">
        <f>EXP(-LN(2)/25)*AA163+(1-EXP(-LN(2)/25))/(LN(2)/25)*Calculateur!V164*Calculateur!X164*VLOOKUP('Données projet'!$B$9,Paramètres!$A$1:$I$89,3,0)*0.475*44/12</f>
        <v>4.3753645909211007</v>
      </c>
      <c r="AB164" s="21">
        <f>EXP(-LN(2)/2)*AB163+(1-EXP(-LN(2)/2))/(LN(2)/2)*V164*Y164*VLOOKUP('Données projet'!$B$9,Paramètres!$A$1:$I$89,3,0)*0.475*44/12</f>
        <v>7.1838099231315122E-15</v>
      </c>
      <c r="AC164" s="22">
        <f t="shared" si="163"/>
        <v>34.020032929494896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179.4725256147085</v>
      </c>
      <c r="AO164" s="59">
        <f t="shared" si="144"/>
        <v>282.16750121151176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19.536170042572614</v>
      </c>
      <c r="AV164" s="21">
        <f>EXP(-LN(2)/25)*AV163+(1-EXP(-LN(2)/25))/(LN(2)/25)*Calculateur!AQ164*Calculateur!AS164*VLOOKUP('Données projet'!$B$10,Paramètres!$A$1:$I$89,3,0)*0.475*44/12</f>
        <v>2.970422829638427</v>
      </c>
      <c r="AW164" s="21">
        <f>EXP(-LN(2)/2)*AW163+(1-EXP(-LN(2)/2))/(LN(2)/2)*AQ164*AT164*VLOOKUP('Données projet'!$B$10,Paramètres!$A$1:$I$89,3,0)*0.475*44/12</f>
        <v>2.7081204607419329E-14</v>
      </c>
      <c r="AX164" s="21">
        <f t="shared" si="166"/>
        <v>22.506592872211069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1.064108801074326E-13</v>
      </c>
      <c r="BF164" s="13">
        <f t="shared" si="167"/>
        <v>1.5870730813698654E-12</v>
      </c>
      <c r="BG164" s="20">
        <f t="shared" si="168"/>
        <v>2.9494845662396269E-12</v>
      </c>
      <c r="BH164" s="59">
        <f t="shared" si="116"/>
        <v>293.33333333333627</v>
      </c>
      <c r="BI164" s="59">
        <f ca="1">AVERAGE(OFFSET($BH$3,0,0,'Données projet'!$E$11+1,1))-AVERAGE(OFFSET($H$3,0,0,'Données projet'!$E$11+1,1))</f>
        <v>227.19831549982962</v>
      </c>
      <c r="BJ164" s="59">
        <f t="shared" si="146"/>
        <v>309.84543033784564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25.244077774779516</v>
      </c>
      <c r="BQ164" s="21">
        <f>EXP(-LN(2)/25)*BQ163+(1-EXP(-LN(2)/25))/(LN(2)/25)*Calculateur!BL164*Calculateur!BN164*VLOOKUP('Données projet'!$B$11,Paramètres!$A$1:$I$89,3,0)*0.475*44/12</f>
        <v>4.0501570058910996</v>
      </c>
      <c r="BR164" s="21">
        <f>EXP(-LN(2)/2)*BR163+(1-EXP(-LN(2)/2))/(LN(2)/2)*BL164*BO164*VLOOKUP('Données projet'!$B$11,Paramètres!$A$1:$I$89,3,0)*0.475*44/12</f>
        <v>7.5902811850643711E-14</v>
      </c>
      <c r="BS164" s="22">
        <f t="shared" si="169"/>
        <v>29.294234780670688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2.2737367544323206E-13</v>
      </c>
      <c r="BZ164" s="13">
        <f>BY164*VLOOKUP('Données projet'!$B$12,Paramètres!$A$1:$I$89,3,0)*VLOOKUP('Données projet'!$B$12,Paramètres!$A$1:$I$89,5,0)</f>
        <v>1.4897523215040565E-13</v>
      </c>
      <c r="CA164" s="13">
        <f t="shared" si="170"/>
        <v>2.136562777003313E-12</v>
      </c>
      <c r="CB164" s="20">
        <f t="shared" si="171"/>
        <v>3.9806453659427267E-12</v>
      </c>
      <c r="CC164" s="59">
        <f t="shared" si="119"/>
        <v>293.33333333333729</v>
      </c>
      <c r="CD164" s="59">
        <f ca="1">AVERAGE(OFFSET($CC$3,0,0,'Données projet'!$E$12+1,1))-AVERAGE(OFFSET($H$3,0,0,'Données projet'!$E$12+1,1))</f>
        <v>91.274378490051788</v>
      </c>
      <c r="CE164" s="59">
        <f t="shared" si="148"/>
        <v>126.60105012427914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4.1435000229842851</v>
      </c>
      <c r="CL164" s="21">
        <f>EXP(-LN(2)/25)*CL163+(1-EXP(-LN(2)/25))/(LN(2)/25)*Calculateur!CG164*Calculateur!CI164*VLOOKUP('Données projet'!$B$12,Paramètres!$A$1:$I$89,3,0)*0.475*44/12</f>
        <v>2.5198442888456944</v>
      </c>
      <c r="CM164" s="21">
        <f>EXP(-LN(2)/2)*CM163+(1-EXP(-LN(2)/2))/(LN(2)/2)*CG164*CJ164*VLOOKUP('Données projet'!$B$12,Paramètres!$A$1:$I$89,3,0)*0.475*44/12</f>
        <v>5.1637976448909708E-10</v>
      </c>
      <c r="CN164" s="22">
        <f t="shared" si="172"/>
        <v>6.6633443123463589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350.09239406910712</v>
      </c>
      <c r="T165" s="59">
        <f t="shared" si="142"/>
        <v>473.30663081727369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29.063354473916647</v>
      </c>
      <c r="AA165" s="21">
        <f>EXP(-LN(2)/25)*AA164+(1-EXP(-LN(2)/25))/(LN(2)/25)*Calculateur!V165*Calculateur!X165*VLOOKUP('Données projet'!$B$9,Paramètres!$A$1:$I$89,3,0)*0.475*44/12</f>
        <v>4.2557200160919395</v>
      </c>
      <c r="AB165" s="21">
        <f>EXP(-LN(2)/2)*AB164+(1-EXP(-LN(2)/2))/(LN(2)/2)*V165*Y165*VLOOKUP('Données projet'!$B$9,Paramètres!$A$1:$I$89,3,0)*0.475*44/12</f>
        <v>5.0797207114015032E-15</v>
      </c>
      <c r="AC165" s="22">
        <f t="shared" si="163"/>
        <v>33.319074490008596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179.4725256147085</v>
      </c>
      <c r="AO165" s="59">
        <f t="shared" si="144"/>
        <v>282.16750121151176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19.153077663924893</v>
      </c>
      <c r="AV165" s="21">
        <f>EXP(-LN(2)/25)*AV164+(1-EXP(-LN(2)/25))/(LN(2)/25)*Calculateur!AQ165*Calculateur!AS165*VLOOKUP('Données projet'!$B$10,Paramètres!$A$1:$I$89,3,0)*0.475*44/12</f>
        <v>2.8891964611542167</v>
      </c>
      <c r="AW165" s="21">
        <f>EXP(-LN(2)/2)*AW164+(1-EXP(-LN(2)/2))/(LN(2)/2)*AQ165*AT165*VLOOKUP('Données projet'!$B$10,Paramètres!$A$1:$I$89,3,0)*0.475*44/12</f>
        <v>1.9149303420606582E-14</v>
      </c>
      <c r="AX165" s="21">
        <f t="shared" si="166"/>
        <v>22.042274125079128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1.064108801074326E-13</v>
      </c>
      <c r="BF165" s="13">
        <f t="shared" si="167"/>
        <v>1.5870730813698654E-12</v>
      </c>
      <c r="BG165" s="20">
        <f t="shared" si="168"/>
        <v>2.9494845662396269E-12</v>
      </c>
      <c r="BH165" s="59">
        <f t="shared" si="116"/>
        <v>293.33333333333627</v>
      </c>
      <c r="BI165" s="59">
        <f ca="1">AVERAGE(OFFSET($BH$3,0,0,'Données projet'!$E$11+1,1))-AVERAGE(OFFSET($H$3,0,0,'Données projet'!$E$11+1,1))</f>
        <v>227.19831549982962</v>
      </c>
      <c r="BJ165" s="59">
        <f t="shared" si="146"/>
        <v>309.84543033784564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24.74905680698317</v>
      </c>
      <c r="BQ165" s="21">
        <f>EXP(-LN(2)/25)*BQ164+(1-EXP(-LN(2)/25))/(LN(2)/25)*Calculateur!BL165*Calculateur!BN165*VLOOKUP('Données projet'!$B$11,Paramètres!$A$1:$I$89,3,0)*0.475*44/12</f>
        <v>3.9394052495765073</v>
      </c>
      <c r="BR165" s="21">
        <f>EXP(-LN(2)/2)*BR164+(1-EXP(-LN(2)/2))/(LN(2)/2)*BL165*BO165*VLOOKUP('Données projet'!$B$11,Paramètres!$A$1:$I$89,3,0)*0.475*44/12</f>
        <v>5.367139297071681E-14</v>
      </c>
      <c r="BS165" s="22">
        <f t="shared" si="169"/>
        <v>28.688462056559729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2.2737367544323206E-13</v>
      </c>
      <c r="BZ165" s="13">
        <f>BY165*VLOOKUP('Données projet'!$B$12,Paramètres!$A$1:$I$89,3,0)*VLOOKUP('Données projet'!$B$12,Paramètres!$A$1:$I$89,5,0)</f>
        <v>1.4897523215040565E-13</v>
      </c>
      <c r="CA165" s="13">
        <f t="shared" si="170"/>
        <v>2.136562777003313E-12</v>
      </c>
      <c r="CB165" s="20">
        <f t="shared" si="171"/>
        <v>3.9806453659427267E-12</v>
      </c>
      <c r="CC165" s="59">
        <f t="shared" si="119"/>
        <v>293.33333333333729</v>
      </c>
      <c r="CD165" s="59">
        <f ca="1">AVERAGE(OFFSET($CC$3,0,0,'Données projet'!$E$12+1,1))-AVERAGE(OFFSET($H$3,0,0,'Données projet'!$E$12+1,1))</f>
        <v>91.274378490051788</v>
      </c>
      <c r="CE165" s="59">
        <f t="shared" si="148"/>
        <v>126.60105012427914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4.0622485148190286</v>
      </c>
      <c r="CL165" s="21">
        <f>EXP(-LN(2)/25)*CL164+(1-EXP(-LN(2)/25))/(LN(2)/25)*Calculateur!CG165*Calculateur!CI165*VLOOKUP('Données projet'!$B$12,Paramètres!$A$1:$I$89,3,0)*0.475*44/12</f>
        <v>2.4509390142543568</v>
      </c>
      <c r="CM165" s="21">
        <f>EXP(-LN(2)/2)*CM164+(1-EXP(-LN(2)/2))/(LN(2)/2)*CG165*CJ165*VLOOKUP('Données projet'!$B$12,Paramètres!$A$1:$I$89,3,0)*0.475*44/12</f>
        <v>3.6513563313775292E-10</v>
      </c>
      <c r="CN165" s="22">
        <f t="shared" si="172"/>
        <v>6.5131875294385209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350.09239406910712</v>
      </c>
      <c r="T166" s="59">
        <f t="shared" si="142"/>
        <v>473.30663081727369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28.493439819578985</v>
      </c>
      <c r="AA166" s="21">
        <f>EXP(-LN(2)/25)*AA165+(1-EXP(-LN(2)/25))/(LN(2)/25)*Calculateur!V166*Calculateur!X166*VLOOKUP('Données projet'!$B$9,Paramètres!$A$1:$I$89,3,0)*0.475*44/12</f>
        <v>4.1393471284533163</v>
      </c>
      <c r="AB166" s="21">
        <f>EXP(-LN(2)/2)*AB165+(1-EXP(-LN(2)/2))/(LN(2)/2)*V166*Y166*VLOOKUP('Données projet'!$B$9,Paramètres!$A$1:$I$89,3,0)*0.475*44/12</f>
        <v>3.5919049615657561E-15</v>
      </c>
      <c r="AC166" s="22">
        <f t="shared" si="163"/>
        <v>32.632786948032312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179.4725256147085</v>
      </c>
      <c r="AO166" s="59">
        <f t="shared" si="144"/>
        <v>282.16750121151176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18.777497493159178</v>
      </c>
      <c r="AV166" s="21">
        <f>EXP(-LN(2)/25)*AV165+(1-EXP(-LN(2)/25))/(LN(2)/25)*Calculateur!AQ166*Calculateur!AS166*VLOOKUP('Données projet'!$B$10,Paramètres!$A$1:$I$89,3,0)*0.475*44/12</f>
        <v>2.8101912319877163</v>
      </c>
      <c r="AW166" s="21">
        <f>EXP(-LN(2)/2)*AW165+(1-EXP(-LN(2)/2))/(LN(2)/2)*AQ166*AT166*VLOOKUP('Données projet'!$B$10,Paramètres!$A$1:$I$89,3,0)*0.475*44/12</f>
        <v>1.3540602303709665E-14</v>
      </c>
      <c r="AX166" s="21">
        <f t="shared" si="166"/>
        <v>21.587688725146908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1.064108801074326E-13</v>
      </c>
      <c r="BF166" s="13">
        <f t="shared" si="167"/>
        <v>1.5870730813698654E-12</v>
      </c>
      <c r="BG166" s="20">
        <f t="shared" si="168"/>
        <v>2.9494845662396269E-12</v>
      </c>
      <c r="BH166" s="59">
        <f t="shared" si="116"/>
        <v>293.33333333333627</v>
      </c>
      <c r="BI166" s="59">
        <f ca="1">AVERAGE(OFFSET($BH$3,0,0,'Données projet'!$E$11+1,1))-AVERAGE(OFFSET($H$3,0,0,'Données projet'!$E$11+1,1))</f>
        <v>227.19831549982962</v>
      </c>
      <c r="BJ166" s="59">
        <f t="shared" si="146"/>
        <v>309.84543033784564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24.26374289843233</v>
      </c>
      <c r="BQ166" s="21">
        <f>EXP(-LN(2)/25)*BQ165+(1-EXP(-LN(2)/25))/(LN(2)/25)*Calculateur!BL166*Calculateur!BN166*VLOOKUP('Données projet'!$B$11,Paramètres!$A$1:$I$89,3,0)*0.475*44/12</f>
        <v>3.8316820058625192</v>
      </c>
      <c r="BR166" s="21">
        <f>EXP(-LN(2)/2)*BR165+(1-EXP(-LN(2)/2))/(LN(2)/2)*BL166*BO166*VLOOKUP('Données projet'!$B$11,Paramètres!$A$1:$I$89,3,0)*0.475*44/12</f>
        <v>3.7951405925321856E-14</v>
      </c>
      <c r="BS166" s="22">
        <f t="shared" si="169"/>
        <v>28.095424904294887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2.2737367544323206E-13</v>
      </c>
      <c r="BZ166" s="13">
        <f>BY166*VLOOKUP('Données projet'!$B$12,Paramètres!$A$1:$I$89,3,0)*VLOOKUP('Données projet'!$B$12,Paramètres!$A$1:$I$89,5,0)</f>
        <v>1.4897523215040565E-13</v>
      </c>
      <c r="CA166" s="13">
        <f t="shared" si="170"/>
        <v>2.136562777003313E-12</v>
      </c>
      <c r="CB166" s="20">
        <f t="shared" si="171"/>
        <v>3.9806453659427267E-12</v>
      </c>
      <c r="CC166" s="59">
        <f t="shared" si="119"/>
        <v>293.33333333333729</v>
      </c>
      <c r="CD166" s="59">
        <f ca="1">AVERAGE(OFFSET($CC$3,0,0,'Données projet'!$E$12+1,1))-AVERAGE(OFFSET($H$3,0,0,'Données projet'!$E$12+1,1))</f>
        <v>91.274378490051788</v>
      </c>
      <c r="CE166" s="59">
        <f t="shared" si="148"/>
        <v>126.60105012427914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3.9825902991703663</v>
      </c>
      <c r="CL166" s="21">
        <f>EXP(-LN(2)/25)*CL165+(1-EXP(-LN(2)/25))/(LN(2)/25)*Calculateur!CG166*Calculateur!CI166*VLOOKUP('Données projet'!$B$12,Paramètres!$A$1:$I$89,3,0)*0.475*44/12</f>
        <v>2.3839179580202905</v>
      </c>
      <c r="CM166" s="21">
        <f>EXP(-LN(2)/2)*CM165+(1-EXP(-LN(2)/2))/(LN(2)/2)*CG166*CJ166*VLOOKUP('Données projet'!$B$12,Paramètres!$A$1:$I$89,3,0)*0.475*44/12</f>
        <v>2.5818988224454854E-10</v>
      </c>
      <c r="CN166" s="22">
        <f t="shared" si="172"/>
        <v>6.3665082574488467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350.09239406910712</v>
      </c>
      <c r="T167" s="59">
        <f t="shared" si="142"/>
        <v>473.30663081727369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27.93470084399927</v>
      </c>
      <c r="AA167" s="21">
        <f>EXP(-LN(2)/25)*AA166+(1-EXP(-LN(2)/25))/(LN(2)/25)*Calculateur!V167*Calculateur!X167*VLOOKUP('Données projet'!$B$9,Paramètres!$A$1:$I$89,3,0)*0.475*44/12</f>
        <v>4.0261564635469558</v>
      </c>
      <c r="AB167" s="21">
        <f>EXP(-LN(2)/2)*AB166+(1-EXP(-LN(2)/2))/(LN(2)/2)*V167*Y167*VLOOKUP('Données projet'!$B$9,Paramètres!$A$1:$I$89,3,0)*0.475*44/12</f>
        <v>2.5398603557007516E-15</v>
      </c>
      <c r="AC167" s="22">
        <f t="shared" si="163"/>
        <v>31.960857307546231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179.4725256147085</v>
      </c>
      <c r="AO167" s="59">
        <f t="shared" si="144"/>
        <v>282.16750121151176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18.409282220460895</v>
      </c>
      <c r="AV167" s="21">
        <f>EXP(-LN(2)/25)*AV166+(1-EXP(-LN(2)/25))/(LN(2)/25)*Calculateur!AQ167*Calculateur!AS167*VLOOKUP('Données projet'!$B$10,Paramètres!$A$1:$I$89,3,0)*0.475*44/12</f>
        <v>2.7333464049674778</v>
      </c>
      <c r="AW167" s="21">
        <f>EXP(-LN(2)/2)*AW166+(1-EXP(-LN(2)/2))/(LN(2)/2)*AQ167*AT167*VLOOKUP('Données projet'!$B$10,Paramètres!$A$1:$I$89,3,0)*0.475*44/12</f>
        <v>9.574651710303291E-15</v>
      </c>
      <c r="AX167" s="21">
        <f t="shared" si="166"/>
        <v>21.142628625428383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1.064108801074326E-13</v>
      </c>
      <c r="BF167" s="13">
        <f t="shared" si="167"/>
        <v>1.5870730813698654E-12</v>
      </c>
      <c r="BG167" s="20">
        <f t="shared" si="168"/>
        <v>2.9494845662396269E-12</v>
      </c>
      <c r="BH167" s="59">
        <f t="shared" si="116"/>
        <v>293.33333333333627</v>
      </c>
      <c r="BI167" s="59">
        <f ca="1">AVERAGE(OFFSET($BH$3,0,0,'Données projet'!$E$11+1,1))-AVERAGE(OFFSET($H$3,0,0,'Données projet'!$E$11+1,1))</f>
        <v>227.19831549982962</v>
      </c>
      <c r="BJ167" s="59">
        <f t="shared" si="146"/>
        <v>309.84543033784564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23.787945699615918</v>
      </c>
      <c r="BQ167" s="21">
        <f>EXP(-LN(2)/25)*BQ166+(1-EXP(-LN(2)/25))/(LN(2)/25)*Calculateur!BL167*Calculateur!BN167*VLOOKUP('Données projet'!$B$11,Paramètres!$A$1:$I$89,3,0)*0.475*44/12</f>
        <v>3.7269044599128094</v>
      </c>
      <c r="BR167" s="21">
        <f>EXP(-LN(2)/2)*BR166+(1-EXP(-LN(2)/2))/(LN(2)/2)*BL167*BO167*VLOOKUP('Données projet'!$B$11,Paramètres!$A$1:$I$89,3,0)*0.475*44/12</f>
        <v>2.6835696485358405E-14</v>
      </c>
      <c r="BS167" s="22">
        <f t="shared" si="169"/>
        <v>27.514850159528756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2.2737367544323206E-13</v>
      </c>
      <c r="BZ167" s="13">
        <f>BY167*VLOOKUP('Données projet'!$B$12,Paramètres!$A$1:$I$89,3,0)*VLOOKUP('Données projet'!$B$12,Paramètres!$A$1:$I$89,5,0)</f>
        <v>1.4897523215040565E-13</v>
      </c>
      <c r="CA167" s="13">
        <f t="shared" si="170"/>
        <v>2.136562777003313E-12</v>
      </c>
      <c r="CB167" s="20">
        <f t="shared" si="171"/>
        <v>3.9806453659427267E-12</v>
      </c>
      <c r="CC167" s="59">
        <f t="shared" si="119"/>
        <v>293.33333333333729</v>
      </c>
      <c r="CD167" s="59">
        <f ca="1">AVERAGE(OFFSET($CC$3,0,0,'Données projet'!$E$12+1,1))-AVERAGE(OFFSET($H$3,0,0,'Données projet'!$E$12+1,1))</f>
        <v>91.274378490051788</v>
      </c>
      <c r="CE167" s="59">
        <f t="shared" si="148"/>
        <v>126.60105012427914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3.9044941325438605</v>
      </c>
      <c r="CL167" s="21">
        <f>EXP(-LN(2)/25)*CL166+(1-EXP(-LN(2)/25))/(LN(2)/25)*Calculateur!CG167*Calculateur!CI167*VLOOKUP('Données projet'!$B$12,Paramètres!$A$1:$I$89,3,0)*0.475*44/12</f>
        <v>2.3187295960934287</v>
      </c>
      <c r="CM167" s="21">
        <f>EXP(-LN(2)/2)*CM166+(1-EXP(-LN(2)/2))/(LN(2)/2)*CG167*CJ167*VLOOKUP('Données projet'!$B$12,Paramètres!$A$1:$I$89,3,0)*0.475*44/12</f>
        <v>1.8256781656887646E-10</v>
      </c>
      <c r="CN167" s="22">
        <f t="shared" si="172"/>
        <v>6.2232237288198569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350.09239406910712</v>
      </c>
      <c r="T168" s="59">
        <f t="shared" si="142"/>
        <v>473.30663081727369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27.386918398933549</v>
      </c>
      <c r="AA168" s="21">
        <f>EXP(-LN(2)/25)*AA167+(1-EXP(-LN(2)/25))/(LN(2)/25)*Calculateur!V168*Calculateur!X168*VLOOKUP('Données projet'!$B$9,Paramètres!$A$1:$I$89,3,0)*0.475*44/12</f>
        <v>3.9160610033248977</v>
      </c>
      <c r="AB168" s="21">
        <f>EXP(-LN(2)/2)*AB167+(1-EXP(-LN(2)/2))/(LN(2)/2)*V168*Y168*VLOOKUP('Données projet'!$B$9,Paramètres!$A$1:$I$89,3,0)*0.475*44/12</f>
        <v>1.7959524807828781E-15</v>
      </c>
      <c r="AC168" s="22">
        <f t="shared" si="163"/>
        <v>31.302979402258451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179.4725256147085</v>
      </c>
      <c r="AO168" s="59">
        <f t="shared" si="144"/>
        <v>282.16750121151176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18.048287424671084</v>
      </c>
      <c r="AV168" s="21">
        <f>EXP(-LN(2)/25)*AV167+(1-EXP(-LN(2)/25))/(LN(2)/25)*Calculateur!AQ168*Calculateur!AS168*VLOOKUP('Données projet'!$B$10,Paramètres!$A$1:$I$89,3,0)*0.475*44/12</f>
        <v>2.6586029037832017</v>
      </c>
      <c r="AW168" s="21">
        <f>EXP(-LN(2)/2)*AW167+(1-EXP(-LN(2)/2))/(LN(2)/2)*AQ168*AT168*VLOOKUP('Données projet'!$B$10,Paramètres!$A$1:$I$89,3,0)*0.475*44/12</f>
        <v>6.7703011518548323E-15</v>
      </c>
      <c r="AX168" s="21">
        <f t="shared" si="166"/>
        <v>20.706890328454293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1.064108801074326E-13</v>
      </c>
      <c r="BF168" s="13">
        <f t="shared" si="167"/>
        <v>1.5870730813698654E-12</v>
      </c>
      <c r="BG168" s="20">
        <f t="shared" si="168"/>
        <v>2.9494845662396269E-12</v>
      </c>
      <c r="BH168" s="59">
        <f t="shared" si="116"/>
        <v>293.33333333333627</v>
      </c>
      <c r="BI168" s="59">
        <f ca="1">AVERAGE(OFFSET($BH$3,0,0,'Données projet'!$E$11+1,1))-AVERAGE(OFFSET($H$3,0,0,'Données projet'!$E$11+1,1))</f>
        <v>227.19831549982962</v>
      </c>
      <c r="BJ168" s="59">
        <f t="shared" si="146"/>
        <v>309.84543033784564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23.321478593660661</v>
      </c>
      <c r="BQ168" s="21">
        <f>EXP(-LN(2)/25)*BQ167+(1-EXP(-LN(2)/25))/(LN(2)/25)*Calculateur!BL168*Calculateur!BN168*VLOOKUP('Données projet'!$B$11,Paramètres!$A$1:$I$89,3,0)*0.475*44/12</f>
        <v>3.6249920614671058</v>
      </c>
      <c r="BR168" s="21">
        <f>EXP(-LN(2)/2)*BR167+(1-EXP(-LN(2)/2))/(LN(2)/2)*BL168*BO168*VLOOKUP('Données projet'!$B$11,Paramètres!$A$1:$I$89,3,0)*0.475*44/12</f>
        <v>1.8975702962660928E-14</v>
      </c>
      <c r="BS168" s="22">
        <f t="shared" si="169"/>
        <v>26.946470655127786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2.2737367544323206E-13</v>
      </c>
      <c r="BZ168" s="13">
        <f>BY168*VLOOKUP('Données projet'!$B$12,Paramètres!$A$1:$I$89,3,0)*VLOOKUP('Données projet'!$B$12,Paramètres!$A$1:$I$89,5,0)</f>
        <v>1.4897523215040565E-13</v>
      </c>
      <c r="CA168" s="13">
        <f t="shared" si="170"/>
        <v>2.136562777003313E-12</v>
      </c>
      <c r="CB168" s="20">
        <f t="shared" si="171"/>
        <v>3.9806453659427267E-12</v>
      </c>
      <c r="CC168" s="59">
        <f t="shared" si="119"/>
        <v>293.33333333333729</v>
      </c>
      <c r="CD168" s="59">
        <f ca="1">AVERAGE(OFFSET($CC$3,0,0,'Données projet'!$E$12+1,1))-AVERAGE(OFFSET($H$3,0,0,'Données projet'!$E$12+1,1))</f>
        <v>91.274378490051788</v>
      </c>
      <c r="CE168" s="59">
        <f t="shared" si="148"/>
        <v>126.60105012427914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3.8279293841109419</v>
      </c>
      <c r="CL168" s="21">
        <f>EXP(-LN(2)/25)*CL167+(1-EXP(-LN(2)/25))/(LN(2)/25)*Calculateur!CG168*Calculateur!CI168*VLOOKUP('Données projet'!$B$12,Paramètres!$A$1:$I$89,3,0)*0.475*44/12</f>
        <v>2.2553238133515641</v>
      </c>
      <c r="CM168" s="21">
        <f>EXP(-LN(2)/2)*CM167+(1-EXP(-LN(2)/2))/(LN(2)/2)*CG168*CJ168*VLOOKUP('Données projet'!$B$12,Paramètres!$A$1:$I$89,3,0)*0.475*44/12</f>
        <v>1.2909494112227427E-10</v>
      </c>
      <c r="CN168" s="22">
        <f t="shared" si="172"/>
        <v>6.0832531975916009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350.09239406910712</v>
      </c>
      <c r="T169" s="59">
        <f t="shared" si="142"/>
        <v>473.30663081727369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26.849877633501265</v>
      </c>
      <c r="AA169" s="21">
        <f>EXP(-LN(2)/25)*AA168+(1-EXP(-LN(2)/25))/(LN(2)/25)*Calculateur!V169*Calculateur!X169*VLOOKUP('Données projet'!$B$9,Paramètres!$A$1:$I$89,3,0)*0.475*44/12</f>
        <v>3.8089761092522805</v>
      </c>
      <c r="AB169" s="21">
        <f>EXP(-LN(2)/2)*AB168+(1-EXP(-LN(2)/2))/(LN(2)/2)*V169*Y169*VLOOKUP('Données projet'!$B$9,Paramètres!$A$1:$I$89,3,0)*0.475*44/12</f>
        <v>1.2699301778503758E-15</v>
      </c>
      <c r="AC169" s="22">
        <f t="shared" si="163"/>
        <v>30.658853742753546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179.4725256147085</v>
      </c>
      <c r="AO169" s="59">
        <f t="shared" si="144"/>
        <v>282.16750121151176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17.694371516641628</v>
      </c>
      <c r="AV169" s="21">
        <f>EXP(-LN(2)/25)*AV168+(1-EXP(-LN(2)/25))/(LN(2)/25)*Calculateur!AQ169*Calculateur!AS169*VLOOKUP('Données projet'!$B$10,Paramètres!$A$1:$I$89,3,0)*0.475*44/12</f>
        <v>2.5859032675693996</v>
      </c>
      <c r="AW169" s="21">
        <f>EXP(-LN(2)/2)*AW168+(1-EXP(-LN(2)/2))/(LN(2)/2)*AQ169*AT169*VLOOKUP('Données projet'!$B$10,Paramètres!$A$1:$I$89,3,0)*0.475*44/12</f>
        <v>4.7873258551516455E-15</v>
      </c>
      <c r="AX169" s="21">
        <f t="shared" si="166"/>
        <v>20.280274784211031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1.064108801074326E-13</v>
      </c>
      <c r="BF169" s="13">
        <f t="shared" si="167"/>
        <v>1.5870730813698654E-12</v>
      </c>
      <c r="BG169" s="20">
        <f t="shared" si="168"/>
        <v>2.9494845662396269E-12</v>
      </c>
      <c r="BH169" s="59">
        <f t="shared" si="116"/>
        <v>293.33333333333627</v>
      </c>
      <c r="BI169" s="59">
        <f ca="1">AVERAGE(OFFSET($BH$3,0,0,'Données projet'!$E$11+1,1))-AVERAGE(OFFSET($H$3,0,0,'Données projet'!$E$11+1,1))</f>
        <v>227.19831549982962</v>
      </c>
      <c r="BJ169" s="59">
        <f t="shared" si="146"/>
        <v>309.84543033784564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22.864158623136344</v>
      </c>
      <c r="BQ169" s="21">
        <f>EXP(-LN(2)/25)*BQ168+(1-EXP(-LN(2)/25))/(LN(2)/25)*Calculateur!BL169*Calculateur!BN169*VLOOKUP('Données projet'!$B$11,Paramètres!$A$1:$I$89,3,0)*0.475*44/12</f>
        <v>3.5258664629162402</v>
      </c>
      <c r="BR169" s="21">
        <f>EXP(-LN(2)/2)*BR168+(1-EXP(-LN(2)/2))/(LN(2)/2)*BL169*BO169*VLOOKUP('Données projet'!$B$11,Paramètres!$A$1:$I$89,3,0)*0.475*44/12</f>
        <v>1.3417848242679202E-14</v>
      </c>
      <c r="BS169" s="22">
        <f t="shared" si="169"/>
        <v>26.390025086052599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2.2737367544323206E-13</v>
      </c>
      <c r="BZ169" s="13">
        <f>BY169*VLOOKUP('Données projet'!$B$12,Paramètres!$A$1:$I$89,3,0)*VLOOKUP('Données projet'!$B$12,Paramètres!$A$1:$I$89,5,0)</f>
        <v>1.4897523215040565E-13</v>
      </c>
      <c r="CA169" s="13">
        <f t="shared" si="170"/>
        <v>2.136562777003313E-12</v>
      </c>
      <c r="CB169" s="20">
        <f t="shared" si="171"/>
        <v>3.9806453659427267E-12</v>
      </c>
      <c r="CC169" s="59">
        <f t="shared" si="119"/>
        <v>293.33333333333729</v>
      </c>
      <c r="CD169" s="59">
        <f ca="1">AVERAGE(OFFSET($CC$3,0,0,'Données projet'!$E$12+1,1))-AVERAGE(OFFSET($H$3,0,0,'Données projet'!$E$12+1,1))</f>
        <v>91.274378490051788</v>
      </c>
      <c r="CE169" s="59">
        <f t="shared" si="148"/>
        <v>126.60105012427914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3.7528660236949074</v>
      </c>
      <c r="CL169" s="21">
        <f>EXP(-LN(2)/25)*CL168+(1-EXP(-LN(2)/25))/(LN(2)/25)*Calculateur!CG169*Calculateur!CI169*VLOOKUP('Données projet'!$B$12,Paramètres!$A$1:$I$89,3,0)*0.475*44/12</f>
        <v>2.1936518650731407</v>
      </c>
      <c r="CM169" s="21">
        <f>EXP(-LN(2)/2)*CM168+(1-EXP(-LN(2)/2))/(LN(2)/2)*CG169*CJ169*VLOOKUP('Données projet'!$B$12,Paramètres!$A$1:$I$89,3,0)*0.475*44/12</f>
        <v>9.128390828443823E-11</v>
      </c>
      <c r="CN169" s="22">
        <f t="shared" si="172"/>
        <v>5.946517888859332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350.09239406910712</v>
      </c>
      <c r="T170" s="59">
        <f t="shared" si="142"/>
        <v>473.30663081727369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26.323367909916588</v>
      </c>
      <c r="AA170" s="21">
        <f>EXP(-LN(2)/25)*AA169+(1-EXP(-LN(2)/25))/(LN(2)/25)*Calculateur!V170*Calculateur!X170*VLOOKUP('Données projet'!$B$9,Paramètres!$A$1:$I$89,3,0)*0.475*44/12</f>
        <v>3.7048194572394286</v>
      </c>
      <c r="AB170" s="21">
        <f>EXP(-LN(2)/2)*AB169+(1-EXP(-LN(2)/2))/(LN(2)/2)*V170*Y170*VLOOKUP('Données projet'!$B$9,Paramètres!$A$1:$I$89,3,0)*0.475*44/12</f>
        <v>8.9797624039143903E-16</v>
      </c>
      <c r="AC170" s="22">
        <f t="shared" si="163"/>
        <v>30.028187367156015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179.4725256147085</v>
      </c>
      <c r="AO170" s="59">
        <f t="shared" si="144"/>
        <v>282.16750121151176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17.34739568370124</v>
      </c>
      <c r="AV170" s="21">
        <f>EXP(-LN(2)/25)*AV169+(1-EXP(-LN(2)/25))/(LN(2)/25)*Calculateur!AQ170*Calculateur!AS170*VLOOKUP('Données projet'!$B$10,Paramètres!$A$1:$I$89,3,0)*0.475*44/12</f>
        <v>2.5151916067309719</v>
      </c>
      <c r="AW170" s="21">
        <f>EXP(-LN(2)/2)*AW169+(1-EXP(-LN(2)/2))/(LN(2)/2)*AQ170*AT170*VLOOKUP('Données projet'!$B$10,Paramètres!$A$1:$I$89,3,0)*0.475*44/12</f>
        <v>3.3851505759274161E-15</v>
      </c>
      <c r="AX170" s="21">
        <f t="shared" si="166"/>
        <v>19.862587290432216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1.064108801074326E-13</v>
      </c>
      <c r="BF170" s="13">
        <f t="shared" si="167"/>
        <v>1.5870730813698654E-12</v>
      </c>
      <c r="BG170" s="20">
        <f t="shared" si="168"/>
        <v>2.9494845662396269E-12</v>
      </c>
      <c r="BH170" s="59">
        <f t="shared" si="116"/>
        <v>293.33333333333627</v>
      </c>
      <c r="BI170" s="59">
        <f ca="1">AVERAGE(OFFSET($BH$3,0,0,'Données projet'!$E$11+1,1))-AVERAGE(OFFSET($H$3,0,0,'Données projet'!$E$11+1,1))</f>
        <v>227.19831549982962</v>
      </c>
      <c r="BJ170" s="59">
        <f t="shared" si="146"/>
        <v>309.84543033784564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22.41580641829637</v>
      </c>
      <c r="BQ170" s="21">
        <f>EXP(-LN(2)/25)*BQ169+(1-EXP(-LN(2)/25))/(LN(2)/25)*Calculateur!BL170*Calculateur!BN170*VLOOKUP('Données projet'!$B$11,Paramètres!$A$1:$I$89,3,0)*0.475*44/12</f>
        <v>3.4294514590705369</v>
      </c>
      <c r="BR170" s="21">
        <f>EXP(-LN(2)/2)*BR169+(1-EXP(-LN(2)/2))/(LN(2)/2)*BL170*BO170*VLOOKUP('Données projet'!$B$11,Paramètres!$A$1:$I$89,3,0)*0.475*44/12</f>
        <v>9.4878514813304639E-15</v>
      </c>
      <c r="BS170" s="22">
        <f t="shared" si="169"/>
        <v>25.845257877366919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2.2737367544323206E-13</v>
      </c>
      <c r="BZ170" s="13">
        <f>BY170*VLOOKUP('Données projet'!$B$12,Paramètres!$A$1:$I$89,3,0)*VLOOKUP('Données projet'!$B$12,Paramètres!$A$1:$I$89,5,0)</f>
        <v>1.4897523215040565E-13</v>
      </c>
      <c r="CA170" s="13">
        <f t="shared" si="170"/>
        <v>2.136562777003313E-12</v>
      </c>
      <c r="CB170" s="20">
        <f t="shared" si="171"/>
        <v>3.9806453659427267E-12</v>
      </c>
      <c r="CC170" s="59">
        <f t="shared" si="119"/>
        <v>293.33333333333729</v>
      </c>
      <c r="CD170" s="59">
        <f ca="1">AVERAGE(OFFSET($CC$3,0,0,'Données projet'!$E$12+1,1))-AVERAGE(OFFSET($H$3,0,0,'Données projet'!$E$12+1,1))</f>
        <v>91.274378490051788</v>
      </c>
      <c r="CE170" s="59">
        <f t="shared" si="148"/>
        <v>126.60105012427914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3.6792746099925027</v>
      </c>
      <c r="CL170" s="21">
        <f>EXP(-LN(2)/25)*CL169+(1-EXP(-LN(2)/25))/(LN(2)/25)*Calculateur!CG170*Calculateur!CI170*VLOOKUP('Données projet'!$B$12,Paramètres!$A$1:$I$89,3,0)*0.475*44/12</f>
        <v>2.1336663394635775</v>
      </c>
      <c r="CM170" s="21">
        <f>EXP(-LN(2)/2)*CM169+(1-EXP(-LN(2)/2))/(LN(2)/2)*CG170*CJ170*VLOOKUP('Données projet'!$B$12,Paramètres!$A$1:$I$89,3,0)*0.475*44/12</f>
        <v>6.4547470561137135E-11</v>
      </c>
      <c r="CN170" s="22">
        <f t="shared" si="172"/>
        <v>5.8129409495206277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350.09239406910712</v>
      </c>
      <c r="T171" s="59">
        <f t="shared" si="142"/>
        <v>473.30663081727369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25.807182720872184</v>
      </c>
      <c r="AA171" s="21">
        <f>EXP(-LN(2)/25)*AA170+(1-EXP(-LN(2)/25))/(LN(2)/25)*Calculateur!V171*Calculateur!X171*VLOOKUP('Données projet'!$B$9,Paramètres!$A$1:$I$89,3,0)*0.475*44/12</f>
        <v>3.6035109743532288</v>
      </c>
      <c r="AB171" s="21">
        <f>EXP(-LN(2)/2)*AB170+(1-EXP(-LN(2)/2))/(LN(2)/2)*V171*Y171*VLOOKUP('Données projet'!$B$9,Paramètres!$A$1:$I$89,3,0)*0.475*44/12</f>
        <v>6.349650889251879E-16</v>
      </c>
      <c r="AC171" s="22">
        <f t="shared" si="163"/>
        <v>29.410693695225412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179.4725256147085</v>
      </c>
      <c r="AO171" s="59">
        <f t="shared" si="144"/>
        <v>282.16750121151176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17.007223835210453</v>
      </c>
      <c r="AV171" s="21">
        <f>EXP(-LN(2)/25)*AV170+(1-EXP(-LN(2)/25))/(LN(2)/25)*Calculateur!AQ171*Calculateur!AS171*VLOOKUP('Données projet'!$B$10,Paramètres!$A$1:$I$89,3,0)*0.475*44/12</f>
        <v>2.4464135599767354</v>
      </c>
      <c r="AW171" s="21">
        <f>EXP(-LN(2)/2)*AW170+(1-EXP(-LN(2)/2))/(LN(2)/2)*AQ171*AT171*VLOOKUP('Données projet'!$B$10,Paramètres!$A$1:$I$89,3,0)*0.475*44/12</f>
        <v>2.3936629275758227E-15</v>
      </c>
      <c r="AX171" s="21">
        <f t="shared" si="166"/>
        <v>19.453637395187194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1.064108801074326E-13</v>
      </c>
      <c r="BF171" s="13">
        <f t="shared" si="167"/>
        <v>1.5870730813698654E-12</v>
      </c>
      <c r="BG171" s="20">
        <f t="shared" si="168"/>
        <v>2.9494845662396269E-12</v>
      </c>
      <c r="BH171" s="59">
        <f t="shared" si="116"/>
        <v>293.33333333333627</v>
      </c>
      <c r="BI171" s="59">
        <f ca="1">AVERAGE(OFFSET($BH$3,0,0,'Données projet'!$E$11+1,1))-AVERAGE(OFFSET($H$3,0,0,'Données projet'!$E$11+1,1))</f>
        <v>227.19831549982962</v>
      </c>
      <c r="BJ171" s="59">
        <f t="shared" si="146"/>
        <v>309.84543033784564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21.976246126725467</v>
      </c>
      <c r="BQ171" s="21">
        <f>EXP(-LN(2)/25)*BQ170+(1-EXP(-LN(2)/25))/(LN(2)/25)*Calculateur!BL171*Calculateur!BN171*VLOOKUP('Données projet'!$B$11,Paramètres!$A$1:$I$89,3,0)*0.475*44/12</f>
        <v>3.3356729285752391</v>
      </c>
      <c r="BR171" s="21">
        <f>EXP(-LN(2)/2)*BR170+(1-EXP(-LN(2)/2))/(LN(2)/2)*BL171*BO171*VLOOKUP('Données projet'!$B$11,Paramètres!$A$1:$I$89,3,0)*0.475*44/12</f>
        <v>6.7089241213396012E-15</v>
      </c>
      <c r="BS171" s="22">
        <f t="shared" si="169"/>
        <v>25.311919055300713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2.2737367544323206E-13</v>
      </c>
      <c r="BZ171" s="13">
        <f>BY171*VLOOKUP('Données projet'!$B$12,Paramètres!$A$1:$I$89,3,0)*VLOOKUP('Données projet'!$B$12,Paramètres!$A$1:$I$89,5,0)</f>
        <v>1.4897523215040565E-13</v>
      </c>
      <c r="CA171" s="13">
        <f t="shared" si="170"/>
        <v>2.136562777003313E-12</v>
      </c>
      <c r="CB171" s="20">
        <f t="shared" si="171"/>
        <v>3.9806453659427267E-12</v>
      </c>
      <c r="CC171" s="59">
        <f t="shared" si="119"/>
        <v>293.33333333333729</v>
      </c>
      <c r="CD171" s="59">
        <f ca="1">AVERAGE(OFFSET($CC$3,0,0,'Données projet'!$E$12+1,1))-AVERAGE(OFFSET($H$3,0,0,'Données projet'!$E$12+1,1))</f>
        <v>91.274378490051788</v>
      </c>
      <c r="CE171" s="59">
        <f t="shared" si="148"/>
        <v>126.60105012427914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3.6071262790264718</v>
      </c>
      <c r="CL171" s="21">
        <f>EXP(-LN(2)/25)*CL170+(1-EXP(-LN(2)/25))/(LN(2)/25)*Calculateur!CG171*Calculateur!CI171*VLOOKUP('Données projet'!$B$12,Paramètres!$A$1:$I$89,3,0)*0.475*44/12</f>
        <v>2.0753211212063096</v>
      </c>
      <c r="CM171" s="21">
        <f>EXP(-LN(2)/2)*CM170+(1-EXP(-LN(2)/2))/(LN(2)/2)*CG171*CJ171*VLOOKUP('Données projet'!$B$12,Paramètres!$A$1:$I$89,3,0)*0.475*44/12</f>
        <v>4.5641954142219115E-11</v>
      </c>
      <c r="CN171" s="22">
        <f t="shared" si="172"/>
        <v>5.6824474002784235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350.09239406910712</v>
      </c>
      <c r="T172" s="59">
        <f t="shared" si="142"/>
        <v>473.30663081727369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25.301119608543061</v>
      </c>
      <c r="AA172" s="21">
        <f>EXP(-LN(2)/25)*AA171+(1-EXP(-LN(2)/25))/(LN(2)/25)*Calculateur!V172*Calculateur!X172*VLOOKUP('Données projet'!$B$9,Paramètres!$A$1:$I$89,3,0)*0.475*44/12</f>
        <v>3.5049727772591335</v>
      </c>
      <c r="AB172" s="21">
        <f>EXP(-LN(2)/2)*AB171+(1-EXP(-LN(2)/2))/(LN(2)/2)*V172*Y172*VLOOKUP('Données projet'!$B$9,Paramètres!$A$1:$I$89,3,0)*0.475*44/12</f>
        <v>4.4898812019571951E-16</v>
      </c>
      <c r="AC172" s="22">
        <f t="shared" si="163"/>
        <v>28.806092385802195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179.4725256147085</v>
      </c>
      <c r="AO172" s="59">
        <f t="shared" si="144"/>
        <v>282.16750121151176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16.67372254918423</v>
      </c>
      <c r="AV172" s="21">
        <f>EXP(-LN(2)/25)*AV171+(1-EXP(-LN(2)/25))/(LN(2)/25)*Calculateur!AQ172*Calculateur!AS172*VLOOKUP('Données projet'!$B$10,Paramètres!$A$1:$I$89,3,0)*0.475*44/12</f>
        <v>2.3795162525278739</v>
      </c>
      <c r="AW172" s="21">
        <f>EXP(-LN(2)/2)*AW171+(1-EXP(-LN(2)/2))/(LN(2)/2)*AQ172*AT172*VLOOKUP('Données projet'!$B$10,Paramètres!$A$1:$I$89,3,0)*0.475*44/12</f>
        <v>1.6925752879637081E-15</v>
      </c>
      <c r="AX172" s="21">
        <f t="shared" si="166"/>
        <v>19.053238801712105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1.064108801074326E-13</v>
      </c>
      <c r="BF172" s="13">
        <f t="shared" si="167"/>
        <v>1.5870730813698654E-12</v>
      </c>
      <c r="BG172" s="20">
        <f t="shared" si="168"/>
        <v>2.9494845662396269E-12</v>
      </c>
      <c r="BH172" s="59">
        <f t="shared" si="116"/>
        <v>293.33333333333627</v>
      </c>
      <c r="BI172" s="59">
        <f ca="1">AVERAGE(OFFSET($BH$3,0,0,'Données projet'!$E$11+1,1))-AVERAGE(OFFSET($H$3,0,0,'Données projet'!$E$11+1,1))</f>
        <v>227.19831549982962</v>
      </c>
      <c r="BJ172" s="59">
        <f t="shared" si="146"/>
        <v>309.84543033784564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21.545305344366966</v>
      </c>
      <c r="BQ172" s="21">
        <f>EXP(-LN(2)/25)*BQ171+(1-EXP(-LN(2)/25))/(LN(2)/25)*Calculateur!BL172*Calculateur!BN172*VLOOKUP('Données projet'!$B$11,Paramètres!$A$1:$I$89,3,0)*0.475*44/12</f>
        <v>3.2444587769279338</v>
      </c>
      <c r="BR172" s="21">
        <f>EXP(-LN(2)/2)*BR171+(1-EXP(-LN(2)/2))/(LN(2)/2)*BL172*BO172*VLOOKUP('Données projet'!$B$11,Paramètres!$A$1:$I$89,3,0)*0.475*44/12</f>
        <v>4.7439257406652319E-15</v>
      </c>
      <c r="BS172" s="22">
        <f t="shared" si="169"/>
        <v>24.789764121294905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2.2737367544323206E-13</v>
      </c>
      <c r="BZ172" s="13">
        <f>BY172*VLOOKUP('Données projet'!$B$12,Paramètres!$A$1:$I$89,3,0)*VLOOKUP('Données projet'!$B$12,Paramètres!$A$1:$I$89,5,0)</f>
        <v>1.4897523215040565E-13</v>
      </c>
      <c r="CA172" s="13">
        <f t="shared" si="170"/>
        <v>2.136562777003313E-12</v>
      </c>
      <c r="CB172" s="20">
        <f t="shared" si="171"/>
        <v>3.9806453659427267E-12</v>
      </c>
      <c r="CC172" s="59">
        <f t="shared" si="119"/>
        <v>293.33333333333729</v>
      </c>
      <c r="CD172" s="59">
        <f ca="1">AVERAGE(OFFSET($CC$3,0,0,'Données projet'!$E$12+1,1))-AVERAGE(OFFSET($H$3,0,0,'Données projet'!$E$12+1,1))</f>
        <v>91.274378490051788</v>
      </c>
      <c r="CE172" s="59">
        <f t="shared" si="148"/>
        <v>126.60105012427914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3.5363927328245479</v>
      </c>
      <c r="CL172" s="21">
        <f>EXP(-LN(2)/25)*CL171+(1-EXP(-LN(2)/25))/(LN(2)/25)*Calculateur!CG172*Calculateur!CI172*VLOOKUP('Données projet'!$B$12,Paramètres!$A$1:$I$89,3,0)*0.475*44/12</f>
        <v>2.0185713560105287</v>
      </c>
      <c r="CM172" s="21">
        <f>EXP(-LN(2)/2)*CM171+(1-EXP(-LN(2)/2))/(LN(2)/2)*CG172*CJ172*VLOOKUP('Données projet'!$B$12,Paramètres!$A$1:$I$89,3,0)*0.475*44/12</f>
        <v>3.2273735280568568E-11</v>
      </c>
      <c r="CN172" s="22">
        <f t="shared" si="172"/>
        <v>5.5549640888673499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350.09239406910712</v>
      </c>
      <c r="T173" s="59">
        <f t="shared" si="142"/>
        <v>473.30663081727369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24.804980085178695</v>
      </c>
      <c r="AA173" s="21">
        <f>EXP(-LN(2)/25)*AA172+(1-EXP(-LN(2)/25))/(LN(2)/25)*Calculateur!V173*Calculateur!X173*VLOOKUP('Données projet'!$B$9,Paramètres!$A$1:$I$89,3,0)*0.475*44/12</f>
        <v>3.4091291123464749</v>
      </c>
      <c r="AB173" s="21">
        <f>EXP(-LN(2)/2)*AB172+(1-EXP(-LN(2)/2))/(LN(2)/2)*V173*Y173*VLOOKUP('Données projet'!$B$9,Paramètres!$A$1:$I$89,3,0)*0.475*44/12</f>
        <v>3.1748254446259395E-16</v>
      </c>
      <c r="AC173" s="22">
        <f t="shared" si="163"/>
        <v>28.214109197525168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179.4725256147085</v>
      </c>
      <c r="AO173" s="59">
        <f t="shared" si="144"/>
        <v>282.16750121151176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16.346761019961281</v>
      </c>
      <c r="AV173" s="21">
        <f>EXP(-LN(2)/25)*AV172+(1-EXP(-LN(2)/25))/(LN(2)/25)*Calculateur!AQ173*Calculateur!AS173*VLOOKUP('Données projet'!$B$10,Paramètres!$A$1:$I$89,3,0)*0.475*44/12</f>
        <v>2.3144482554691779</v>
      </c>
      <c r="AW173" s="21">
        <f>EXP(-LN(2)/2)*AW172+(1-EXP(-LN(2)/2))/(LN(2)/2)*AQ173*AT173*VLOOKUP('Données projet'!$B$10,Paramètres!$A$1:$I$89,3,0)*0.475*44/12</f>
        <v>1.1968314637879114E-15</v>
      </c>
      <c r="AX173" s="21">
        <f t="shared" si="166"/>
        <v>18.661209275430458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1.064108801074326E-13</v>
      </c>
      <c r="BF173" s="13">
        <f t="shared" si="167"/>
        <v>1.5870730813698654E-12</v>
      </c>
      <c r="BG173" s="20">
        <f t="shared" si="168"/>
        <v>2.9494845662396269E-12</v>
      </c>
      <c r="BH173" s="59">
        <f t="shared" si="116"/>
        <v>293.33333333333627</v>
      </c>
      <c r="BI173" s="59">
        <f ca="1">AVERAGE(OFFSET($BH$3,0,0,'Données projet'!$E$11+1,1))-AVERAGE(OFFSET($H$3,0,0,'Données projet'!$E$11+1,1))</f>
        <v>227.19831549982962</v>
      </c>
      <c r="BJ173" s="59">
        <f t="shared" si="146"/>
        <v>309.84543033784564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21.122815047902591</v>
      </c>
      <c r="BQ173" s="21">
        <f>EXP(-LN(2)/25)*BQ172+(1-EXP(-LN(2)/25))/(LN(2)/25)*Calculateur!BL173*Calculateur!BN173*VLOOKUP('Données projet'!$B$11,Paramètres!$A$1:$I$89,3,0)*0.475*44/12</f>
        <v>3.1557388810541678</v>
      </c>
      <c r="BR173" s="21">
        <f>EXP(-LN(2)/2)*BR172+(1-EXP(-LN(2)/2))/(LN(2)/2)*BL173*BO173*VLOOKUP('Données projet'!$B$11,Paramètres!$A$1:$I$89,3,0)*0.475*44/12</f>
        <v>3.3544620606698006E-15</v>
      </c>
      <c r="BS173" s="22">
        <f t="shared" si="169"/>
        <v>24.278553928956764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2.2737367544323206E-13</v>
      </c>
      <c r="BZ173" s="13">
        <f>BY173*VLOOKUP('Données projet'!$B$12,Paramètres!$A$1:$I$89,3,0)*VLOOKUP('Données projet'!$B$12,Paramètres!$A$1:$I$89,5,0)</f>
        <v>1.4897523215040565E-13</v>
      </c>
      <c r="CA173" s="13">
        <f t="shared" si="170"/>
        <v>2.136562777003313E-12</v>
      </c>
      <c r="CB173" s="20">
        <f t="shared" si="171"/>
        <v>3.9806453659427267E-12</v>
      </c>
      <c r="CC173" s="59">
        <f t="shared" si="119"/>
        <v>293.33333333333729</v>
      </c>
      <c r="CD173" s="59">
        <f ca="1">AVERAGE(OFFSET($CC$3,0,0,'Données projet'!$E$12+1,1))-AVERAGE(OFFSET($H$3,0,0,'Données projet'!$E$12+1,1))</f>
        <v>91.274378490051788</v>
      </c>
      <c r="CE173" s="59">
        <f t="shared" si="148"/>
        <v>126.60105012427914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3.4670462283204406</v>
      </c>
      <c r="CL173" s="21">
        <f>EXP(-LN(2)/25)*CL172+(1-EXP(-LN(2)/25))/(LN(2)/25)*Calculateur!CG173*Calculateur!CI173*VLOOKUP('Données projet'!$B$12,Paramètres!$A$1:$I$89,3,0)*0.475*44/12</f>
        <v>1.9633734161283667</v>
      </c>
      <c r="CM173" s="21">
        <f>EXP(-LN(2)/2)*CM172+(1-EXP(-LN(2)/2))/(LN(2)/2)*CG173*CJ173*VLOOKUP('Données projet'!$B$12,Paramètres!$A$1:$I$89,3,0)*0.475*44/12</f>
        <v>2.2820977071109557E-11</v>
      </c>
      <c r="CN173" s="22">
        <f t="shared" si="172"/>
        <v>5.4304196444716286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350.09239406910712</v>
      </c>
      <c r="T174" s="59">
        <f t="shared" si="142"/>
        <v>473.30663081727369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24.318569555252274</v>
      </c>
      <c r="AA174" s="21">
        <f>EXP(-LN(2)/25)*AA173+(1-EXP(-LN(2)/25))/(LN(2)/25)*Calculateur!V174*Calculateur!X174*VLOOKUP('Données projet'!$B$9,Paramètres!$A$1:$I$89,3,0)*0.475*44/12</f>
        <v>3.3159062974910523</v>
      </c>
      <c r="AB174" s="21">
        <f>EXP(-LN(2)/2)*AB173+(1-EXP(-LN(2)/2))/(LN(2)/2)*V174*Y174*VLOOKUP('Données projet'!$B$9,Paramètres!$A$1:$I$89,3,0)*0.475*44/12</f>
        <v>2.2449406009785976E-16</v>
      </c>
      <c r="AC174" s="22">
        <f t="shared" si="163"/>
        <v>27.634475852743329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179.4725256147085</v>
      </c>
      <c r="AO174" s="59">
        <f t="shared" si="144"/>
        <v>282.16750121151176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16.026211006899555</v>
      </c>
      <c r="AV174" s="21">
        <f>EXP(-LN(2)/25)*AV173+(1-EXP(-LN(2)/25))/(LN(2)/25)*Calculateur!AQ174*Calculateur!AS174*VLOOKUP('Données projet'!$B$10,Paramètres!$A$1:$I$89,3,0)*0.475*44/12</f>
        <v>2.251159546211829</v>
      </c>
      <c r="AW174" s="21">
        <f>EXP(-LN(2)/2)*AW173+(1-EXP(-LN(2)/2))/(LN(2)/2)*AQ174*AT174*VLOOKUP('Données projet'!$B$10,Paramètres!$A$1:$I$89,3,0)*0.475*44/12</f>
        <v>8.4628764398185403E-16</v>
      </c>
      <c r="AX174" s="21">
        <f t="shared" si="166"/>
        <v>18.277370553111382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1.064108801074326E-13</v>
      </c>
      <c r="BF174" s="13">
        <f t="shared" si="167"/>
        <v>1.5870730813698654E-12</v>
      </c>
      <c r="BG174" s="20">
        <f t="shared" si="168"/>
        <v>2.9494845662396269E-12</v>
      </c>
      <c r="BH174" s="59">
        <f t="shared" si="116"/>
        <v>293.33333333333627</v>
      </c>
      <c r="BI174" s="59">
        <f ca="1">AVERAGE(OFFSET($BH$3,0,0,'Données projet'!$E$11+1,1))-AVERAGE(OFFSET($H$3,0,0,'Données projet'!$E$11+1,1))</f>
        <v>227.19831549982962</v>
      </c>
      <c r="BJ174" s="59">
        <f t="shared" si="146"/>
        <v>309.84543033784564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20.708609528458247</v>
      </c>
      <c r="BQ174" s="21">
        <f>EXP(-LN(2)/25)*BQ173+(1-EXP(-LN(2)/25))/(LN(2)/25)*Calculateur!BL174*Calculateur!BN174*VLOOKUP('Données projet'!$B$11,Paramètres!$A$1:$I$89,3,0)*0.475*44/12</f>
        <v>3.0694450353986462</v>
      </c>
      <c r="BR174" s="21">
        <f>EXP(-LN(2)/2)*BR173+(1-EXP(-LN(2)/2))/(LN(2)/2)*BL174*BO174*VLOOKUP('Données projet'!$B$11,Paramètres!$A$1:$I$89,3,0)*0.475*44/12</f>
        <v>2.371962870332616E-15</v>
      </c>
      <c r="BS174" s="22">
        <f t="shared" si="169"/>
        <v>23.778054563856898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2.2737367544323206E-13</v>
      </c>
      <c r="BZ174" s="13">
        <f>BY174*VLOOKUP('Données projet'!$B$12,Paramètres!$A$1:$I$89,3,0)*VLOOKUP('Données projet'!$B$12,Paramètres!$A$1:$I$89,5,0)</f>
        <v>1.4897523215040565E-13</v>
      </c>
      <c r="CA174" s="13">
        <f t="shared" si="170"/>
        <v>2.136562777003313E-12</v>
      </c>
      <c r="CB174" s="20">
        <f t="shared" si="171"/>
        <v>3.9806453659427267E-12</v>
      </c>
      <c r="CC174" s="59">
        <f t="shared" si="119"/>
        <v>293.33333333333729</v>
      </c>
      <c r="CD174" s="59">
        <f ca="1">AVERAGE(OFFSET($CC$3,0,0,'Données projet'!$E$12+1,1))-AVERAGE(OFFSET($H$3,0,0,'Données projet'!$E$12+1,1))</f>
        <v>91.274378490051788</v>
      </c>
      <c r="CE174" s="59">
        <f t="shared" si="148"/>
        <v>126.60105012427914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3.3990595664724679</v>
      </c>
      <c r="CL174" s="21">
        <f>EXP(-LN(2)/25)*CL173+(1-EXP(-LN(2)/25))/(LN(2)/25)*Calculateur!CG174*Calculateur!CI174*VLOOKUP('Données projet'!$B$12,Paramètres!$A$1:$I$89,3,0)*0.475*44/12</f>
        <v>1.9096848668150159</v>
      </c>
      <c r="CM174" s="21">
        <f>EXP(-LN(2)/2)*CM173+(1-EXP(-LN(2)/2))/(LN(2)/2)*CG174*CJ174*VLOOKUP('Données projet'!$B$12,Paramètres!$A$1:$I$89,3,0)*0.475*44/12</f>
        <v>1.6136867640284284E-11</v>
      </c>
      <c r="CN174" s="22">
        <f t="shared" si="172"/>
        <v>5.3087444333036204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350.09239406910712</v>
      </c>
      <c r="T175" s="59">
        <f t="shared" si="142"/>
        <v>473.30663081727369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23.841697239136582</v>
      </c>
      <c r="AA175" s="21">
        <f>EXP(-LN(2)/25)*AA174+(1-EXP(-LN(2)/25))/(LN(2)/25)*Calculateur!V175*Calculateur!X175*VLOOKUP('Données projet'!$B$9,Paramètres!$A$1:$I$89,3,0)*0.475*44/12</f>
        <v>3.2252326654102257</v>
      </c>
      <c r="AB175" s="21">
        <f>EXP(-LN(2)/2)*AB174+(1-EXP(-LN(2)/2))/(LN(2)/2)*V175*Y175*VLOOKUP('Données projet'!$B$9,Paramètres!$A$1:$I$89,3,0)*0.475*44/12</f>
        <v>1.5874127223129698E-16</v>
      </c>
      <c r="AC175" s="22">
        <f t="shared" si="163"/>
        <v>27.066929904546807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179.4725256147085</v>
      </c>
      <c r="AO175" s="59">
        <f t="shared" si="144"/>
        <v>282.16750121151176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15.711946784077766</v>
      </c>
      <c r="AV175" s="21">
        <f>EXP(-LN(2)/25)*AV174+(1-EXP(-LN(2)/25))/(LN(2)/25)*Calculateur!AQ175*Calculateur!AS175*VLOOKUP('Données projet'!$B$10,Paramètres!$A$1:$I$89,3,0)*0.475*44/12</f>
        <v>2.189601470037331</v>
      </c>
      <c r="AW175" s="21">
        <f>EXP(-LN(2)/2)*AW174+(1-EXP(-LN(2)/2))/(LN(2)/2)*AQ175*AT175*VLOOKUP('Données projet'!$B$10,Paramètres!$A$1:$I$89,3,0)*0.475*44/12</f>
        <v>5.9841573189395569E-16</v>
      </c>
      <c r="AX175" s="21">
        <f t="shared" si="166"/>
        <v>17.901548254115095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1.064108801074326E-13</v>
      </c>
      <c r="BF175" s="13">
        <f t="shared" si="167"/>
        <v>1.5870730813698654E-12</v>
      </c>
      <c r="BG175" s="20">
        <f t="shared" si="168"/>
        <v>2.9494845662396269E-12</v>
      </c>
      <c r="BH175" s="59">
        <f t="shared" si="116"/>
        <v>293.33333333333627</v>
      </c>
      <c r="BI175" s="59">
        <f ca="1">AVERAGE(OFFSET($BH$3,0,0,'Données projet'!$E$11+1,1))-AVERAGE(OFFSET($H$3,0,0,'Données projet'!$E$11+1,1))</f>
        <v>227.19831549982962</v>
      </c>
      <c r="BJ175" s="59">
        <f t="shared" si="146"/>
        <v>309.84543033784564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20.302526326609787</v>
      </c>
      <c r="BQ175" s="21">
        <f>EXP(-LN(2)/25)*BQ174+(1-EXP(-LN(2)/25))/(LN(2)/25)*Calculateur!BL175*Calculateur!BN175*VLOOKUP('Données projet'!$B$11,Paramètres!$A$1:$I$89,3,0)*0.475*44/12</f>
        <v>2.985510899490571</v>
      </c>
      <c r="BR175" s="21">
        <f>EXP(-LN(2)/2)*BR174+(1-EXP(-LN(2)/2))/(LN(2)/2)*BL175*BO175*VLOOKUP('Données projet'!$B$11,Paramètres!$A$1:$I$89,3,0)*0.475*44/12</f>
        <v>1.6772310303349003E-15</v>
      </c>
      <c r="BS175" s="22">
        <f t="shared" si="169"/>
        <v>23.288037226100357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2.2737367544323206E-13</v>
      </c>
      <c r="BZ175" s="13">
        <f>BY175*VLOOKUP('Données projet'!$B$12,Paramètres!$A$1:$I$89,3,0)*VLOOKUP('Données projet'!$B$12,Paramètres!$A$1:$I$89,5,0)</f>
        <v>1.4897523215040565E-13</v>
      </c>
      <c r="CA175" s="13">
        <f t="shared" si="170"/>
        <v>2.136562777003313E-12</v>
      </c>
      <c r="CB175" s="20">
        <f t="shared" si="171"/>
        <v>3.9806453659427267E-12</v>
      </c>
      <c r="CC175" s="59">
        <f t="shared" si="119"/>
        <v>293.33333333333729</v>
      </c>
      <c r="CD175" s="59">
        <f ca="1">AVERAGE(OFFSET($CC$3,0,0,'Données projet'!$E$12+1,1))-AVERAGE(OFFSET($H$3,0,0,'Données projet'!$E$12+1,1))</f>
        <v>91.274378490051788</v>
      </c>
      <c r="CE175" s="59">
        <f t="shared" si="148"/>
        <v>126.60105012427914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3.3324060815955647</v>
      </c>
      <c r="CL175" s="21">
        <f>EXP(-LN(2)/25)*CL174+(1-EXP(-LN(2)/25))/(LN(2)/25)*Calculateur!CG175*Calculateur!CI175*VLOOKUP('Données projet'!$B$12,Paramètres!$A$1:$I$89,3,0)*0.475*44/12</f>
        <v>1.8574644337059969</v>
      </c>
      <c r="CM175" s="21">
        <f>EXP(-LN(2)/2)*CM174+(1-EXP(-LN(2)/2))/(LN(2)/2)*CG175*CJ175*VLOOKUP('Données projet'!$B$12,Paramètres!$A$1:$I$89,3,0)*0.475*44/12</f>
        <v>1.1410488535554779E-11</v>
      </c>
      <c r="CN175" s="22">
        <f t="shared" si="172"/>
        <v>5.1898705153129718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350.09239406910712</v>
      </c>
      <c r="T176" s="59">
        <f t="shared" si="142"/>
        <v>473.30663081727369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23.374176098276529</v>
      </c>
      <c r="AA176" s="21">
        <f>EXP(-LN(2)/25)*AA175+(1-EXP(-LN(2)/25))/(LN(2)/25)*Calculateur!V176*Calculateur!X176*VLOOKUP('Données projet'!$B$9,Paramètres!$A$1:$I$89,3,0)*0.475*44/12</f>
        <v>3.1370385085669685</v>
      </c>
      <c r="AB176" s="21">
        <f>EXP(-LN(2)/2)*AB175+(1-EXP(-LN(2)/2))/(LN(2)/2)*V176*Y176*VLOOKUP('Données projet'!$B$9,Paramètres!$A$1:$I$89,3,0)*0.475*44/12</f>
        <v>1.1224703004892988E-16</v>
      </c>
      <c r="AC176" s="22">
        <f t="shared" si="163"/>
        <v>26.511214606843495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179.4725256147085</v>
      </c>
      <c r="AO176" s="59">
        <f t="shared" si="144"/>
        <v>282.16750121151176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15.403845090983262</v>
      </c>
      <c r="AV176" s="21">
        <f>EXP(-LN(2)/25)*AV175+(1-EXP(-LN(2)/25))/(LN(2)/25)*Calculateur!AQ176*Calculateur!AS176*VLOOKUP('Données projet'!$B$10,Paramètres!$A$1:$I$89,3,0)*0.475*44/12</f>
        <v>2.1297267026930231</v>
      </c>
      <c r="AW176" s="21">
        <f>EXP(-LN(2)/2)*AW175+(1-EXP(-LN(2)/2))/(LN(2)/2)*AQ176*AT176*VLOOKUP('Données projet'!$B$10,Paramètres!$A$1:$I$89,3,0)*0.475*44/12</f>
        <v>4.2314382199092702E-16</v>
      </c>
      <c r="AX176" s="21">
        <f t="shared" si="166"/>
        <v>17.533571793676284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1.064108801074326E-13</v>
      </c>
      <c r="BF176" s="13">
        <f t="shared" si="167"/>
        <v>1.5870730813698654E-12</v>
      </c>
      <c r="BG176" s="20">
        <f t="shared" si="168"/>
        <v>2.9494845662396269E-12</v>
      </c>
      <c r="BH176" s="59">
        <f t="shared" si="116"/>
        <v>293.33333333333627</v>
      </c>
      <c r="BI176" s="59">
        <f ca="1">AVERAGE(OFFSET($BH$3,0,0,'Données projet'!$E$11+1,1))-AVERAGE(OFFSET($H$3,0,0,'Données projet'!$E$11+1,1))</f>
        <v>227.19831549982962</v>
      </c>
      <c r="BJ176" s="59">
        <f t="shared" si="146"/>
        <v>309.84543033784564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19.904406168663275</v>
      </c>
      <c r="BQ176" s="21">
        <f>EXP(-LN(2)/25)*BQ175+(1-EXP(-LN(2)/25))/(LN(2)/25)*Calculateur!BL176*Calculateur!BN176*VLOOKUP('Données projet'!$B$11,Paramètres!$A$1:$I$89,3,0)*0.475*44/12</f>
        <v>2.9038719469428065</v>
      </c>
      <c r="BR176" s="21">
        <f>EXP(-LN(2)/2)*BR175+(1-EXP(-LN(2)/2))/(LN(2)/2)*BL176*BO176*VLOOKUP('Données projet'!$B$11,Paramètres!$A$1:$I$89,3,0)*0.475*44/12</f>
        <v>1.185981435166308E-15</v>
      </c>
      <c r="BS176" s="22">
        <f t="shared" si="169"/>
        <v>22.808278115606083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2.2737367544323206E-13</v>
      </c>
      <c r="BZ176" s="13">
        <f>BY176*VLOOKUP('Données projet'!$B$12,Paramètres!$A$1:$I$89,3,0)*VLOOKUP('Données projet'!$B$12,Paramètres!$A$1:$I$89,5,0)</f>
        <v>1.4897523215040565E-13</v>
      </c>
      <c r="CA176" s="13">
        <f t="shared" si="170"/>
        <v>2.136562777003313E-12</v>
      </c>
      <c r="CB176" s="20">
        <f t="shared" si="171"/>
        <v>3.9806453659427267E-12</v>
      </c>
      <c r="CC176" s="59">
        <f t="shared" si="119"/>
        <v>293.33333333333729</v>
      </c>
      <c r="CD176" s="59">
        <f ca="1">AVERAGE(OFFSET($CC$3,0,0,'Données projet'!$E$12+1,1))-AVERAGE(OFFSET($H$3,0,0,'Données projet'!$E$12+1,1))</f>
        <v>91.274378490051788</v>
      </c>
      <c r="CE176" s="59">
        <f t="shared" si="148"/>
        <v>126.60105012427914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3.267059630902486</v>
      </c>
      <c r="CL176" s="21">
        <f>EXP(-LN(2)/25)*CL175+(1-EXP(-LN(2)/25))/(LN(2)/25)*Calculateur!CG176*Calculateur!CI176*VLOOKUP('Données projet'!$B$12,Paramètres!$A$1:$I$89,3,0)*0.475*44/12</f>
        <v>1.8066719710864971</v>
      </c>
      <c r="CM176" s="21">
        <f>EXP(-LN(2)/2)*CM175+(1-EXP(-LN(2)/2))/(LN(2)/2)*CG176*CJ176*VLOOKUP('Données projet'!$B$12,Paramètres!$A$1:$I$89,3,0)*0.475*44/12</f>
        <v>8.0684338201421419E-12</v>
      </c>
      <c r="CN176" s="22">
        <f t="shared" si="172"/>
        <v>5.0737316019970518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350.09239406910712</v>
      </c>
      <c r="T177" s="59">
        <f t="shared" si="142"/>
        <v>473.30663081727369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22.915822761828998</v>
      </c>
      <c r="AA177" s="21">
        <f>EXP(-LN(2)/25)*AA176+(1-EXP(-LN(2)/25))/(LN(2)/25)*Calculateur!V177*Calculateur!X177*VLOOKUP('Données projet'!$B$9,Paramètres!$A$1:$I$89,3,0)*0.475*44/12</f>
        <v>3.0512560255805194</v>
      </c>
      <c r="AB177" s="21">
        <f>EXP(-LN(2)/2)*AB176+(1-EXP(-LN(2)/2))/(LN(2)/2)*V177*Y177*VLOOKUP('Données projet'!$B$9,Paramètres!$A$1:$I$89,3,0)*0.475*44/12</f>
        <v>7.9370636115648488E-17</v>
      </c>
      <c r="AC177" s="22">
        <f t="shared" si="163"/>
        <v>25.96707878740952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179.4725256147085</v>
      </c>
      <c r="AO177" s="59">
        <f t="shared" si="144"/>
        <v>282.16750121151176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15.101785084166865</v>
      </c>
      <c r="AV177" s="21">
        <f>EXP(-LN(2)/25)*AV176+(1-EXP(-LN(2)/25))/(LN(2)/25)*Calculateur!AQ177*Calculateur!AS177*VLOOKUP('Données projet'!$B$10,Paramètres!$A$1:$I$89,3,0)*0.475*44/12</f>
        <v>2.0714892140104229</v>
      </c>
      <c r="AW177" s="21">
        <f>EXP(-LN(2)/2)*AW176+(1-EXP(-LN(2)/2))/(LN(2)/2)*AQ177*AT177*VLOOKUP('Données projet'!$B$10,Paramètres!$A$1:$I$89,3,0)*0.475*44/12</f>
        <v>2.9920786594697784E-16</v>
      </c>
      <c r="AX177" s="21">
        <f t="shared" si="166"/>
        <v>17.173274298177287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1.064108801074326E-13</v>
      </c>
      <c r="BF177" s="13">
        <f t="shared" si="167"/>
        <v>1.5870730813698654E-12</v>
      </c>
      <c r="BG177" s="20">
        <f t="shared" si="168"/>
        <v>2.9494845662396269E-12</v>
      </c>
      <c r="BH177" s="59">
        <f t="shared" si="116"/>
        <v>293.33333333333627</v>
      </c>
      <c r="BI177" s="59">
        <f ca="1">AVERAGE(OFFSET($BH$3,0,0,'Données projet'!$E$11+1,1))-AVERAGE(OFFSET($H$3,0,0,'Données projet'!$E$11+1,1))</f>
        <v>227.19831549982962</v>
      </c>
      <c r="BJ177" s="59">
        <f t="shared" si="146"/>
        <v>309.84543033784564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19.514092904184778</v>
      </c>
      <c r="BQ177" s="21">
        <f>EXP(-LN(2)/25)*BQ176+(1-EXP(-LN(2)/25))/(LN(2)/25)*Calculateur!BL177*Calculateur!BN177*VLOOKUP('Données projet'!$B$11,Paramètres!$A$1:$I$89,3,0)*0.475*44/12</f>
        <v>2.8244654158456668</v>
      </c>
      <c r="BR177" s="21">
        <f>EXP(-LN(2)/2)*BR176+(1-EXP(-LN(2)/2))/(LN(2)/2)*BL177*BO177*VLOOKUP('Données projet'!$B$11,Paramètres!$A$1:$I$89,3,0)*0.475*44/12</f>
        <v>8.3861551516745015E-16</v>
      </c>
      <c r="BS177" s="22">
        <f t="shared" si="169"/>
        <v>22.338558320030444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2.2737367544323206E-13</v>
      </c>
      <c r="BZ177" s="13">
        <f>BY177*VLOOKUP('Données projet'!$B$12,Paramètres!$A$1:$I$89,3,0)*VLOOKUP('Données projet'!$B$12,Paramètres!$A$1:$I$89,5,0)</f>
        <v>1.4897523215040565E-13</v>
      </c>
      <c r="CA177" s="13">
        <f t="shared" si="170"/>
        <v>2.136562777003313E-12</v>
      </c>
      <c r="CB177" s="20">
        <f t="shared" si="171"/>
        <v>3.9806453659427267E-12</v>
      </c>
      <c r="CC177" s="59">
        <f t="shared" si="119"/>
        <v>293.33333333333729</v>
      </c>
      <c r="CD177" s="59">
        <f ca="1">AVERAGE(OFFSET($CC$3,0,0,'Données projet'!$E$12+1,1))-AVERAGE(OFFSET($H$3,0,0,'Données projet'!$E$12+1,1))</f>
        <v>91.274378490051788</v>
      </c>
      <c r="CE177" s="59">
        <f t="shared" si="148"/>
        <v>126.60105012427914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3.2029945842500993</v>
      </c>
      <c r="CL177" s="21">
        <f>EXP(-LN(2)/25)*CL176+(1-EXP(-LN(2)/25))/(LN(2)/25)*Calculateur!CG177*Calculateur!CI177*VLOOKUP('Données projet'!$B$12,Paramètres!$A$1:$I$89,3,0)*0.475*44/12</f>
        <v>1.757268431028387</v>
      </c>
      <c r="CM177" s="21">
        <f>EXP(-LN(2)/2)*CM176+(1-EXP(-LN(2)/2))/(LN(2)/2)*CG177*CJ177*VLOOKUP('Données projet'!$B$12,Paramètres!$A$1:$I$89,3,0)*0.475*44/12</f>
        <v>5.7052442677773894E-12</v>
      </c>
      <c r="CN177" s="22">
        <f t="shared" si="172"/>
        <v>4.960263015284192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350.09239406910712</v>
      </c>
      <c r="T178" s="59">
        <f t="shared" si="142"/>
        <v>473.30663081727369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22.466457454741274</v>
      </c>
      <c r="AA178" s="21">
        <f>EXP(-LN(2)/25)*AA177+(1-EXP(-LN(2)/25))/(LN(2)/25)*Calculateur!V178*Calculateur!X178*VLOOKUP('Données projet'!$B$9,Paramètres!$A$1:$I$89,3,0)*0.475*44/12</f>
        <v>2.9678192691024394</v>
      </c>
      <c r="AB178" s="21">
        <f>EXP(-LN(2)/2)*AB177+(1-EXP(-LN(2)/2))/(LN(2)/2)*V178*Y178*VLOOKUP('Données projet'!$B$9,Paramètres!$A$1:$I$89,3,0)*0.475*44/12</f>
        <v>5.6123515024464939E-17</v>
      </c>
      <c r="AC178" s="22">
        <f t="shared" si="163"/>
        <v>25.434276723843713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179.4725256147085</v>
      </c>
      <c r="AO178" s="59">
        <f t="shared" si="144"/>
        <v>282.16750121151176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14.805648289845726</v>
      </c>
      <c r="AV178" s="21">
        <f>EXP(-LN(2)/25)*AV177+(1-EXP(-LN(2)/25))/(LN(2)/25)*Calculateur!AQ178*Calculateur!AS178*VLOOKUP('Données projet'!$B$10,Paramètres!$A$1:$I$89,3,0)*0.475*44/12</f>
        <v>2.0148442325184246</v>
      </c>
      <c r="AW178" s="21">
        <f>EXP(-LN(2)/2)*AW177+(1-EXP(-LN(2)/2))/(LN(2)/2)*AQ178*AT178*VLOOKUP('Données projet'!$B$10,Paramètres!$A$1:$I$89,3,0)*0.475*44/12</f>
        <v>2.1157191099546351E-16</v>
      </c>
      <c r="AX178" s="21">
        <f t="shared" si="166"/>
        <v>16.820492522364152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1.064108801074326E-13</v>
      </c>
      <c r="BF178" s="13">
        <f t="shared" si="167"/>
        <v>1.5870730813698654E-12</v>
      </c>
      <c r="BG178" s="20">
        <f t="shared" si="168"/>
        <v>2.9494845662396269E-12</v>
      </c>
      <c r="BH178" s="59">
        <f t="shared" si="116"/>
        <v>293.33333333333627</v>
      </c>
      <c r="BI178" s="59">
        <f ca="1">AVERAGE(OFFSET($BH$3,0,0,'Données projet'!$E$11+1,1))-AVERAGE(OFFSET($H$3,0,0,'Données projet'!$E$11+1,1))</f>
        <v>227.19831549982962</v>
      </c>
      <c r="BJ178" s="59">
        <f t="shared" si="146"/>
        <v>309.84543033784564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19.131433444755121</v>
      </c>
      <c r="BQ178" s="21">
        <f>EXP(-LN(2)/25)*BQ177+(1-EXP(-LN(2)/25))/(LN(2)/25)*Calculateur!BL178*Calculateur!BN178*VLOOKUP('Données projet'!$B$11,Paramètres!$A$1:$I$89,3,0)*0.475*44/12</f>
        <v>2.7472302605171861</v>
      </c>
      <c r="BR178" s="21">
        <f>EXP(-LN(2)/2)*BR177+(1-EXP(-LN(2)/2))/(LN(2)/2)*BL178*BO178*VLOOKUP('Données projet'!$B$11,Paramètres!$A$1:$I$89,3,0)*0.475*44/12</f>
        <v>5.9299071758315399E-16</v>
      </c>
      <c r="BS178" s="22">
        <f t="shared" si="169"/>
        <v>21.878663705272306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2.2737367544323206E-13</v>
      </c>
      <c r="BZ178" s="13">
        <f>BY178*VLOOKUP('Données projet'!$B$12,Paramètres!$A$1:$I$89,3,0)*VLOOKUP('Données projet'!$B$12,Paramètres!$A$1:$I$89,5,0)</f>
        <v>1.4897523215040565E-13</v>
      </c>
      <c r="CA178" s="13">
        <f t="shared" si="170"/>
        <v>2.136562777003313E-12</v>
      </c>
      <c r="CB178" s="20">
        <f t="shared" si="171"/>
        <v>3.9806453659427267E-12</v>
      </c>
      <c r="CC178" s="59">
        <f t="shared" si="119"/>
        <v>293.33333333333729</v>
      </c>
      <c r="CD178" s="59">
        <f ca="1">AVERAGE(OFFSET($CC$3,0,0,'Données projet'!$E$12+1,1))-AVERAGE(OFFSET($H$3,0,0,'Données projet'!$E$12+1,1))</f>
        <v>91.274378490051788</v>
      </c>
      <c r="CE178" s="59">
        <f t="shared" si="148"/>
        <v>126.60105012427914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3.1401858140867458</v>
      </c>
      <c r="CL178" s="21">
        <f>EXP(-LN(2)/25)*CL177+(1-EXP(-LN(2)/25))/(LN(2)/25)*Calculateur!CG178*Calculateur!CI178*VLOOKUP('Données projet'!$B$12,Paramètres!$A$1:$I$89,3,0)*0.475*44/12</f>
        <v>1.7092158333711853</v>
      </c>
      <c r="CM178" s="21">
        <f>EXP(-LN(2)/2)*CM177+(1-EXP(-LN(2)/2))/(LN(2)/2)*CG178*CJ178*VLOOKUP('Données projet'!$B$12,Paramètres!$A$1:$I$89,3,0)*0.475*44/12</f>
        <v>4.034216910071071E-12</v>
      </c>
      <c r="CN178" s="22">
        <f t="shared" si="172"/>
        <v>4.8494016474619652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350.09239406910712</v>
      </c>
      <c r="T179" s="59">
        <f t="shared" si="142"/>
        <v>473.30663081727369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22.025903927239767</v>
      </c>
      <c r="AA179" s="21">
        <f>EXP(-LN(2)/25)*AA178+(1-EXP(-LN(2)/25))/(LN(2)/25)*Calculateur!V179*Calculateur!X179*VLOOKUP('Données projet'!$B$9,Paramètres!$A$1:$I$89,3,0)*0.475*44/12</f>
        <v>2.8866640951180007</v>
      </c>
      <c r="AB179" s="21">
        <f>EXP(-LN(2)/2)*AB178+(1-EXP(-LN(2)/2))/(LN(2)/2)*V179*Y179*VLOOKUP('Données projet'!$B$9,Paramètres!$A$1:$I$89,3,0)*0.475*44/12</f>
        <v>3.9685318057824244E-17</v>
      </c>
      <c r="AC179" s="22">
        <f t="shared" si="163"/>
        <v>24.912568022357767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179.4725256147085</v>
      </c>
      <c r="AO179" s="59">
        <f t="shared" si="144"/>
        <v>282.16750121151176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14.515318557435615</v>
      </c>
      <c r="AV179" s="21">
        <f>EXP(-LN(2)/25)*AV178+(1-EXP(-LN(2)/25))/(LN(2)/25)*Calculateur!AQ179*Calculateur!AS179*VLOOKUP('Données projet'!$B$10,Paramètres!$A$1:$I$89,3,0)*0.475*44/12</f>
        <v>1.9597482110241551</v>
      </c>
      <c r="AW179" s="21">
        <f>EXP(-LN(2)/2)*AW178+(1-EXP(-LN(2)/2))/(LN(2)/2)*AQ179*AT179*VLOOKUP('Données projet'!$B$10,Paramètres!$A$1:$I$89,3,0)*0.475*44/12</f>
        <v>1.4960393297348892E-16</v>
      </c>
      <c r="AX179" s="21">
        <f t="shared" si="166"/>
        <v>16.475066768459769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1.064108801074326E-13</v>
      </c>
      <c r="BF179" s="13">
        <f t="shared" si="167"/>
        <v>1.5870730813698654E-12</v>
      </c>
      <c r="BG179" s="20">
        <f t="shared" si="168"/>
        <v>2.9494845662396269E-12</v>
      </c>
      <c r="BH179" s="59">
        <f t="shared" si="116"/>
        <v>293.33333333333627</v>
      </c>
      <c r="BI179" s="59">
        <f ca="1">AVERAGE(OFFSET($BH$3,0,0,'Données projet'!$E$11+1,1))-AVERAGE(OFFSET($H$3,0,0,'Données projet'!$E$11+1,1))</f>
        <v>227.19831549982962</v>
      </c>
      <c r="BJ179" s="59">
        <f t="shared" si="146"/>
        <v>309.84543033784564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18.756277703925655</v>
      </c>
      <c r="BQ179" s="21">
        <f>EXP(-LN(2)/25)*BQ178+(1-EXP(-LN(2)/25))/(LN(2)/25)*Calculateur!BL179*Calculateur!BN179*VLOOKUP('Données projet'!$B$11,Paramètres!$A$1:$I$89,3,0)*0.475*44/12</f>
        <v>2.6721071045727833</v>
      </c>
      <c r="BR179" s="21">
        <f>EXP(-LN(2)/2)*BR178+(1-EXP(-LN(2)/2))/(LN(2)/2)*BL179*BO179*VLOOKUP('Données projet'!$B$11,Paramètres!$A$1:$I$89,3,0)*0.475*44/12</f>
        <v>4.1930775758372507E-16</v>
      </c>
      <c r="BS179" s="22">
        <f t="shared" si="169"/>
        <v>21.428384808498439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2.2737367544323206E-13</v>
      </c>
      <c r="BZ179" s="13">
        <f>BY179*VLOOKUP('Données projet'!$B$12,Paramètres!$A$1:$I$89,3,0)*VLOOKUP('Données projet'!$B$12,Paramètres!$A$1:$I$89,5,0)</f>
        <v>1.4897523215040565E-13</v>
      </c>
      <c r="CA179" s="13">
        <f t="shared" si="170"/>
        <v>2.136562777003313E-12</v>
      </c>
      <c r="CB179" s="20">
        <f t="shared" si="171"/>
        <v>3.9806453659427267E-12</v>
      </c>
      <c r="CC179" s="59">
        <f t="shared" si="119"/>
        <v>293.33333333333729</v>
      </c>
      <c r="CD179" s="59">
        <f ca="1">AVERAGE(OFFSET($CC$3,0,0,'Données projet'!$E$12+1,1))-AVERAGE(OFFSET($H$3,0,0,'Données projet'!$E$12+1,1))</f>
        <v>91.274378490051788</v>
      </c>
      <c r="CE179" s="59">
        <f t="shared" si="148"/>
        <v>126.60105012427914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3.0786086855967287</v>
      </c>
      <c r="CL179" s="21">
        <f>EXP(-LN(2)/25)*CL178+(1-EXP(-LN(2)/25))/(LN(2)/25)*Calculateur!CG179*Calculateur!CI179*VLOOKUP('Données projet'!$B$12,Paramètres!$A$1:$I$89,3,0)*0.475*44/12</f>
        <v>1.662477236523896</v>
      </c>
      <c r="CM179" s="21">
        <f>EXP(-LN(2)/2)*CM178+(1-EXP(-LN(2)/2))/(LN(2)/2)*CG179*CJ179*VLOOKUP('Données projet'!$B$12,Paramètres!$A$1:$I$89,3,0)*0.475*44/12</f>
        <v>2.8526221338886947E-12</v>
      </c>
      <c r="CN179" s="22">
        <f t="shared" si="172"/>
        <v>4.741085922123478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350.09239406910712</v>
      </c>
      <c r="T180" s="59">
        <f t="shared" si="142"/>
        <v>473.30663081727369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21.593989385701448</v>
      </c>
      <c r="AA180" s="21">
        <f>EXP(-LN(2)/25)*AA179+(1-EXP(-LN(2)/25))/(LN(2)/25)*Calculateur!V180*Calculateur!X180*VLOOKUP('Données projet'!$B$9,Paramètres!$A$1:$I$89,3,0)*0.475*44/12</f>
        <v>2.8077281136339316</v>
      </c>
      <c r="AB180" s="21">
        <f>EXP(-LN(2)/2)*AB179+(1-EXP(-LN(2)/2))/(LN(2)/2)*V180*Y180*VLOOKUP('Données projet'!$B$9,Paramètres!$A$1:$I$89,3,0)*0.475*44/12</f>
        <v>2.806175751223247E-17</v>
      </c>
      <c r="AC180" s="22">
        <f t="shared" si="163"/>
        <v>24.40171749933538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179.4725256147085</v>
      </c>
      <c r="AO180" s="59">
        <f t="shared" si="144"/>
        <v>282.16750121151176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14.230682013994414</v>
      </c>
      <c r="AV180" s="21">
        <f>EXP(-LN(2)/25)*AV179+(1-EXP(-LN(2)/25))/(LN(2)/25)*Calculateur!AQ180*Calculateur!AS180*VLOOKUP('Données projet'!$B$10,Paramètres!$A$1:$I$89,3,0)*0.475*44/12</f>
        <v>1.9061587931350201</v>
      </c>
      <c r="AW180" s="21">
        <f>EXP(-LN(2)/2)*AW179+(1-EXP(-LN(2)/2))/(LN(2)/2)*AQ180*AT180*VLOOKUP('Données projet'!$B$10,Paramètres!$A$1:$I$89,3,0)*0.475*44/12</f>
        <v>1.0578595549773175E-16</v>
      </c>
      <c r="AX180" s="21">
        <f t="shared" si="166"/>
        <v>16.136840807129435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1.064108801074326E-13</v>
      </c>
      <c r="BF180" s="13">
        <f t="shared" si="167"/>
        <v>1.5870730813698654E-12</v>
      </c>
      <c r="BG180" s="20">
        <f t="shared" si="168"/>
        <v>2.9494845662396269E-12</v>
      </c>
      <c r="BH180" s="59">
        <f t="shared" si="116"/>
        <v>293.33333333333627</v>
      </c>
      <c r="BI180" s="59">
        <f ca="1">AVERAGE(OFFSET($BH$3,0,0,'Données projet'!$E$11+1,1))-AVERAGE(OFFSET($H$3,0,0,'Données projet'!$E$11+1,1))</f>
        <v>227.19831549982962</v>
      </c>
      <c r="BJ180" s="59">
        <f t="shared" si="146"/>
        <v>309.84543033784564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18.388478538351446</v>
      </c>
      <c r="BQ180" s="21">
        <f>EXP(-LN(2)/25)*BQ179+(1-EXP(-LN(2)/25))/(LN(2)/25)*Calculateur!BL180*Calculateur!BN180*VLOOKUP('Données projet'!$B$11,Paramètres!$A$1:$I$89,3,0)*0.475*44/12</f>
        <v>2.5990381952782351</v>
      </c>
      <c r="BR180" s="21">
        <f>EXP(-LN(2)/2)*BR179+(1-EXP(-LN(2)/2))/(LN(2)/2)*BL180*BO180*VLOOKUP('Données projet'!$B$11,Paramètres!$A$1:$I$89,3,0)*0.475*44/12</f>
        <v>2.96495358791577E-16</v>
      </c>
      <c r="BS180" s="22">
        <f t="shared" si="169"/>
        <v>20.987516733629683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2.2737367544323206E-13</v>
      </c>
      <c r="BZ180" s="13">
        <f>BY180*VLOOKUP('Données projet'!$B$12,Paramètres!$A$1:$I$89,3,0)*VLOOKUP('Données projet'!$B$12,Paramètres!$A$1:$I$89,5,0)</f>
        <v>1.4897523215040565E-13</v>
      </c>
      <c r="CA180" s="13">
        <f t="shared" si="170"/>
        <v>2.136562777003313E-12</v>
      </c>
      <c r="CB180" s="20">
        <f t="shared" si="171"/>
        <v>3.9806453659427267E-12</v>
      </c>
      <c r="CC180" s="59">
        <f t="shared" si="119"/>
        <v>293.33333333333729</v>
      </c>
      <c r="CD180" s="59">
        <f ca="1">AVERAGE(OFFSET($CC$3,0,0,'Données projet'!$E$12+1,1))-AVERAGE(OFFSET($H$3,0,0,'Données projet'!$E$12+1,1))</f>
        <v>91.274378490051788</v>
      </c>
      <c r="CE180" s="59">
        <f t="shared" si="148"/>
        <v>126.60105012427914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3.0182390470380609</v>
      </c>
      <c r="CL180" s="21">
        <f>EXP(-LN(2)/25)*CL179+(1-EXP(-LN(2)/25))/(LN(2)/25)*Calculateur!CG180*Calculateur!CI180*VLOOKUP('Données projet'!$B$12,Paramètres!$A$1:$I$89,3,0)*0.475*44/12</f>
        <v>1.6170167090652718</v>
      </c>
      <c r="CM180" s="21">
        <f>EXP(-LN(2)/2)*CM179+(1-EXP(-LN(2)/2))/(LN(2)/2)*CG180*CJ180*VLOOKUP('Données projet'!$B$12,Paramètres!$A$1:$I$89,3,0)*0.475*44/12</f>
        <v>2.0171084550355355E-12</v>
      </c>
      <c r="CN180" s="22">
        <f t="shared" si="172"/>
        <v>4.6352557561053498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350.09239406910712</v>
      </c>
      <c r="T181" s="59">
        <f t="shared" si="142"/>
        <v>473.30663081727369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21.170544424880838</v>
      </c>
      <c r="AA181" s="21">
        <f>EXP(-LN(2)/25)*AA180+(1-EXP(-LN(2)/25))/(LN(2)/25)*Calculateur!V181*Calculateur!X181*VLOOKUP('Données projet'!$B$9,Paramètres!$A$1:$I$89,3,0)*0.475*44/12</f>
        <v>2.7309506407146076</v>
      </c>
      <c r="AB181" s="21">
        <f>EXP(-LN(2)/2)*AB180+(1-EXP(-LN(2)/2))/(LN(2)/2)*V181*Y181*VLOOKUP('Données projet'!$B$9,Paramètres!$A$1:$I$89,3,0)*0.475*44/12</f>
        <v>1.9842659028912122E-17</v>
      </c>
      <c r="AC181" s="22">
        <f t="shared" si="163"/>
        <v>23.901495065595444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179.4725256147085</v>
      </c>
      <c r="AO181" s="59">
        <f t="shared" si="144"/>
        <v>282.16750121151176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13.951627019558947</v>
      </c>
      <c r="AV181" s="21">
        <f>EXP(-LN(2)/25)*AV180+(1-EXP(-LN(2)/25))/(LN(2)/25)*Calculateur!AQ181*Calculateur!AS181*VLOOKUP('Données projet'!$B$10,Paramètres!$A$1:$I$89,3,0)*0.475*44/12</f>
        <v>1.8540347806962088</v>
      </c>
      <c r="AW181" s="21">
        <f>EXP(-LN(2)/2)*AW180+(1-EXP(-LN(2)/2))/(LN(2)/2)*AQ181*AT181*VLOOKUP('Données projet'!$B$10,Paramètres!$A$1:$I$89,3,0)*0.475*44/12</f>
        <v>7.4801966486744461E-17</v>
      </c>
      <c r="AX181" s="21">
        <f t="shared" si="166"/>
        <v>15.805661800255155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1.064108801074326E-13</v>
      </c>
      <c r="BF181" s="13">
        <f t="shared" si="167"/>
        <v>1.5870730813698654E-12</v>
      </c>
      <c r="BG181" s="20">
        <f t="shared" si="168"/>
        <v>2.9494845662396269E-12</v>
      </c>
      <c r="BH181" s="59">
        <f t="shared" si="116"/>
        <v>293.33333333333627</v>
      </c>
      <c r="BI181" s="59">
        <f ca="1">AVERAGE(OFFSET($BH$3,0,0,'Données projet'!$E$11+1,1))-AVERAGE(OFFSET($H$3,0,0,'Données projet'!$E$11+1,1))</f>
        <v>227.19831549982962</v>
      </c>
      <c r="BJ181" s="59">
        <f t="shared" si="146"/>
        <v>309.84543033784564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18.027891690078807</v>
      </c>
      <c r="BQ181" s="21">
        <f>EXP(-LN(2)/25)*BQ180+(1-EXP(-LN(2)/25))/(LN(2)/25)*Calculateur!BL181*Calculateur!BN181*VLOOKUP('Données projet'!$B$11,Paramètres!$A$1:$I$89,3,0)*0.475*44/12</f>
        <v>2.5279673591508733</v>
      </c>
      <c r="BR181" s="21">
        <f>EXP(-LN(2)/2)*BR180+(1-EXP(-LN(2)/2))/(LN(2)/2)*BL181*BO181*VLOOKUP('Données projet'!$B$11,Paramètres!$A$1:$I$89,3,0)*0.475*44/12</f>
        <v>2.0965387879186254E-16</v>
      </c>
      <c r="BS181" s="22">
        <f t="shared" si="169"/>
        <v>20.555859049229682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2.2737367544323206E-13</v>
      </c>
      <c r="BZ181" s="13">
        <f>BY181*VLOOKUP('Données projet'!$B$12,Paramètres!$A$1:$I$89,3,0)*VLOOKUP('Données projet'!$B$12,Paramètres!$A$1:$I$89,5,0)</f>
        <v>1.4897523215040565E-13</v>
      </c>
      <c r="CA181" s="13">
        <f t="shared" si="170"/>
        <v>2.136562777003313E-12</v>
      </c>
      <c r="CB181" s="20">
        <f t="shared" si="171"/>
        <v>3.9806453659427267E-12</v>
      </c>
      <c r="CC181" s="59">
        <f t="shared" si="119"/>
        <v>293.33333333333729</v>
      </c>
      <c r="CD181" s="59">
        <f ca="1">AVERAGE(OFFSET($CC$3,0,0,'Données projet'!$E$12+1,1))-AVERAGE(OFFSET($H$3,0,0,'Données projet'!$E$12+1,1))</f>
        <v>91.274378490051788</v>
      </c>
      <c r="CE181" s="59">
        <f t="shared" si="148"/>
        <v>126.60105012427914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2.9590532202696851</v>
      </c>
      <c r="CL181" s="21">
        <f>EXP(-LN(2)/25)*CL180+(1-EXP(-LN(2)/25))/(LN(2)/25)*Calculateur!CG181*Calculateur!CI181*VLOOKUP('Données projet'!$B$12,Paramètres!$A$1:$I$89,3,0)*0.475*44/12</f>
        <v>1.572799302120669</v>
      </c>
      <c r="CM181" s="21">
        <f>EXP(-LN(2)/2)*CM180+(1-EXP(-LN(2)/2))/(LN(2)/2)*CG181*CJ181*VLOOKUP('Données projet'!$B$12,Paramètres!$A$1:$I$89,3,0)*0.475*44/12</f>
        <v>1.4263110669443473E-12</v>
      </c>
      <c r="CN181" s="22">
        <f t="shared" si="172"/>
        <v>4.5318525223917803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350.09239406910712</v>
      </c>
      <c r="T182" s="59">
        <f t="shared" si="142"/>
        <v>473.30663081727369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20.755402961465993</v>
      </c>
      <c r="AA182" s="21">
        <f>EXP(-LN(2)/25)*AA181+(1-EXP(-LN(2)/25))/(LN(2)/25)*Calculateur!V182*Calculateur!X182*VLOOKUP('Données projet'!$B$9,Paramètres!$A$1:$I$89,3,0)*0.475*44/12</f>
        <v>2.6562726518298141</v>
      </c>
      <c r="AB182" s="21">
        <f>EXP(-LN(2)/2)*AB181+(1-EXP(-LN(2)/2))/(LN(2)/2)*V182*Y182*VLOOKUP('Données projet'!$B$9,Paramètres!$A$1:$I$89,3,0)*0.475*44/12</f>
        <v>1.4030878756116235E-17</v>
      </c>
      <c r="AC182" s="22">
        <f t="shared" si="163"/>
        <v>23.411675613295806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179.4725256147085</v>
      </c>
      <c r="AO182" s="59">
        <f t="shared" si="144"/>
        <v>282.16750121151176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13.678044123357619</v>
      </c>
      <c r="AV182" s="21">
        <f>EXP(-LN(2)/25)*AV181+(1-EXP(-LN(2)/25))/(LN(2)/25)*Calculateur!AQ182*Calculateur!AS182*VLOOKUP('Données projet'!$B$10,Paramètres!$A$1:$I$89,3,0)*0.475*44/12</f>
        <v>1.8033361021186192</v>
      </c>
      <c r="AW182" s="21">
        <f>EXP(-LN(2)/2)*AW181+(1-EXP(-LN(2)/2))/(LN(2)/2)*AQ182*AT182*VLOOKUP('Données projet'!$B$10,Paramètres!$A$1:$I$89,3,0)*0.475*44/12</f>
        <v>5.2892977748865877E-17</v>
      </c>
      <c r="AX182" s="21">
        <f t="shared" si="166"/>
        <v>15.481380225476238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1.064108801074326E-13</v>
      </c>
      <c r="BF182" s="13">
        <f t="shared" si="167"/>
        <v>1.5870730813698654E-12</v>
      </c>
      <c r="BG182" s="20">
        <f t="shared" si="168"/>
        <v>2.9494845662396269E-12</v>
      </c>
      <c r="BH182" s="59">
        <f t="shared" si="116"/>
        <v>293.33333333333627</v>
      </c>
      <c r="BI182" s="59">
        <f ca="1">AVERAGE(OFFSET($BH$3,0,0,'Données projet'!$E$11+1,1))-AVERAGE(OFFSET($H$3,0,0,'Données projet'!$E$11+1,1))</f>
        <v>227.19831549982962</v>
      </c>
      <c r="BJ182" s="59">
        <f t="shared" si="146"/>
        <v>309.84543033784564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17.674375729964535</v>
      </c>
      <c r="BQ182" s="21">
        <f>EXP(-LN(2)/25)*BQ181+(1-EXP(-LN(2)/25))/(LN(2)/25)*Calculateur!BL182*Calculateur!BN182*VLOOKUP('Données projet'!$B$11,Paramètres!$A$1:$I$89,3,0)*0.475*44/12</f>
        <v>2.4588399587748668</v>
      </c>
      <c r="BR182" s="21">
        <f>EXP(-LN(2)/2)*BR181+(1-EXP(-LN(2)/2))/(LN(2)/2)*BL182*BO182*VLOOKUP('Données projet'!$B$11,Paramètres!$A$1:$I$89,3,0)*0.475*44/12</f>
        <v>1.482476793957885E-16</v>
      </c>
      <c r="BS182" s="22">
        <f t="shared" si="169"/>
        <v>20.133215688739401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2.2737367544323206E-13</v>
      </c>
      <c r="BZ182" s="13">
        <f>BY182*VLOOKUP('Données projet'!$B$12,Paramètres!$A$1:$I$89,3,0)*VLOOKUP('Données projet'!$B$12,Paramètres!$A$1:$I$89,5,0)</f>
        <v>1.4897523215040565E-13</v>
      </c>
      <c r="CA182" s="13">
        <f t="shared" si="170"/>
        <v>2.136562777003313E-12</v>
      </c>
      <c r="CB182" s="20">
        <f t="shared" si="171"/>
        <v>3.9806453659427267E-12</v>
      </c>
      <c r="CC182" s="59">
        <f t="shared" si="119"/>
        <v>293.33333333333729</v>
      </c>
      <c r="CD182" s="59">
        <f ca="1">AVERAGE(OFFSET($CC$3,0,0,'Données projet'!$E$12+1,1))-AVERAGE(OFFSET($H$3,0,0,'Données projet'!$E$12+1,1))</f>
        <v>91.274378490051788</v>
      </c>
      <c r="CE182" s="59">
        <f t="shared" si="148"/>
        <v>126.60105012427914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2.9010279914644475</v>
      </c>
      <c r="CL182" s="21">
        <f>EXP(-LN(2)/25)*CL181+(1-EXP(-LN(2)/25))/(LN(2)/25)*Calculateur!CG182*Calculateur!CI182*VLOOKUP('Données projet'!$B$12,Paramètres!$A$1:$I$89,3,0)*0.475*44/12</f>
        <v>1.5297910224942586</v>
      </c>
      <c r="CM182" s="21">
        <f>EXP(-LN(2)/2)*CM181+(1-EXP(-LN(2)/2))/(LN(2)/2)*CG182*CJ182*VLOOKUP('Données projet'!$B$12,Paramètres!$A$1:$I$89,3,0)*0.475*44/12</f>
        <v>1.0085542275177677E-12</v>
      </c>
      <c r="CN182" s="22">
        <f t="shared" si="172"/>
        <v>4.4308190139597148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350.09239406910712</v>
      </c>
      <c r="T183" s="59">
        <f t="shared" si="142"/>
        <v>473.30663081727369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20.348402168937426</v>
      </c>
      <c r="AA183" s="21">
        <f>EXP(-LN(2)/25)*AA182+(1-EXP(-LN(2)/25))/(LN(2)/25)*Calculateur!V183*Calculateur!X183*VLOOKUP('Données projet'!$B$9,Paramètres!$A$1:$I$89,3,0)*0.475*44/12</f>
        <v>2.58363673647822</v>
      </c>
      <c r="AB183" s="21">
        <f>EXP(-LN(2)/2)*AB182+(1-EXP(-LN(2)/2))/(LN(2)/2)*V183*Y183*VLOOKUP('Données projet'!$B$9,Paramètres!$A$1:$I$89,3,0)*0.475*44/12</f>
        <v>9.921329514456061E-18</v>
      </c>
      <c r="AC183" s="22">
        <f t="shared" si="163"/>
        <v>22.932038905415645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179.4725256147085</v>
      </c>
      <c r="AO183" s="59">
        <f t="shared" si="144"/>
        <v>282.16750121151176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13.409826020881709</v>
      </c>
      <c r="AV183" s="21">
        <f>EXP(-LN(2)/25)*AV182+(1-EXP(-LN(2)/25))/(LN(2)/25)*Calculateur!AQ183*Calculateur!AS183*VLOOKUP('Données projet'!$B$10,Paramètres!$A$1:$I$89,3,0)*0.475*44/12</f>
        <v>1.7540237815728614</v>
      </c>
      <c r="AW183" s="21">
        <f>EXP(-LN(2)/2)*AW182+(1-EXP(-LN(2)/2))/(LN(2)/2)*AQ183*AT183*VLOOKUP('Données projet'!$B$10,Paramètres!$A$1:$I$89,3,0)*0.475*44/12</f>
        <v>3.740098324337223E-17</v>
      </c>
      <c r="AX183" s="21">
        <f t="shared" si="166"/>
        <v>15.163849802454571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1.064108801074326E-13</v>
      </c>
      <c r="BF183" s="13">
        <f t="shared" si="167"/>
        <v>1.5870730813698654E-12</v>
      </c>
      <c r="BG183" s="20">
        <f t="shared" si="168"/>
        <v>2.9494845662396269E-12</v>
      </c>
      <c r="BH183" s="59">
        <f t="shared" si="116"/>
        <v>293.33333333333627</v>
      </c>
      <c r="BI183" s="59">
        <f ca="1">AVERAGE(OFFSET($BH$3,0,0,'Données projet'!$E$11+1,1))-AVERAGE(OFFSET($H$3,0,0,'Données projet'!$E$11+1,1))</f>
        <v>227.19831549982962</v>
      </c>
      <c r="BJ183" s="59">
        <f t="shared" si="146"/>
        <v>309.84543033784564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17.32779200220466</v>
      </c>
      <c r="BQ183" s="21">
        <f>EXP(-LN(2)/25)*BQ182+(1-EXP(-LN(2)/25))/(LN(2)/25)*Calculateur!BL183*Calculateur!BN183*VLOOKUP('Données projet'!$B$11,Paramètres!$A$1:$I$89,3,0)*0.475*44/12</f>
        <v>2.3916028507973945</v>
      </c>
      <c r="BR183" s="21">
        <f>EXP(-LN(2)/2)*BR182+(1-EXP(-LN(2)/2))/(LN(2)/2)*BL183*BO183*VLOOKUP('Données projet'!$B$11,Paramètres!$A$1:$I$89,3,0)*0.475*44/12</f>
        <v>1.0482693939593127E-16</v>
      </c>
      <c r="BS183" s="22">
        <f t="shared" si="169"/>
        <v>19.719394853002054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2.2737367544323206E-13</v>
      </c>
      <c r="BZ183" s="13">
        <f>BY183*VLOOKUP('Données projet'!$B$12,Paramètres!$A$1:$I$89,3,0)*VLOOKUP('Données projet'!$B$12,Paramètres!$A$1:$I$89,5,0)</f>
        <v>1.4897523215040565E-13</v>
      </c>
      <c r="CA183" s="13">
        <f t="shared" si="170"/>
        <v>2.136562777003313E-12</v>
      </c>
      <c r="CB183" s="20">
        <f t="shared" si="171"/>
        <v>3.9806453659427267E-12</v>
      </c>
      <c r="CC183" s="59">
        <f t="shared" si="119"/>
        <v>293.33333333333729</v>
      </c>
      <c r="CD183" s="59">
        <f ca="1">AVERAGE(OFFSET($CC$3,0,0,'Données projet'!$E$12+1,1))-AVERAGE(OFFSET($H$3,0,0,'Données projet'!$E$12+1,1))</f>
        <v>91.274378490051788</v>
      </c>
      <c r="CE183" s="59">
        <f t="shared" si="148"/>
        <v>126.60105012427914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2.8441406020041855</v>
      </c>
      <c r="CL183" s="21">
        <f>EXP(-LN(2)/25)*CL182+(1-EXP(-LN(2)/25))/(LN(2)/25)*Calculateur!CG183*Calculateur!CI183*VLOOKUP('Données projet'!$B$12,Paramètres!$A$1:$I$89,3,0)*0.475*44/12</f>
        <v>1.4879588065359395</v>
      </c>
      <c r="CM183" s="21">
        <f>EXP(-LN(2)/2)*CM182+(1-EXP(-LN(2)/2))/(LN(2)/2)*CG183*CJ183*VLOOKUP('Données projet'!$B$12,Paramètres!$A$1:$I$89,3,0)*0.475*44/12</f>
        <v>7.1315553347217367E-13</v>
      </c>
      <c r="CN183" s="22">
        <f t="shared" si="172"/>
        <v>4.332099408540838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350.09239406910712</v>
      </c>
      <c r="T184" s="59">
        <f t="shared" si="142"/>
        <v>473.30663081727369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19.94938241370437</v>
      </c>
      <c r="AA184" s="21">
        <f>EXP(-LN(2)/25)*AA183+(1-EXP(-LN(2)/25))/(LN(2)/25)*Calculateur!V184*Calculateur!X184*VLOOKUP('Données projet'!$B$9,Paramètres!$A$1:$I$89,3,0)*0.475*44/12</f>
        <v>2.5129870540516719</v>
      </c>
      <c r="AB184" s="21">
        <f>EXP(-LN(2)/2)*AB183+(1-EXP(-LN(2)/2))/(LN(2)/2)*V184*Y184*VLOOKUP('Données projet'!$B$9,Paramètres!$A$1:$I$89,3,0)*0.475*44/12</f>
        <v>7.0154393780581174E-18</v>
      </c>
      <c r="AC184" s="22">
        <f t="shared" si="163"/>
        <v>22.462369467756041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179.4725256147085</v>
      </c>
      <c r="AO184" s="59">
        <f t="shared" si="144"/>
        <v>282.16750121151176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13.146867511798463</v>
      </c>
      <c r="AV184" s="21">
        <f>EXP(-LN(2)/25)*AV183+(1-EXP(-LN(2)/25))/(LN(2)/25)*Calculateur!AQ184*Calculateur!AS184*VLOOKUP('Données projet'!$B$10,Paramètres!$A$1:$I$89,3,0)*0.475*44/12</f>
        <v>1.7060599090256496</v>
      </c>
      <c r="AW184" s="21">
        <f>EXP(-LN(2)/2)*AW183+(1-EXP(-LN(2)/2))/(LN(2)/2)*AQ184*AT184*VLOOKUP('Données projet'!$B$10,Paramètres!$A$1:$I$89,3,0)*0.475*44/12</f>
        <v>2.6446488874432938E-17</v>
      </c>
      <c r="AX184" s="21">
        <f t="shared" si="166"/>
        <v>14.852927420824113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1.064108801074326E-13</v>
      </c>
      <c r="BF184" s="13">
        <f t="shared" si="167"/>
        <v>1.5870730813698654E-12</v>
      </c>
      <c r="BG184" s="20">
        <f t="shared" si="168"/>
        <v>2.9494845662396269E-12</v>
      </c>
      <c r="BH184" s="59">
        <f t="shared" si="116"/>
        <v>293.33333333333627</v>
      </c>
      <c r="BI184" s="59">
        <f ca="1">AVERAGE(OFFSET($BH$3,0,0,'Données projet'!$E$11+1,1))-AVERAGE(OFFSET($H$3,0,0,'Données projet'!$E$11+1,1))</f>
        <v>227.19831549982962</v>
      </c>
      <c r="BJ184" s="59">
        <f t="shared" si="146"/>
        <v>309.84543033784564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16.988004569950956</v>
      </c>
      <c r="BQ184" s="21">
        <f>EXP(-LN(2)/25)*BQ183+(1-EXP(-LN(2)/25))/(LN(2)/25)*Calculateur!BL184*Calculateur!BN184*VLOOKUP('Données projet'!$B$11,Paramètres!$A$1:$I$89,3,0)*0.475*44/12</f>
        <v>2.3262043450734118</v>
      </c>
      <c r="BR184" s="21">
        <f>EXP(-LN(2)/2)*BR183+(1-EXP(-LN(2)/2))/(LN(2)/2)*BL184*BO184*VLOOKUP('Données projet'!$B$11,Paramètres!$A$1:$I$89,3,0)*0.475*44/12</f>
        <v>7.4123839697894249E-17</v>
      </c>
      <c r="BS184" s="22">
        <f t="shared" si="169"/>
        <v>19.314208915024366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1.4897523215040565E-13</v>
      </c>
      <c r="CA184" s="13">
        <f t="shared" si="170"/>
        <v>2.136562777003313E-12</v>
      </c>
      <c r="CB184" s="20">
        <f t="shared" si="171"/>
        <v>3.9806453659427267E-12</v>
      </c>
      <c r="CC184" s="59">
        <f t="shared" si="119"/>
        <v>293.33333333333729</v>
      </c>
      <c r="CD184" s="59">
        <f ca="1">AVERAGE(OFFSET($CC$3,0,0,'Données projet'!$E$12+1,1))-AVERAGE(OFFSET($H$3,0,0,'Données projet'!$E$12+1,1))</f>
        <v>91.274378490051788</v>
      </c>
      <c r="CE184" s="59">
        <f t="shared" si="148"/>
        <v>126.60105012427914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2.7883687395533578</v>
      </c>
      <c r="CL184" s="21">
        <f>EXP(-LN(2)/25)*CL183+(1-EXP(-LN(2)/25))/(LN(2)/25)*Calculateur!CG184*Calculateur!CI184*VLOOKUP('Données projet'!$B$12,Paramètres!$A$1:$I$89,3,0)*0.475*44/12</f>
        <v>1.4472704947228614</v>
      </c>
      <c r="CM184" s="21">
        <f>EXP(-LN(2)/2)*CM183+(1-EXP(-LN(2)/2))/(LN(2)/2)*CG184*CJ184*VLOOKUP('Données projet'!$B$12,Paramètres!$A$1:$I$89,3,0)*0.475*44/12</f>
        <v>5.0427711375888387E-13</v>
      </c>
      <c r="CN184" s="22">
        <f t="shared" si="172"/>
        <v>4.2356392342767233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350.09239406910712</v>
      </c>
      <c r="T185" s="59">
        <f t="shared" si="142"/>
        <v>473.30663081727369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19.558187192493417</v>
      </c>
      <c r="AA185" s="21">
        <f>EXP(-LN(2)/25)*AA184+(1-EXP(-LN(2)/25))/(LN(2)/25)*Calculateur!V185*Calculateur!X185*VLOOKUP('Données projet'!$B$9,Paramètres!$A$1:$I$89,3,0)*0.475*44/12</f>
        <v>2.4442692909063832</v>
      </c>
      <c r="AB185" s="21">
        <f>EXP(-LN(2)/2)*AB184+(1-EXP(-LN(2)/2))/(LN(2)/2)*V185*Y185*VLOOKUP('Données projet'!$B$9,Paramètres!$A$1:$I$89,3,0)*0.475*44/12</f>
        <v>4.9606647572280305E-18</v>
      </c>
      <c r="AC185" s="22">
        <f t="shared" si="163"/>
        <v>22.002456483399801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179.4725256147085</v>
      </c>
      <c r="AO185" s="59">
        <f t="shared" si="144"/>
        <v>282.16750121151176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12.889065458689487</v>
      </c>
      <c r="AV185" s="21">
        <f>EXP(-LN(2)/25)*AV184+(1-EXP(-LN(2)/25))/(LN(2)/25)*Calculateur!AQ185*Calculateur!AS185*VLOOKUP('Données projet'!$B$10,Paramètres!$A$1:$I$89,3,0)*0.475*44/12</f>
        <v>1.6594076110955518</v>
      </c>
      <c r="AW185" s="21">
        <f>EXP(-LN(2)/2)*AW184+(1-EXP(-LN(2)/2))/(LN(2)/2)*AQ185*AT185*VLOOKUP('Données projet'!$B$10,Paramètres!$A$1:$I$89,3,0)*0.475*44/12</f>
        <v>1.8700491621686115E-17</v>
      </c>
      <c r="AX185" s="21">
        <f t="shared" si="166"/>
        <v>14.54847306978504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1.064108801074326E-13</v>
      </c>
      <c r="BF185" s="13">
        <f t="shared" si="167"/>
        <v>1.5870730813698654E-12</v>
      </c>
      <c r="BG185" s="20">
        <f t="shared" si="168"/>
        <v>2.9494845662396269E-12</v>
      </c>
      <c r="BH185" s="59">
        <f t="shared" si="116"/>
        <v>293.33333333333627</v>
      </c>
      <c r="BI185" s="59">
        <f ca="1">AVERAGE(OFFSET($BH$3,0,0,'Données projet'!$E$11+1,1))-AVERAGE(OFFSET($H$3,0,0,'Données projet'!$E$11+1,1))</f>
        <v>227.19831549982962</v>
      </c>
      <c r="BJ185" s="59">
        <f t="shared" si="146"/>
        <v>309.84543033784564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16.654880161993876</v>
      </c>
      <c r="BQ185" s="21">
        <f>EXP(-LN(2)/25)*BQ184+(1-EXP(-LN(2)/25))/(LN(2)/25)*Calculateur!BL185*Calculateur!BN185*VLOOKUP('Données projet'!$B$11,Paramètres!$A$1:$I$89,3,0)*0.475*44/12</f>
        <v>2.2625941649276093</v>
      </c>
      <c r="BR185" s="21">
        <f>EXP(-LN(2)/2)*BR184+(1-EXP(-LN(2)/2))/(LN(2)/2)*BL185*BO185*VLOOKUP('Données projet'!$B$11,Paramètres!$A$1:$I$89,3,0)*0.475*44/12</f>
        <v>5.2413469697965634E-17</v>
      </c>
      <c r="BS185" s="22">
        <f t="shared" si="169"/>
        <v>18.917474326921486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1.4897523215040565E-13</v>
      </c>
      <c r="CA185" s="13">
        <f t="shared" si="170"/>
        <v>2.136562777003313E-12</v>
      </c>
      <c r="CB185" s="20">
        <f t="shared" si="171"/>
        <v>3.9806453659427267E-12</v>
      </c>
      <c r="CC185" s="59">
        <f t="shared" si="119"/>
        <v>293.33333333333729</v>
      </c>
      <c r="CD185" s="59">
        <f ca="1">AVERAGE(OFFSET($CC$3,0,0,'Données projet'!$E$12+1,1))-AVERAGE(OFFSET($H$3,0,0,'Données projet'!$E$12+1,1))</f>
        <v>91.274378490051788</v>
      </c>
      <c r="CE185" s="59">
        <f t="shared" si="148"/>
        <v>126.60105012427914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2.7336905293077138</v>
      </c>
      <c r="CL185" s="21">
        <f>EXP(-LN(2)/25)*CL184+(1-EXP(-LN(2)/25))/(LN(2)/25)*Calculateur!CG185*Calculateur!CI185*VLOOKUP('Données projet'!$B$12,Paramètres!$A$1:$I$89,3,0)*0.475*44/12</f>
        <v>1.4076948069360171</v>
      </c>
      <c r="CM185" s="21">
        <f>EXP(-LN(2)/2)*CM184+(1-EXP(-LN(2)/2))/(LN(2)/2)*CG185*CJ185*VLOOKUP('Données projet'!$B$12,Paramètres!$A$1:$I$89,3,0)*0.475*44/12</f>
        <v>3.5657776673608683E-13</v>
      </c>
      <c r="CN185" s="22">
        <f t="shared" si="172"/>
        <v>4.1413853362440873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350.09239406910712</v>
      </c>
      <c r="T186" s="59">
        <f t="shared" si="142"/>
        <v>473.30663081727369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19.174663070964886</v>
      </c>
      <c r="AA186" s="21">
        <f>EXP(-LN(2)/25)*AA185+(1-EXP(-LN(2)/25))/(LN(2)/25)*Calculateur!V186*Calculateur!X186*VLOOKUP('Données projet'!$B$9,Paramètres!$A$1:$I$89,3,0)*0.475*44/12</f>
        <v>2.3774306186080127</v>
      </c>
      <c r="AB186" s="21">
        <f>EXP(-LN(2)/2)*AB185+(1-EXP(-LN(2)/2))/(LN(2)/2)*V186*Y186*VLOOKUP('Données projet'!$B$9,Paramètres!$A$1:$I$89,3,0)*0.475*44/12</f>
        <v>3.5077196890290587E-18</v>
      </c>
      <c r="AC186" s="22">
        <f t="shared" si="163"/>
        <v>21.552093689572899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179.4725256147085</v>
      </c>
      <c r="AO186" s="59">
        <f t="shared" si="144"/>
        <v>282.16750121151176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12.636318746598253</v>
      </c>
      <c r="AV186" s="21">
        <f>EXP(-LN(2)/25)*AV185+(1-EXP(-LN(2)/25))/(LN(2)/25)*Calculateur!AQ186*Calculateur!AS186*VLOOKUP('Données projet'!$B$10,Paramètres!$A$1:$I$89,3,0)*0.475*44/12</f>
        <v>1.6140310227056902</v>
      </c>
      <c r="AW186" s="21">
        <f>EXP(-LN(2)/2)*AW185+(1-EXP(-LN(2)/2))/(LN(2)/2)*AQ186*AT186*VLOOKUP('Données projet'!$B$10,Paramètres!$A$1:$I$89,3,0)*0.475*44/12</f>
        <v>1.3223244437216469E-17</v>
      </c>
      <c r="AX186" s="21">
        <f t="shared" si="166"/>
        <v>14.250349769303943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1.064108801074326E-13</v>
      </c>
      <c r="BF186" s="13">
        <f t="shared" si="167"/>
        <v>1.5870730813698654E-12</v>
      </c>
      <c r="BG186" s="20">
        <f t="shared" si="168"/>
        <v>2.9494845662396269E-12</v>
      </c>
      <c r="BH186" s="59">
        <f t="shared" si="116"/>
        <v>293.33333333333627</v>
      </c>
      <c r="BI186" s="59">
        <f ca="1">AVERAGE(OFFSET($BH$3,0,0,'Données projet'!$E$11+1,1))-AVERAGE(OFFSET($H$3,0,0,'Données projet'!$E$11+1,1))</f>
        <v>227.19831549982962</v>
      </c>
      <c r="BJ186" s="59">
        <f t="shared" si="146"/>
        <v>309.84543033784564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16.32828812049101</v>
      </c>
      <c r="BQ186" s="21">
        <f>EXP(-LN(2)/25)*BQ185+(1-EXP(-LN(2)/25))/(LN(2)/25)*Calculateur!BL186*Calculateur!BN186*VLOOKUP('Données projet'!$B$11,Paramètres!$A$1:$I$89,3,0)*0.475*44/12</f>
        <v>2.2007234085030078</v>
      </c>
      <c r="BR186" s="21">
        <f>EXP(-LN(2)/2)*BR185+(1-EXP(-LN(2)/2))/(LN(2)/2)*BL186*BO186*VLOOKUP('Données projet'!$B$11,Paramètres!$A$1:$I$89,3,0)*0.475*44/12</f>
        <v>3.7061919848947125E-17</v>
      </c>
      <c r="BS186" s="22">
        <f t="shared" si="169"/>
        <v>18.529011528994019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1.4897523215040565E-13</v>
      </c>
      <c r="CA186" s="13">
        <f t="shared" si="170"/>
        <v>2.136562777003313E-12</v>
      </c>
      <c r="CB186" s="20">
        <f t="shared" si="171"/>
        <v>3.9806453659427267E-12</v>
      </c>
      <c r="CC186" s="59">
        <f t="shared" si="119"/>
        <v>293.33333333333729</v>
      </c>
      <c r="CD186" s="59">
        <f ca="1">AVERAGE(OFFSET($CC$3,0,0,'Données projet'!$E$12+1,1))-AVERAGE(OFFSET($H$3,0,0,'Données projet'!$E$12+1,1))</f>
        <v>91.274378490051788</v>
      </c>
      <c r="CE186" s="59">
        <f t="shared" si="148"/>
        <v>126.60105012427914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2.6800845254145718</v>
      </c>
      <c r="CL186" s="21">
        <f>EXP(-LN(2)/25)*CL185+(1-EXP(-LN(2)/25))/(LN(2)/25)*Calculateur!CG186*Calculateur!CI186*VLOOKUP('Données projet'!$B$12,Paramètres!$A$1:$I$89,3,0)*0.475*44/12</f>
        <v>1.3692013184128993</v>
      </c>
      <c r="CM186" s="21">
        <f>EXP(-LN(2)/2)*CM185+(1-EXP(-LN(2)/2))/(LN(2)/2)*CG186*CJ186*VLOOKUP('Données projet'!$B$12,Paramètres!$A$1:$I$89,3,0)*0.475*44/12</f>
        <v>2.5213855687944193E-13</v>
      </c>
      <c r="CN186" s="22">
        <f t="shared" si="172"/>
        <v>4.0492858438277235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350.09239406910712</v>
      </c>
      <c r="T187" s="59">
        <f t="shared" si="142"/>
        <v>473.30663081727369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18.798659623532913</v>
      </c>
      <c r="AA187" s="21">
        <f>EXP(-LN(2)/25)*AA186+(1-EXP(-LN(2)/25))/(LN(2)/25)*Calculateur!V187*Calculateur!X187*VLOOKUP('Données projet'!$B$9,Paramètres!$A$1:$I$89,3,0)*0.475*44/12</f>
        <v>2.3124196533185342</v>
      </c>
      <c r="AB187" s="21">
        <f>EXP(-LN(2)/2)*AB186+(1-EXP(-LN(2)/2))/(LN(2)/2)*V187*Y187*VLOOKUP('Données projet'!$B$9,Paramètres!$A$1:$I$89,3,0)*0.475*44/12</f>
        <v>2.4803323786140152E-18</v>
      </c>
      <c r="AC187" s="22">
        <f t="shared" si="163"/>
        <v>21.111079276851449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179.4725256147085</v>
      </c>
      <c r="AO187" s="59">
        <f t="shared" si="144"/>
        <v>282.16750121151176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12.388528243370855</v>
      </c>
      <c r="AV187" s="21">
        <f>EXP(-LN(2)/25)*AV186+(1-EXP(-LN(2)/25))/(LN(2)/25)*Calculateur!AQ187*Calculateur!AS187*VLOOKUP('Données projet'!$B$10,Paramètres!$A$1:$I$89,3,0)*0.475*44/12</f>
        <v>1.5698952595116005</v>
      </c>
      <c r="AW187" s="21">
        <f>EXP(-LN(2)/2)*AW186+(1-EXP(-LN(2)/2))/(LN(2)/2)*AQ187*AT187*VLOOKUP('Données projet'!$B$10,Paramètres!$A$1:$I$89,3,0)*0.475*44/12</f>
        <v>9.3502458108430576E-18</v>
      </c>
      <c r="AX187" s="21">
        <f t="shared" si="166"/>
        <v>13.958423502882455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1.064108801074326E-13</v>
      </c>
      <c r="BF187" s="13">
        <f t="shared" si="167"/>
        <v>1.5870730813698654E-12</v>
      </c>
      <c r="BG187" s="20">
        <f t="shared" si="168"/>
        <v>2.9494845662396269E-12</v>
      </c>
      <c r="BH187" s="59">
        <f t="shared" si="116"/>
        <v>293.33333333333627</v>
      </c>
      <c r="BI187" s="59">
        <f ca="1">AVERAGE(OFFSET($BH$3,0,0,'Données projet'!$E$11+1,1))-AVERAGE(OFFSET($H$3,0,0,'Données projet'!$E$11+1,1))</f>
        <v>227.19831549982962</v>
      </c>
      <c r="BJ187" s="59">
        <f t="shared" si="146"/>
        <v>309.84543033784564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16.008100349720539</v>
      </c>
      <c r="BQ187" s="21">
        <f>EXP(-LN(2)/25)*BQ186+(1-EXP(-LN(2)/25))/(LN(2)/25)*Calculateur!BL187*Calculateur!BN187*VLOOKUP('Données projet'!$B$11,Paramètres!$A$1:$I$89,3,0)*0.475*44/12</f>
        <v>2.1405445111664787</v>
      </c>
      <c r="BR187" s="21">
        <f>EXP(-LN(2)/2)*BR186+(1-EXP(-LN(2)/2))/(LN(2)/2)*BL187*BO187*VLOOKUP('Données projet'!$B$11,Paramètres!$A$1:$I$89,3,0)*0.475*44/12</f>
        <v>2.6206734848982817E-17</v>
      </c>
      <c r="BS187" s="22">
        <f t="shared" si="169"/>
        <v>18.148644860887018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1.4897523215040565E-13</v>
      </c>
      <c r="CA187" s="13">
        <f t="shared" si="170"/>
        <v>2.136562777003313E-12</v>
      </c>
      <c r="CB187" s="20">
        <f t="shared" si="171"/>
        <v>3.9806453659427267E-12</v>
      </c>
      <c r="CC187" s="59">
        <f t="shared" si="119"/>
        <v>293.33333333333729</v>
      </c>
      <c r="CD187" s="59">
        <f ca="1">AVERAGE(OFFSET($CC$3,0,0,'Données projet'!$E$12+1,1))-AVERAGE(OFFSET($H$3,0,0,'Données projet'!$E$12+1,1))</f>
        <v>91.274378490051788</v>
      </c>
      <c r="CE187" s="59">
        <f t="shared" si="148"/>
        <v>126.60105012427914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2.6275297025613402</v>
      </c>
      <c r="CL187" s="21">
        <f>EXP(-LN(2)/25)*CL186+(1-EXP(-LN(2)/25))/(LN(2)/25)*Calculateur!CG187*Calculateur!CI187*VLOOKUP('Données projet'!$B$12,Paramètres!$A$1:$I$89,3,0)*0.475*44/12</f>
        <v>1.3317604363577304</v>
      </c>
      <c r="CM187" s="21">
        <f>EXP(-LN(2)/2)*CM186+(1-EXP(-LN(2)/2))/(LN(2)/2)*CG187*CJ187*VLOOKUP('Données projet'!$B$12,Paramètres!$A$1:$I$89,3,0)*0.475*44/12</f>
        <v>1.7828888336804342E-13</v>
      </c>
      <c r="CN187" s="22">
        <f t="shared" si="172"/>
        <v>3.9592901389192487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350.09239406910712</v>
      </c>
      <c r="T188" s="59">
        <f t="shared" si="142"/>
        <v>473.30663081727369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18.430029374365624</v>
      </c>
      <c r="AA188" s="21">
        <f>EXP(-LN(2)/25)*AA187+(1-EXP(-LN(2)/25))/(LN(2)/25)*Calculateur!V188*Calculateur!X188*VLOOKUP('Données projet'!$B$9,Paramètres!$A$1:$I$89,3,0)*0.475*44/12</f>
        <v>2.2491864162936746</v>
      </c>
      <c r="AB188" s="21">
        <f>EXP(-LN(2)/2)*AB187+(1-EXP(-LN(2)/2))/(LN(2)/2)*V188*Y188*VLOOKUP('Données projet'!$B$9,Paramètres!$A$1:$I$89,3,0)*0.475*44/12</f>
        <v>1.7538598445145294E-18</v>
      </c>
      <c r="AC188" s="22">
        <f t="shared" si="163"/>
        <v>20.679215790659299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179.4725256147085</v>
      </c>
      <c r="AO188" s="59">
        <f t="shared" si="144"/>
        <v>282.16750121151176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12.145596760774463</v>
      </c>
      <c r="AV188" s="21">
        <f>EXP(-LN(2)/25)*AV187+(1-EXP(-LN(2)/25))/(LN(2)/25)*Calculateur!AQ188*Calculateur!AS188*VLOOKUP('Données projet'!$B$10,Paramètres!$A$1:$I$89,3,0)*0.475*44/12</f>
        <v>1.5269663910830522</v>
      </c>
      <c r="AW188" s="21">
        <f>EXP(-LN(2)/2)*AW187+(1-EXP(-LN(2)/2))/(LN(2)/2)*AQ188*AT188*VLOOKUP('Données projet'!$B$10,Paramètres!$A$1:$I$89,3,0)*0.475*44/12</f>
        <v>6.6116222186082346E-18</v>
      </c>
      <c r="AX188" s="21">
        <f t="shared" si="166"/>
        <v>13.672563151857515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1.064108801074326E-13</v>
      </c>
      <c r="BF188" s="13">
        <f t="shared" si="167"/>
        <v>1.5870730813698654E-12</v>
      </c>
      <c r="BG188" s="20">
        <f t="shared" si="168"/>
        <v>2.9494845662396269E-12</v>
      </c>
      <c r="BH188" s="59">
        <f t="shared" si="116"/>
        <v>293.33333333333627</v>
      </c>
      <c r="BI188" s="59">
        <f ca="1">AVERAGE(OFFSET($BH$3,0,0,'Données projet'!$E$11+1,1))-AVERAGE(OFFSET($H$3,0,0,'Données projet'!$E$11+1,1))</f>
        <v>227.19831549982962</v>
      </c>
      <c r="BJ188" s="59">
        <f t="shared" si="146"/>
        <v>309.84543033784564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15.694191265839621</v>
      </c>
      <c r="BQ188" s="21">
        <f>EXP(-LN(2)/25)*BQ187+(1-EXP(-LN(2)/25))/(LN(2)/25)*Calculateur!BL188*Calculateur!BN188*VLOOKUP('Données projet'!$B$11,Paramètres!$A$1:$I$89,3,0)*0.475*44/12</f>
        <v>2.082011208942288</v>
      </c>
      <c r="BR188" s="21">
        <f>EXP(-LN(2)/2)*BR187+(1-EXP(-LN(2)/2))/(LN(2)/2)*BL188*BO188*VLOOKUP('Données projet'!$B$11,Paramètres!$A$1:$I$89,3,0)*0.475*44/12</f>
        <v>1.8530959924473562E-17</v>
      </c>
      <c r="BS188" s="22">
        <f t="shared" si="169"/>
        <v>17.776202474781908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1.4897523215040565E-13</v>
      </c>
      <c r="CA188" s="13">
        <f t="shared" si="170"/>
        <v>2.136562777003313E-12</v>
      </c>
      <c r="CB188" s="20">
        <f t="shared" si="171"/>
        <v>3.9806453659427267E-12</v>
      </c>
      <c r="CC188" s="59">
        <f t="shared" si="119"/>
        <v>293.33333333333729</v>
      </c>
      <c r="CD188" s="59">
        <f ca="1">AVERAGE(OFFSET($CC$3,0,0,'Données projet'!$E$12+1,1))-AVERAGE(OFFSET($H$3,0,0,'Données projet'!$E$12+1,1))</f>
        <v>91.274378490051788</v>
      </c>
      <c r="CE188" s="59">
        <f t="shared" si="148"/>
        <v>126.60105012427914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2.576005447728984</v>
      </c>
      <c r="CL188" s="21">
        <f>EXP(-LN(2)/25)*CL187+(1-EXP(-LN(2)/25))/(LN(2)/25)*Calculateur!CG188*Calculateur!CI188*VLOOKUP('Données projet'!$B$12,Paramètres!$A$1:$I$89,3,0)*0.475*44/12</f>
        <v>1.2953433771912908</v>
      </c>
      <c r="CM188" s="21">
        <f>EXP(-LN(2)/2)*CM187+(1-EXP(-LN(2)/2))/(LN(2)/2)*CG188*CJ188*VLOOKUP('Données projet'!$B$12,Paramètres!$A$1:$I$89,3,0)*0.475*44/12</f>
        <v>1.2606927843972097E-13</v>
      </c>
      <c r="CN188" s="22">
        <f t="shared" si="172"/>
        <v>3.8713488249204007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350.09239406910712</v>
      </c>
      <c r="T189" s="59">
        <f t="shared" si="142"/>
        <v>473.30663081727369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18.068627739542254</v>
      </c>
      <c r="AA189" s="21">
        <f>EXP(-LN(2)/25)*AA188+(1-EXP(-LN(2)/25))/(LN(2)/25)*Calculateur!V189*Calculateur!X189*VLOOKUP('Données projet'!$B$9,Paramètres!$A$1:$I$89,3,0)*0.475*44/12</f>
        <v>2.1876822954605508</v>
      </c>
      <c r="AB189" s="21">
        <f>EXP(-LN(2)/2)*AB188+(1-EXP(-LN(2)/2))/(LN(2)/2)*V189*Y189*VLOOKUP('Données projet'!$B$9,Paramètres!$A$1:$I$89,3,0)*0.475*44/12</f>
        <v>1.2401661893070076E-18</v>
      </c>
      <c r="AC189" s="22">
        <f t="shared" si="163"/>
        <v>20.256310035002805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179.4725256147085</v>
      </c>
      <c r="AO189" s="59">
        <f t="shared" si="144"/>
        <v>282.16750121151176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11.907429016378213</v>
      </c>
      <c r="AV189" s="21">
        <f>EXP(-LN(2)/25)*AV188+(1-EXP(-LN(2)/25))/(LN(2)/25)*Calculateur!AQ189*Calculateur!AS189*VLOOKUP('Données projet'!$B$10,Paramètres!$A$1:$I$89,3,0)*0.475*44/12</f>
        <v>1.4852114148192135</v>
      </c>
      <c r="AW189" s="21">
        <f>EXP(-LN(2)/2)*AW188+(1-EXP(-LN(2)/2))/(LN(2)/2)*AQ189*AT189*VLOOKUP('Données projet'!$B$10,Paramètres!$A$1:$I$89,3,0)*0.475*44/12</f>
        <v>4.6751229054215288E-18</v>
      </c>
      <c r="AX189" s="21">
        <f t="shared" si="166"/>
        <v>13.392640431197426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1.064108801074326E-13</v>
      </c>
      <c r="BF189" s="13">
        <f t="shared" si="167"/>
        <v>1.5870730813698654E-12</v>
      </c>
      <c r="BG189" s="20">
        <f t="shared" si="168"/>
        <v>2.9494845662396269E-12</v>
      </c>
      <c r="BH189" s="59">
        <f t="shared" si="116"/>
        <v>293.33333333333627</v>
      </c>
      <c r="BI189" s="59">
        <f ca="1">AVERAGE(OFFSET($BH$3,0,0,'Données projet'!$E$11+1,1))-AVERAGE(OFFSET($H$3,0,0,'Données projet'!$E$11+1,1))</f>
        <v>227.19831549982962</v>
      </c>
      <c r="BJ189" s="59">
        <f t="shared" si="146"/>
        <v>309.84543033784564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15.386437747627971</v>
      </c>
      <c r="BQ189" s="21">
        <f>EXP(-LN(2)/25)*BQ188+(1-EXP(-LN(2)/25))/(LN(2)/25)*Calculateur!BL189*Calculateur!BN189*VLOOKUP('Données projet'!$B$11,Paramètres!$A$1:$I$89,3,0)*0.475*44/12</f>
        <v>2.0250785029455503</v>
      </c>
      <c r="BR189" s="21">
        <f>EXP(-LN(2)/2)*BR188+(1-EXP(-LN(2)/2))/(LN(2)/2)*BL189*BO189*VLOOKUP('Données projet'!$B$11,Paramètres!$A$1:$I$89,3,0)*0.475*44/12</f>
        <v>1.3103367424491409E-17</v>
      </c>
      <c r="BS189" s="22">
        <f t="shared" si="169"/>
        <v>17.41151625057352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1.4897523215040565E-13</v>
      </c>
      <c r="CA189" s="13">
        <f t="shared" si="170"/>
        <v>2.136562777003313E-12</v>
      </c>
      <c r="CB189" s="20">
        <f t="shared" si="171"/>
        <v>3.9806453659427267E-12</v>
      </c>
      <c r="CC189" s="59">
        <f t="shared" si="119"/>
        <v>293.33333333333729</v>
      </c>
      <c r="CD189" s="59">
        <f ca="1">AVERAGE(OFFSET($CC$3,0,0,'Données projet'!$E$12+1,1))-AVERAGE(OFFSET($H$3,0,0,'Données projet'!$E$12+1,1))</f>
        <v>91.274378490051788</v>
      </c>
      <c r="CE189" s="59">
        <f t="shared" si="148"/>
        <v>126.60105012427914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2.5254915521071979</v>
      </c>
      <c r="CL189" s="21">
        <f>EXP(-LN(2)/25)*CL188+(1-EXP(-LN(2)/25))/(LN(2)/25)*Calculateur!CG189*Calculateur!CI189*VLOOKUP('Données projet'!$B$12,Paramètres!$A$1:$I$89,3,0)*0.475*44/12</f>
        <v>1.2599221444228472</v>
      </c>
      <c r="CM189" s="21">
        <f>EXP(-LN(2)/2)*CM188+(1-EXP(-LN(2)/2))/(LN(2)/2)*CG189*CJ189*VLOOKUP('Données projet'!$B$12,Paramètres!$A$1:$I$89,3,0)*0.475*44/12</f>
        <v>8.9144441684021709E-14</v>
      </c>
      <c r="CN189" s="22">
        <f t="shared" si="172"/>
        <v>3.7854136965301346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350.09239406910712</v>
      </c>
      <c r="T190" s="59">
        <f t="shared" si="142"/>
        <v>473.30663081727369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17.71431297034454</v>
      </c>
      <c r="AA190" s="21">
        <f>EXP(-LN(2)/25)*AA189+(1-EXP(-LN(2)/25))/(LN(2)/25)*Calculateur!V190*Calculateur!X190*VLOOKUP('Données projet'!$B$9,Paramètres!$A$1:$I$89,3,0)*0.475*44/12</f>
        <v>2.1278600080459702</v>
      </c>
      <c r="AB190" s="21">
        <f>EXP(-LN(2)/2)*AB189+(1-EXP(-LN(2)/2))/(LN(2)/2)*V190*Y190*VLOOKUP('Données projet'!$B$9,Paramètres!$A$1:$I$89,3,0)*0.475*44/12</f>
        <v>8.7692992225726468E-19</v>
      </c>
      <c r="AC190" s="22">
        <f t="shared" si="163"/>
        <v>19.842172978390511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179.4725256147085</v>
      </c>
      <c r="AO190" s="59">
        <f t="shared" si="144"/>
        <v>282.16750121151176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11.673931596181593</v>
      </c>
      <c r="AV190" s="21">
        <f>EXP(-LN(2)/25)*AV189+(1-EXP(-LN(2)/25))/(LN(2)/25)*Calculateur!AQ190*Calculateur!AS190*VLOOKUP('Données projet'!$B$10,Paramètres!$A$1:$I$89,3,0)*0.475*44/12</f>
        <v>1.4445982305771083</v>
      </c>
      <c r="AW190" s="21">
        <f>EXP(-LN(2)/2)*AW189+(1-EXP(-LN(2)/2))/(LN(2)/2)*AQ190*AT190*VLOOKUP('Données projet'!$B$10,Paramètres!$A$1:$I$89,3,0)*0.475*44/12</f>
        <v>3.3058111093041173E-18</v>
      </c>
      <c r="AX190" s="21">
        <f t="shared" si="166"/>
        <v>13.118529826758701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1.064108801074326E-13</v>
      </c>
      <c r="BF190" s="13">
        <f t="shared" si="167"/>
        <v>1.5870730813698654E-12</v>
      </c>
      <c r="BG190" s="20">
        <f t="shared" si="168"/>
        <v>2.9494845662396269E-12</v>
      </c>
      <c r="BH190" s="59">
        <f t="shared" si="116"/>
        <v>293.33333333333627</v>
      </c>
      <c r="BI190" s="59">
        <f ca="1">AVERAGE(OFFSET($BH$3,0,0,'Données projet'!$E$11+1,1))-AVERAGE(OFFSET($H$3,0,0,'Données projet'!$E$11+1,1))</f>
        <v>227.19831549982962</v>
      </c>
      <c r="BJ190" s="59">
        <f t="shared" si="146"/>
        <v>309.84543033784564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15.084719088197341</v>
      </c>
      <c r="BQ190" s="21">
        <f>EXP(-LN(2)/25)*BQ189+(1-EXP(-LN(2)/25))/(LN(2)/25)*Calculateur!BL190*Calculateur!BN190*VLOOKUP('Données projet'!$B$11,Paramètres!$A$1:$I$89,3,0)*0.475*44/12</f>
        <v>1.9697026247882541</v>
      </c>
      <c r="BR190" s="21">
        <f>EXP(-LN(2)/2)*BR189+(1-EXP(-LN(2)/2))/(LN(2)/2)*BL190*BO190*VLOOKUP('Données projet'!$B$11,Paramètres!$A$1:$I$89,3,0)*0.475*44/12</f>
        <v>9.2654799622367811E-18</v>
      </c>
      <c r="BS190" s="22">
        <f t="shared" si="169"/>
        <v>17.054421712985594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1.4897523215040565E-13</v>
      </c>
      <c r="CA190" s="13">
        <f t="shared" si="170"/>
        <v>2.136562777003313E-12</v>
      </c>
      <c r="CB190" s="20">
        <f t="shared" si="171"/>
        <v>3.9806453659427267E-12</v>
      </c>
      <c r="CC190" s="59">
        <f t="shared" si="119"/>
        <v>293.33333333333729</v>
      </c>
      <c r="CD190" s="59">
        <f ca="1">AVERAGE(OFFSET($CC$3,0,0,'Données projet'!$E$12+1,1))-AVERAGE(OFFSET($H$3,0,0,'Données projet'!$E$12+1,1))</f>
        <v>91.274378490051788</v>
      </c>
      <c r="CE190" s="59">
        <f t="shared" si="148"/>
        <v>126.60105012427914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2.4759682031681209</v>
      </c>
      <c r="CL190" s="21">
        <f>EXP(-LN(2)/25)*CL189+(1-EXP(-LN(2)/25))/(LN(2)/25)*Calculateur!CG190*Calculateur!CI190*VLOOKUP('Données projet'!$B$12,Paramètres!$A$1:$I$89,3,0)*0.475*44/12</f>
        <v>1.2254695071271784</v>
      </c>
      <c r="CM190" s="21">
        <f>EXP(-LN(2)/2)*CM189+(1-EXP(-LN(2)/2))/(LN(2)/2)*CG190*CJ190*VLOOKUP('Données projet'!$B$12,Paramètres!$A$1:$I$89,3,0)*0.475*44/12</f>
        <v>6.3034639219860484E-14</v>
      </c>
      <c r="CN190" s="22">
        <f t="shared" si="172"/>
        <v>3.7014377102953624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350.09239406910712</v>
      </c>
      <c r="T191" s="59">
        <f t="shared" si="142"/>
        <v>473.30663081727369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17.366946097660122</v>
      </c>
      <c r="AA191" s="21">
        <f>EXP(-LN(2)/25)*AA190+(1-EXP(-LN(2)/25))/(LN(2)/25)*Calculateur!V191*Calculateur!X191*VLOOKUP('Données projet'!$B$9,Paramètres!$A$1:$I$89,3,0)*0.475*44/12</f>
        <v>2.0696735642266586</v>
      </c>
      <c r="AB191" s="21">
        <f>EXP(-LN(2)/2)*AB190+(1-EXP(-LN(2)/2))/(LN(2)/2)*V191*Y191*VLOOKUP('Données projet'!$B$9,Paramètres!$A$1:$I$89,3,0)*0.475*44/12</f>
        <v>6.2008309465350381E-19</v>
      </c>
      <c r="AC191" s="22">
        <f t="shared" si="163"/>
        <v>19.43661966188678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179.4725256147085</v>
      </c>
      <c r="AO191" s="59">
        <f t="shared" si="144"/>
        <v>282.16750121151176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11.445012917975665</v>
      </c>
      <c r="AV191" s="21">
        <f>EXP(-LN(2)/25)*AV190+(1-EXP(-LN(2)/25))/(LN(2)/25)*Calculateur!AQ191*Calculateur!AS191*VLOOKUP('Données projet'!$B$10,Paramètres!$A$1:$I$89,3,0)*0.475*44/12</f>
        <v>1.4050956159938581</v>
      </c>
      <c r="AW191" s="21">
        <f>EXP(-LN(2)/2)*AW190+(1-EXP(-LN(2)/2))/(LN(2)/2)*AQ191*AT191*VLOOKUP('Données projet'!$B$10,Paramètres!$A$1:$I$89,3,0)*0.475*44/12</f>
        <v>2.3375614527107644E-18</v>
      </c>
      <c r="AX191" s="21">
        <f t="shared" si="166"/>
        <v>12.850108533969523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1.064108801074326E-13</v>
      </c>
      <c r="BF191" s="13">
        <f t="shared" si="167"/>
        <v>1.5870730813698654E-12</v>
      </c>
      <c r="BG191" s="20">
        <f t="shared" si="168"/>
        <v>2.9494845662396269E-12</v>
      </c>
      <c r="BH191" s="59">
        <f t="shared" si="116"/>
        <v>293.33333333333627</v>
      </c>
      <c r="BI191" s="59">
        <f ca="1">AVERAGE(OFFSET($BH$3,0,0,'Données projet'!$E$11+1,1))-AVERAGE(OFFSET($H$3,0,0,'Données projet'!$E$11+1,1))</f>
        <v>227.19831549982962</v>
      </c>
      <c r="BJ191" s="59">
        <f t="shared" si="146"/>
        <v>309.84543033784564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14.788916947647934</v>
      </c>
      <c r="BQ191" s="21">
        <f>EXP(-LN(2)/25)*BQ190+(1-EXP(-LN(2)/25))/(LN(2)/25)*Calculateur!BL191*Calculateur!BN191*VLOOKUP('Données projet'!$B$11,Paramètres!$A$1:$I$89,3,0)*0.475*44/12</f>
        <v>1.91584100293126</v>
      </c>
      <c r="BR191" s="21">
        <f>EXP(-LN(2)/2)*BR190+(1-EXP(-LN(2)/2))/(LN(2)/2)*BL191*BO191*VLOOKUP('Données projet'!$B$11,Paramètres!$A$1:$I$89,3,0)*0.475*44/12</f>
        <v>6.5516837122457043E-18</v>
      </c>
      <c r="BS191" s="22">
        <f t="shared" si="169"/>
        <v>16.704757950579193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1.4897523215040565E-13</v>
      </c>
      <c r="CA191" s="13">
        <f t="shared" si="170"/>
        <v>2.136562777003313E-12</v>
      </c>
      <c r="CB191" s="20">
        <f t="shared" si="171"/>
        <v>3.9806453659427267E-12</v>
      </c>
      <c r="CC191" s="59">
        <f t="shared" si="119"/>
        <v>293.33333333333729</v>
      </c>
      <c r="CD191" s="59">
        <f ca="1">AVERAGE(OFFSET($CC$3,0,0,'Données projet'!$E$12+1,1))-AVERAGE(OFFSET($H$3,0,0,'Données projet'!$E$12+1,1))</f>
        <v>91.274378490051788</v>
      </c>
      <c r="CE191" s="59">
        <f t="shared" si="148"/>
        <v>126.60105012427914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2.4274159768954791</v>
      </c>
      <c r="CL191" s="21">
        <f>EXP(-LN(2)/25)*CL190+(1-EXP(-LN(2)/25))/(LN(2)/25)*Calculateur!CG191*Calculateur!CI191*VLOOKUP('Données projet'!$B$12,Paramètres!$A$1:$I$89,3,0)*0.475*44/12</f>
        <v>1.1919589790101452</v>
      </c>
      <c r="CM191" s="21">
        <f>EXP(-LN(2)/2)*CM190+(1-EXP(-LN(2)/2))/(LN(2)/2)*CG191*CJ191*VLOOKUP('Données projet'!$B$12,Paramètres!$A$1:$I$89,3,0)*0.475*44/12</f>
        <v>4.4572220842010854E-14</v>
      </c>
      <c r="CN191" s="22">
        <f t="shared" si="172"/>
        <v>3.6193749559056689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350.09239406910712</v>
      </c>
      <c r="T192" s="59">
        <f t="shared" si="142"/>
        <v>473.30663081727369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17.026390877476175</v>
      </c>
      <c r="AA192" s="21">
        <f>EXP(-LN(2)/25)*AA191+(1-EXP(-LN(2)/25))/(LN(2)/25)*Calculateur!V192*Calculateur!X192*VLOOKUP('Données projet'!$B$9,Paramètres!$A$1:$I$89,3,0)*0.475*44/12</f>
        <v>2.0130782317734783</v>
      </c>
      <c r="AB192" s="21">
        <f>EXP(-LN(2)/2)*AB191+(1-EXP(-LN(2)/2))/(LN(2)/2)*V192*Y192*VLOOKUP('Données projet'!$B$9,Paramètres!$A$1:$I$89,3,0)*0.475*44/12</f>
        <v>4.3846496112863234E-19</v>
      </c>
      <c r="AC192" s="22">
        <f t="shared" si="163"/>
        <v>19.039469109249652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179.4725256147085</v>
      </c>
      <c r="AO192" s="59">
        <f t="shared" si="144"/>
        <v>282.16750121151176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11.22058319542275</v>
      </c>
      <c r="AV192" s="21">
        <f>EXP(-LN(2)/25)*AV191+(1-EXP(-LN(2)/25))/(LN(2)/25)*Calculateur!AQ192*Calculateur!AS192*VLOOKUP('Données projet'!$B$10,Paramètres!$A$1:$I$89,3,0)*0.475*44/12</f>
        <v>1.3666732024837389</v>
      </c>
      <c r="AW192" s="21">
        <f>EXP(-LN(2)/2)*AW191+(1-EXP(-LN(2)/2))/(LN(2)/2)*AQ192*AT192*VLOOKUP('Données projet'!$B$10,Paramètres!$A$1:$I$89,3,0)*0.475*44/12</f>
        <v>1.6529055546520587E-18</v>
      </c>
      <c r="AX192" s="21">
        <f t="shared" si="166"/>
        <v>12.587256397906488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1.064108801074326E-13</v>
      </c>
      <c r="BF192" s="13">
        <f t="shared" si="167"/>
        <v>1.5870730813698654E-12</v>
      </c>
      <c r="BG192" s="20">
        <f t="shared" si="168"/>
        <v>2.9494845662396269E-12</v>
      </c>
      <c r="BH192" s="59">
        <f t="shared" si="116"/>
        <v>293.33333333333627</v>
      </c>
      <c r="BI192" s="59">
        <f ca="1">AVERAGE(OFFSET($BH$3,0,0,'Données projet'!$E$11+1,1))-AVERAGE(OFFSET($H$3,0,0,'Données projet'!$E$11+1,1))</f>
        <v>227.19831549982962</v>
      </c>
      <c r="BJ192" s="59">
        <f t="shared" si="146"/>
        <v>309.84543033784564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14.49891530665321</v>
      </c>
      <c r="BQ192" s="21">
        <f>EXP(-LN(2)/25)*BQ191+(1-EXP(-LN(2)/25))/(LN(2)/25)*Calculateur!BL192*Calculateur!BN192*VLOOKUP('Données projet'!$B$11,Paramètres!$A$1:$I$89,3,0)*0.475*44/12</f>
        <v>1.8634522299564051</v>
      </c>
      <c r="BR192" s="21">
        <f>EXP(-LN(2)/2)*BR191+(1-EXP(-LN(2)/2))/(LN(2)/2)*BL192*BO192*VLOOKUP('Données projet'!$B$11,Paramètres!$A$1:$I$89,3,0)*0.475*44/12</f>
        <v>4.6327399811183906E-18</v>
      </c>
      <c r="BS192" s="22">
        <f t="shared" si="169"/>
        <v>16.362367536609614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1.4897523215040565E-13</v>
      </c>
      <c r="CA192" s="13">
        <f t="shared" si="170"/>
        <v>2.136562777003313E-12</v>
      </c>
      <c r="CB192" s="20">
        <f t="shared" si="171"/>
        <v>3.9806453659427267E-12</v>
      </c>
      <c r="CC192" s="59">
        <f t="shared" si="119"/>
        <v>293.33333333333729</v>
      </c>
      <c r="CD192" s="59">
        <f ca="1">AVERAGE(OFFSET($CC$3,0,0,'Données projet'!$E$12+1,1))-AVERAGE(OFFSET($H$3,0,0,'Données projet'!$E$12+1,1))</f>
        <v>91.274378490051788</v>
      </c>
      <c r="CE192" s="59">
        <f t="shared" si="148"/>
        <v>126.60105012427914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2.3798158301661099</v>
      </c>
      <c r="CL192" s="21">
        <f>EXP(-LN(2)/25)*CL191+(1-EXP(-LN(2)/25))/(LN(2)/25)*Calculateur!CG192*Calculateur!CI192*VLOOKUP('Données projet'!$B$12,Paramètres!$A$1:$I$89,3,0)*0.475*44/12</f>
        <v>1.1593647980467143</v>
      </c>
      <c r="CM192" s="21">
        <f>EXP(-LN(2)/2)*CM191+(1-EXP(-LN(2)/2))/(LN(2)/2)*CG192*CJ192*VLOOKUP('Données projet'!$B$12,Paramètres!$A$1:$I$89,3,0)*0.475*44/12</f>
        <v>3.1517319609930242E-14</v>
      </c>
      <c r="CN192" s="22">
        <f t="shared" si="172"/>
        <v>3.5391806282128555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350.09239406910712</v>
      </c>
      <c r="T193" s="59">
        <f t="shared" si="142"/>
        <v>473.30663081727369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16.69251373744186</v>
      </c>
      <c r="AA193" s="21">
        <f>EXP(-LN(2)/25)*AA192+(1-EXP(-LN(2)/25))/(LN(2)/25)*Calculateur!V193*Calculateur!X193*VLOOKUP('Données projet'!$B$9,Paramètres!$A$1:$I$89,3,0)*0.475*44/12</f>
        <v>1.9580305016624493</v>
      </c>
      <c r="AB193" s="21">
        <f>EXP(-LN(2)/2)*AB192+(1-EXP(-LN(2)/2))/(LN(2)/2)*V193*Y193*VLOOKUP('Données projet'!$B$9,Paramètres!$A$1:$I$89,3,0)*0.475*44/12</f>
        <v>3.100415473267519E-19</v>
      </c>
      <c r="AC193" s="22">
        <f t="shared" si="163"/>
        <v>18.65054423910431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179.4725256147085</v>
      </c>
      <c r="AO193" s="59">
        <f t="shared" si="144"/>
        <v>282.16750121151176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11.000554402840482</v>
      </c>
      <c r="AV193" s="21">
        <f>EXP(-LN(2)/25)*AV192+(1-EXP(-LN(2)/25))/(LN(2)/25)*Calculateur!AQ193*Calculateur!AS193*VLOOKUP('Données projet'!$B$10,Paramètres!$A$1:$I$89,3,0)*0.475*44/12</f>
        <v>1.3293014518916009</v>
      </c>
      <c r="AW193" s="21">
        <f>EXP(-LN(2)/2)*AW192+(1-EXP(-LN(2)/2))/(LN(2)/2)*AQ193*AT193*VLOOKUP('Données projet'!$B$10,Paramètres!$A$1:$I$89,3,0)*0.475*44/12</f>
        <v>1.1687807263553822E-18</v>
      </c>
      <c r="AX193" s="21">
        <f t="shared" si="166"/>
        <v>12.329855854732083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1.064108801074326E-13</v>
      </c>
      <c r="BF193" s="13">
        <f t="shared" si="167"/>
        <v>1.5870730813698654E-12</v>
      </c>
      <c r="BG193" s="20">
        <f t="shared" si="168"/>
        <v>2.9494845662396269E-12</v>
      </c>
      <c r="BH193" s="59">
        <f t="shared" si="116"/>
        <v>293.33333333333627</v>
      </c>
      <c r="BI193" s="59">
        <f ca="1">AVERAGE(OFFSET($BH$3,0,0,'Données projet'!$E$11+1,1))-AVERAGE(OFFSET($H$3,0,0,'Données projet'!$E$11+1,1))</f>
        <v>227.19831549982962</v>
      </c>
      <c r="BJ193" s="59">
        <f t="shared" si="146"/>
        <v>309.84543033784564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14.214600420954858</v>
      </c>
      <c r="BQ193" s="21">
        <f>EXP(-LN(2)/25)*BQ192+(1-EXP(-LN(2)/25))/(LN(2)/25)*Calculateur!BL193*Calculateur!BN193*VLOOKUP('Données projet'!$B$11,Paramètres!$A$1:$I$89,3,0)*0.475*44/12</f>
        <v>1.8124960307335534</v>
      </c>
      <c r="BR193" s="21">
        <f>EXP(-LN(2)/2)*BR192+(1-EXP(-LN(2)/2))/(LN(2)/2)*BL193*BO193*VLOOKUP('Données projet'!$B$11,Paramètres!$A$1:$I$89,3,0)*0.475*44/12</f>
        <v>3.2758418561228521E-18</v>
      </c>
      <c r="BS193" s="22">
        <f t="shared" si="169"/>
        <v>16.027096451688411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1.4897523215040565E-13</v>
      </c>
      <c r="CA193" s="13">
        <f t="shared" si="170"/>
        <v>2.136562777003313E-12</v>
      </c>
      <c r="CB193" s="20">
        <f t="shared" si="171"/>
        <v>3.9806453659427267E-12</v>
      </c>
      <c r="CC193" s="59">
        <f t="shared" si="119"/>
        <v>293.33333333333729</v>
      </c>
      <c r="CD193" s="59">
        <f ca="1">AVERAGE(OFFSET($CC$3,0,0,'Données projet'!$E$12+1,1))-AVERAGE(OFFSET($H$3,0,0,'Données projet'!$E$12+1,1))</f>
        <v>91.274378490051788</v>
      </c>
      <c r="CE193" s="59">
        <f t="shared" si="148"/>
        <v>126.60105012427914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2.3331490932808809</v>
      </c>
      <c r="CL193" s="21">
        <f>EXP(-LN(2)/25)*CL192+(1-EXP(-LN(2)/25))/(LN(2)/25)*Calculateur!CG193*Calculateur!CI193*VLOOKUP('Données projet'!$B$12,Paramètres!$A$1:$I$89,3,0)*0.475*44/12</f>
        <v>1.127661906675782</v>
      </c>
      <c r="CM193" s="21">
        <f>EXP(-LN(2)/2)*CM192+(1-EXP(-LN(2)/2))/(LN(2)/2)*CG193*CJ193*VLOOKUP('Données projet'!$B$12,Paramètres!$A$1:$I$89,3,0)*0.475*44/12</f>
        <v>2.2286110421005427E-14</v>
      </c>
      <c r="CN193" s="22">
        <f t="shared" si="172"/>
        <v>3.460810999956685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350.09239406910712</v>
      </c>
      <c r="T194" s="59">
        <f t="shared" si="142"/>
        <v>473.30663081727369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16.365183724478673</v>
      </c>
      <c r="AA194" s="21">
        <f>EXP(-LN(2)/25)*AA193+(1-EXP(-LN(2)/25))/(LN(2)/25)*Calculateur!V194*Calculateur!X194*VLOOKUP('Données projet'!$B$9,Paramètres!$A$1:$I$89,3,0)*0.475*44/12</f>
        <v>1.9044880546261407</v>
      </c>
      <c r="AB194" s="21">
        <f>EXP(-LN(2)/2)*AB193+(1-EXP(-LN(2)/2))/(LN(2)/2)*V194*Y194*VLOOKUP('Données projet'!$B$9,Paramètres!$A$1:$I$89,3,0)*0.475*44/12</f>
        <v>2.1923248056431617E-19</v>
      </c>
      <c r="AC194" s="22">
        <f t="shared" si="163"/>
        <v>18.269671779104812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179.4725256147085</v>
      </c>
      <c r="AO194" s="59">
        <f t="shared" si="144"/>
        <v>282.16750121151176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10.78484024067644</v>
      </c>
      <c r="AV194" s="21">
        <f>EXP(-LN(2)/25)*AV193+(1-EXP(-LN(2)/25))/(LN(2)/25)*Calculateur!AQ194*Calculateur!AS194*VLOOKUP('Données projet'!$B$10,Paramètres!$A$1:$I$89,3,0)*0.475*44/12</f>
        <v>1.2929516337846998</v>
      </c>
      <c r="AW194" s="21">
        <f>EXP(-LN(2)/2)*AW193+(1-EXP(-LN(2)/2))/(LN(2)/2)*AQ194*AT194*VLOOKUP('Données projet'!$B$10,Paramètres!$A$1:$I$89,3,0)*0.475*44/12</f>
        <v>8.2645277732602933E-19</v>
      </c>
      <c r="AX194" s="21">
        <f t="shared" si="166"/>
        <v>12.077791874461139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1.064108801074326E-13</v>
      </c>
      <c r="BF194" s="13">
        <f t="shared" si="167"/>
        <v>1.5870730813698654E-12</v>
      </c>
      <c r="BG194" s="20">
        <f t="shared" si="168"/>
        <v>2.9494845662396269E-12</v>
      </c>
      <c r="BH194" s="59">
        <f t="shared" si="116"/>
        <v>293.33333333333627</v>
      </c>
      <c r="BI194" s="59">
        <f ca="1">AVERAGE(OFFSET($BH$3,0,0,'Données projet'!$E$11+1,1))-AVERAGE(OFFSET($H$3,0,0,'Données projet'!$E$11+1,1))</f>
        <v>227.19831549982962</v>
      </c>
      <c r="BJ194" s="59">
        <f t="shared" si="146"/>
        <v>309.84543033784564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13.935860776750093</v>
      </c>
      <c r="BQ194" s="21">
        <f>EXP(-LN(2)/25)*BQ193+(1-EXP(-LN(2)/25))/(LN(2)/25)*Calculateur!BL194*Calculateur!BN194*VLOOKUP('Données projet'!$B$11,Paramètres!$A$1:$I$89,3,0)*0.475*44/12</f>
        <v>1.7629332314581205</v>
      </c>
      <c r="BR194" s="21">
        <f>EXP(-LN(2)/2)*BR193+(1-EXP(-LN(2)/2))/(LN(2)/2)*BL194*BO194*VLOOKUP('Données projet'!$B$11,Paramètres!$A$1:$I$89,3,0)*0.475*44/12</f>
        <v>2.3163699905591953E-18</v>
      </c>
      <c r="BS194" s="22">
        <f t="shared" si="169"/>
        <v>15.698794008208214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1.4897523215040565E-13</v>
      </c>
      <c r="CA194" s="13">
        <f t="shared" si="170"/>
        <v>2.136562777003313E-12</v>
      </c>
      <c r="CB194" s="20">
        <f t="shared" si="171"/>
        <v>3.9806453659427267E-12</v>
      </c>
      <c r="CC194" s="59">
        <f t="shared" si="119"/>
        <v>293.33333333333729</v>
      </c>
      <c r="CD194" s="59">
        <f ca="1">AVERAGE(OFFSET($CC$3,0,0,'Données projet'!$E$12+1,1))-AVERAGE(OFFSET($H$3,0,0,'Données projet'!$E$12+1,1))</f>
        <v>91.274378490051788</v>
      </c>
      <c r="CE194" s="59">
        <f t="shared" si="148"/>
        <v>126.60105012427914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2.2873974626420721</v>
      </c>
      <c r="CL194" s="21">
        <f>EXP(-LN(2)/25)*CL193+(1-EXP(-LN(2)/25))/(LN(2)/25)*Calculateur!CG194*Calculateur!CI194*VLOOKUP('Données projet'!$B$12,Paramètres!$A$1:$I$89,3,0)*0.475*44/12</f>
        <v>1.0968259325365703</v>
      </c>
      <c r="CM194" s="21">
        <f>EXP(-LN(2)/2)*CM193+(1-EXP(-LN(2)/2))/(LN(2)/2)*CG194*CJ194*VLOOKUP('Données projet'!$B$12,Paramètres!$A$1:$I$89,3,0)*0.475*44/12</f>
        <v>1.5758659804965121E-14</v>
      </c>
      <c r="CN194" s="22">
        <f t="shared" si="172"/>
        <v>3.3842233951786578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350.09239406910712</v>
      </c>
      <c r="T195" s="59">
        <f t="shared" si="142"/>
        <v>473.30663081727369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16.044272453418099</v>
      </c>
      <c r="AA195" s="21">
        <f>EXP(-LN(2)/25)*AA194+(1-EXP(-LN(2)/25))/(LN(2)/25)*Calculateur!V195*Calculateur!X195*VLOOKUP('Données projet'!$B$9,Paramètres!$A$1:$I$89,3,0)*0.475*44/12</f>
        <v>1.8524097286197148</v>
      </c>
      <c r="AB195" s="21">
        <f>EXP(-LN(2)/2)*AB194+(1-EXP(-LN(2)/2))/(LN(2)/2)*V195*Y195*VLOOKUP('Données projet'!$B$9,Paramètres!$A$1:$I$89,3,0)*0.475*44/12</f>
        <v>1.5502077366337595E-19</v>
      </c>
      <c r="AC195" s="22">
        <f t="shared" si="163"/>
        <v>17.896682182037814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179.4725256147085</v>
      </c>
      <c r="AO195" s="59">
        <f t="shared" si="144"/>
        <v>282.16750121151176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10.573356101659789</v>
      </c>
      <c r="AV195" s="21">
        <f>EXP(-LN(2)/25)*AV194+(1-EXP(-LN(2)/25))/(LN(2)/25)*Calculateur!AQ195*Calculateur!AS195*VLOOKUP('Données projet'!$B$10,Paramètres!$A$1:$I$89,3,0)*0.475*44/12</f>
        <v>1.2575958033654859</v>
      </c>
      <c r="AW195" s="21">
        <f>EXP(-LN(2)/2)*AW194+(1-EXP(-LN(2)/2))/(LN(2)/2)*AQ195*AT195*VLOOKUP('Données projet'!$B$10,Paramètres!$A$1:$I$89,3,0)*0.475*44/12</f>
        <v>5.843903631776911E-19</v>
      </c>
      <c r="AX195" s="21">
        <f t="shared" si="166"/>
        <v>11.830951905025275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1.064108801074326E-13</v>
      </c>
      <c r="BF195" s="13">
        <f t="shared" si="167"/>
        <v>1.5870730813698654E-12</v>
      </c>
      <c r="BG195" s="20">
        <f t="shared" si="168"/>
        <v>2.9494845662396269E-12</v>
      </c>
      <c r="BH195" s="59">
        <f t="shared" si="116"/>
        <v>293.33333333333627</v>
      </c>
      <c r="BI195" s="59">
        <f ca="1">AVERAGE(OFFSET($BH$3,0,0,'Données projet'!$E$11+1,1))-AVERAGE(OFFSET($H$3,0,0,'Données projet'!$E$11+1,1))</f>
        <v>227.19831549982962</v>
      </c>
      <c r="BJ195" s="59">
        <f t="shared" si="146"/>
        <v>309.84543033784564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13.662587046953789</v>
      </c>
      <c r="BQ195" s="21">
        <f>EXP(-LN(2)/25)*BQ194+(1-EXP(-LN(2)/25))/(LN(2)/25)*Calculateur!BL195*Calculateur!BN195*VLOOKUP('Données projet'!$B$11,Paramètres!$A$1:$I$89,3,0)*0.475*44/12</f>
        <v>1.7147257295352689</v>
      </c>
      <c r="BR195" s="21">
        <f>EXP(-LN(2)/2)*BR194+(1-EXP(-LN(2)/2))/(LN(2)/2)*BL195*BO195*VLOOKUP('Données projet'!$B$11,Paramètres!$A$1:$I$89,3,0)*0.475*44/12</f>
        <v>1.6379209280614261E-18</v>
      </c>
      <c r="BS195" s="22">
        <f t="shared" si="169"/>
        <v>15.377312776489058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1.4897523215040565E-13</v>
      </c>
      <c r="CA195" s="13">
        <f t="shared" si="170"/>
        <v>2.136562777003313E-12</v>
      </c>
      <c r="CB195" s="20">
        <f t="shared" si="171"/>
        <v>3.9806453659427267E-12</v>
      </c>
      <c r="CC195" s="59">
        <f t="shared" si="119"/>
        <v>293.33333333333729</v>
      </c>
      <c r="CD195" s="59">
        <f ca="1">AVERAGE(OFFSET($CC$3,0,0,'Données projet'!$E$12+1,1))-AVERAGE(OFFSET($H$3,0,0,'Données projet'!$E$12+1,1))</f>
        <v>91.274378490051788</v>
      </c>
      <c r="CE195" s="59">
        <f t="shared" si="148"/>
        <v>126.60105012427914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2.2425429935743511</v>
      </c>
      <c r="CL195" s="21">
        <f>EXP(-LN(2)/25)*CL194+(1-EXP(-LN(2)/25))/(LN(2)/25)*Calculateur!CG195*Calculateur!CI195*VLOOKUP('Données projet'!$B$12,Paramètres!$A$1:$I$89,3,0)*0.475*44/12</f>
        <v>1.0668331697317888</v>
      </c>
      <c r="CM195" s="21">
        <f>EXP(-LN(2)/2)*CM194+(1-EXP(-LN(2)/2))/(LN(2)/2)*CG195*CJ195*VLOOKUP('Données projet'!$B$12,Paramètres!$A$1:$I$89,3,0)*0.475*44/12</f>
        <v>1.1143055210502714E-14</v>
      </c>
      <c r="CN195" s="22">
        <f t="shared" si="172"/>
        <v>3.3093761633061507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350.09239406910712</v>
      </c>
      <c r="T196" s="59">
        <f t="shared" si="142"/>
        <v>473.30663081727369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15.729654056646476</v>
      </c>
      <c r="AA196" s="21">
        <f>EXP(-LN(2)/25)*AA195+(1-EXP(-LN(2)/25))/(LN(2)/25)*Calculateur!V196*Calculateur!X196*VLOOKUP('Données projet'!$B$9,Paramètres!$A$1:$I$89,3,0)*0.475*44/12</f>
        <v>1.8017554871766148</v>
      </c>
      <c r="AB196" s="21">
        <f>EXP(-LN(2)/2)*AB195+(1-EXP(-LN(2)/2))/(LN(2)/2)*V196*Y196*VLOOKUP('Données projet'!$B$9,Paramètres!$A$1:$I$89,3,0)*0.475*44/12</f>
        <v>1.0961624028215808E-19</v>
      </c>
      <c r="AC196" s="22">
        <f t="shared" si="163"/>
        <v>17.531409543823091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179.4725256147085</v>
      </c>
      <c r="AO196" s="59">
        <f t="shared" si="144"/>
        <v>282.16750121151176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10.366019037616665</v>
      </c>
      <c r="AV196" s="21">
        <f>EXP(-LN(2)/25)*AV195+(1-EXP(-LN(2)/25))/(LN(2)/25)*Calculateur!AQ196*Calculateur!AS196*VLOOKUP('Données projet'!$B$10,Paramètres!$A$1:$I$89,3,0)*0.475*44/12</f>
        <v>1.2232067799883677</v>
      </c>
      <c r="AW196" s="21">
        <f>EXP(-LN(2)/2)*AW195+(1-EXP(-LN(2)/2))/(LN(2)/2)*AQ196*AT196*VLOOKUP('Données projet'!$B$10,Paramètres!$A$1:$I$89,3,0)*0.475*44/12</f>
        <v>4.1322638866301466E-19</v>
      </c>
      <c r="AX196" s="21">
        <f t="shared" si="166"/>
        <v>11.589225817605033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1.064108801074326E-13</v>
      </c>
      <c r="BF196" s="13">
        <f t="shared" si="167"/>
        <v>1.5870730813698654E-12</v>
      </c>
      <c r="BG196" s="20">
        <f t="shared" si="168"/>
        <v>2.9494845662396269E-12</v>
      </c>
      <c r="BH196" s="59">
        <f t="shared" ref="BH196:BH203" si="194">BG196+(AY196+AZ196)*44/12</f>
        <v>293.33333333333627</v>
      </c>
      <c r="BI196" s="59">
        <f ca="1">AVERAGE(OFFSET($BH$3,0,0,'Données projet'!$E$11+1,1))-AVERAGE(OFFSET($H$3,0,0,'Données projet'!$E$11+1,1))</f>
        <v>227.19831549982962</v>
      </c>
      <c r="BJ196" s="59">
        <f t="shared" si="146"/>
        <v>309.84543033784564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13.394672048318274</v>
      </c>
      <c r="BQ196" s="21">
        <f>EXP(-LN(2)/25)*BQ195+(1-EXP(-LN(2)/25))/(LN(2)/25)*Calculateur!BL196*Calculateur!BN196*VLOOKUP('Données projet'!$B$11,Paramètres!$A$1:$I$89,3,0)*0.475*44/12</f>
        <v>1.66783646428762</v>
      </c>
      <c r="BR196" s="21">
        <f>EXP(-LN(2)/2)*BR195+(1-EXP(-LN(2)/2))/(LN(2)/2)*BL196*BO196*VLOOKUP('Données projet'!$B$11,Paramètres!$A$1:$I$89,3,0)*0.475*44/12</f>
        <v>1.1581849952795976E-18</v>
      </c>
      <c r="BS196" s="22">
        <f t="shared" si="169"/>
        <v>15.062508512605893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1.4897523215040565E-13</v>
      </c>
      <c r="CA196" s="13">
        <f t="shared" si="170"/>
        <v>2.136562777003313E-12</v>
      </c>
      <c r="CB196" s="20">
        <f t="shared" si="171"/>
        <v>3.9806453659427267E-12</v>
      </c>
      <c r="CC196" s="59">
        <f t="shared" ref="CC196:CC203" si="195">CB196+(BT196+BU196)*44/12</f>
        <v>293.33333333333729</v>
      </c>
      <c r="CD196" s="59">
        <f ca="1">AVERAGE(OFFSET($CC$3,0,0,'Données projet'!$E$12+1,1))-AVERAGE(OFFSET($H$3,0,0,'Données projet'!$E$12+1,1))</f>
        <v>91.274378490051788</v>
      </c>
      <c r="CE196" s="59">
        <f t="shared" si="148"/>
        <v>126.60105012427914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2.1985680932865237</v>
      </c>
      <c r="CL196" s="21">
        <f>EXP(-LN(2)/25)*CL195+(1-EXP(-LN(2)/25))/(LN(2)/25)*Calculateur!CG196*Calculateur!CI196*VLOOKUP('Données projet'!$B$12,Paramètres!$A$1:$I$89,3,0)*0.475*44/12</f>
        <v>1.0376605606031548</v>
      </c>
      <c r="CM196" s="21">
        <f>EXP(-LN(2)/2)*CM195+(1-EXP(-LN(2)/2))/(LN(2)/2)*CG196*CJ196*VLOOKUP('Données projet'!$B$12,Paramètres!$A$1:$I$89,3,0)*0.475*44/12</f>
        <v>7.8793299024825605E-15</v>
      </c>
      <c r="CN196" s="22">
        <f t="shared" si="172"/>
        <v>3.2362286538896865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350.09239406910712</v>
      </c>
      <c r="T197" s="59">
        <f t="shared" ref="T197:T203" si="204">$T$3</f>
        <v>473.30663081727369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15.421205134737271</v>
      </c>
      <c r="AA197" s="21">
        <f>EXP(-LN(2)/25)*AA196+(1-EXP(-LN(2)/25))/(LN(2)/25)*Calculateur!V197*Calculateur!X197*VLOOKUP('Données projet'!$B$9,Paramètres!$A$1:$I$89,3,0)*0.475*44/12</f>
        <v>1.7524863886295672</v>
      </c>
      <c r="AB197" s="21">
        <f>EXP(-LN(2)/2)*AB196+(1-EXP(-LN(2)/2))/(LN(2)/2)*V197*Y197*VLOOKUP('Données projet'!$B$9,Paramètres!$A$1:$I$89,3,0)*0.475*44/12</f>
        <v>7.7510386831687976E-20</v>
      </c>
      <c r="AC197" s="22">
        <f t="shared" si="163"/>
        <v>17.173691523366838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179.4725256147085</v>
      </c>
      <c r="AO197" s="59">
        <f t="shared" ref="AO197:AO203" si="205">$AO$3</f>
        <v>282.16750121151176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10.162747726936306</v>
      </c>
      <c r="AV197" s="21">
        <f>EXP(-LN(2)/25)*AV196+(1-EXP(-LN(2)/25))/(LN(2)/25)*Calculateur!AQ197*Calculateur!AS197*VLOOKUP('Données projet'!$B$10,Paramètres!$A$1:$I$89,3,0)*0.475*44/12</f>
        <v>1.189758126263937</v>
      </c>
      <c r="AW197" s="21">
        <f>EXP(-LN(2)/2)*AW196+(1-EXP(-LN(2)/2))/(LN(2)/2)*AQ197*AT197*VLOOKUP('Données projet'!$B$10,Paramètres!$A$1:$I$89,3,0)*0.475*44/12</f>
        <v>2.9219518158884555E-19</v>
      </c>
      <c r="AX197" s="21">
        <f t="shared" si="166"/>
        <v>11.352505853200244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1.064108801074326E-13</v>
      </c>
      <c r="BF197" s="13">
        <f t="shared" si="167"/>
        <v>1.5870730813698654E-12</v>
      </c>
      <c r="BG197" s="20">
        <f t="shared" si="168"/>
        <v>2.9494845662396269E-12</v>
      </c>
      <c r="BH197" s="59">
        <f t="shared" si="194"/>
        <v>293.33333333333627</v>
      </c>
      <c r="BI197" s="59">
        <f ca="1">AVERAGE(OFFSET($BH$3,0,0,'Données projet'!$E$11+1,1))-AVERAGE(OFFSET($H$3,0,0,'Données projet'!$E$11+1,1))</f>
        <v>227.19831549982962</v>
      </c>
      <c r="BJ197" s="59">
        <f t="shared" ref="BJ197:BJ203" si="206">$BJ$3</f>
        <v>309.84543033784564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13.132010699393987</v>
      </c>
      <c r="BQ197" s="21">
        <f>EXP(-LN(2)/25)*BQ196+(1-EXP(-LN(2)/25))/(LN(2)/25)*Calculateur!BL197*Calculateur!BN197*VLOOKUP('Données projet'!$B$11,Paramètres!$A$1:$I$89,3,0)*0.475*44/12</f>
        <v>1.6222293884639674</v>
      </c>
      <c r="BR197" s="21">
        <f>EXP(-LN(2)/2)*BR196+(1-EXP(-LN(2)/2))/(LN(2)/2)*BL197*BO197*VLOOKUP('Données projet'!$B$11,Paramètres!$A$1:$I$89,3,0)*0.475*44/12</f>
        <v>8.1896046403071304E-19</v>
      </c>
      <c r="BS197" s="22">
        <f t="shared" si="169"/>
        <v>14.754240087857955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1.4897523215040565E-13</v>
      </c>
      <c r="CA197" s="13">
        <f t="shared" si="170"/>
        <v>2.136562777003313E-12</v>
      </c>
      <c r="CB197" s="20">
        <f t="shared" si="171"/>
        <v>3.9806453659427267E-12</v>
      </c>
      <c r="CC197" s="59">
        <f t="shared" si="195"/>
        <v>293.33333333333729</v>
      </c>
      <c r="CD197" s="59">
        <f ca="1">AVERAGE(OFFSET($CC$3,0,0,'Données projet'!$E$12+1,1))-AVERAGE(OFFSET($H$3,0,0,'Données projet'!$E$12+1,1))</f>
        <v>91.274378490051788</v>
      </c>
      <c r="CE197" s="59">
        <f t="shared" ref="CE197:CE203" si="207">$CE$3</f>
        <v>126.60105012427914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2.1554555139712996</v>
      </c>
      <c r="CL197" s="21">
        <f>EXP(-LN(2)/25)*CL196+(1-EXP(-LN(2)/25))/(LN(2)/25)*Calculateur!CG197*Calculateur!CI197*VLOOKUP('Données projet'!$B$12,Paramètres!$A$1:$I$89,3,0)*0.475*44/12</f>
        <v>1.0092856780052644</v>
      </c>
      <c r="CM197" s="21">
        <f>EXP(-LN(2)/2)*CM196+(1-EXP(-LN(2)/2))/(LN(2)/2)*CG197*CJ197*VLOOKUP('Données projet'!$B$12,Paramètres!$A$1:$I$89,3,0)*0.475*44/12</f>
        <v>5.5715276052513568E-15</v>
      </c>
      <c r="CN197" s="22">
        <f t="shared" si="172"/>
        <v>3.1647411919765696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350.09239406910712</v>
      </c>
      <c r="T198" s="59">
        <f t="shared" si="204"/>
        <v>473.30663081727369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15.118804708051439</v>
      </c>
      <c r="AA198" s="21">
        <f>EXP(-LN(2)/25)*AA197+(1-EXP(-LN(2)/25))/(LN(2)/25)*Calculateur!V198*Calculateur!X198*VLOOKUP('Données projet'!$B$9,Paramètres!$A$1:$I$89,3,0)*0.475*44/12</f>
        <v>1.7045645561732379</v>
      </c>
      <c r="AB198" s="21">
        <f>EXP(-LN(2)/2)*AB197+(1-EXP(-LN(2)/2))/(LN(2)/2)*V198*Y198*VLOOKUP('Données projet'!$B$9,Paramètres!$A$1:$I$89,3,0)*0.475*44/12</f>
        <v>5.4808120141079042E-20</v>
      </c>
      <c r="AC198" s="22">
        <f t="shared" si="163"/>
        <v>16.823369264224677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179.4725256147085</v>
      </c>
      <c r="AO198" s="59">
        <f t="shared" si="205"/>
        <v>282.16750121151176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9.9634624426751319</v>
      </c>
      <c r="AV198" s="21">
        <f>EXP(-LN(2)/25)*AV197+(1-EXP(-LN(2)/25))/(LN(2)/25)*Calculateur!AQ198*Calculateur!AS198*VLOOKUP('Données projet'!$B$10,Paramètres!$A$1:$I$89,3,0)*0.475*44/12</f>
        <v>1.1572241277345889</v>
      </c>
      <c r="AW198" s="21">
        <f>EXP(-LN(2)/2)*AW197+(1-EXP(-LN(2)/2))/(LN(2)/2)*AQ198*AT198*VLOOKUP('Données projet'!$B$10,Paramètres!$A$1:$I$89,3,0)*0.475*44/12</f>
        <v>2.0661319433150733E-19</v>
      </c>
      <c r="AX198" s="21">
        <f t="shared" si="166"/>
        <v>11.12068657040972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1.064108801074326E-13</v>
      </c>
      <c r="BF198" s="13">
        <f t="shared" si="167"/>
        <v>1.5870730813698654E-12</v>
      </c>
      <c r="BG198" s="20">
        <f t="shared" si="168"/>
        <v>2.9494845662396269E-12</v>
      </c>
      <c r="BH198" s="59">
        <f t="shared" si="194"/>
        <v>293.33333333333627</v>
      </c>
      <c r="BI198" s="59">
        <f ca="1">AVERAGE(OFFSET($BH$3,0,0,'Données projet'!$E$11+1,1))-AVERAGE(OFFSET($H$3,0,0,'Données projet'!$E$11+1,1))</f>
        <v>227.19831549982962</v>
      </c>
      <c r="BJ198" s="59">
        <f t="shared" si="206"/>
        <v>309.84543033784564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12.874499979314502</v>
      </c>
      <c r="BQ198" s="21">
        <f>EXP(-LN(2)/25)*BQ197+(1-EXP(-LN(2)/25))/(LN(2)/25)*Calculateur!BL198*Calculateur!BN198*VLOOKUP('Données projet'!$B$11,Paramètres!$A$1:$I$89,3,0)*0.475*44/12</f>
        <v>1.5778694405270843</v>
      </c>
      <c r="BR198" s="21">
        <f>EXP(-LN(2)/2)*BR197+(1-EXP(-LN(2)/2))/(LN(2)/2)*BL198*BO198*VLOOKUP('Données projet'!$B$11,Paramètres!$A$1:$I$89,3,0)*0.475*44/12</f>
        <v>5.7909249763979882E-19</v>
      </c>
      <c r="BS198" s="22">
        <f t="shared" si="169"/>
        <v>14.452369419841586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1.4897523215040565E-13</v>
      </c>
      <c r="CA198" s="13">
        <f t="shared" si="170"/>
        <v>2.136562777003313E-12</v>
      </c>
      <c r="CB198" s="20">
        <f t="shared" si="171"/>
        <v>3.9806453659427267E-12</v>
      </c>
      <c r="CC198" s="59">
        <f t="shared" si="195"/>
        <v>293.33333333333729</v>
      </c>
      <c r="CD198" s="59">
        <f ca="1">AVERAGE(OFFSET($CC$3,0,0,'Données projet'!$E$12+1,1))-AVERAGE(OFFSET($H$3,0,0,'Données projet'!$E$12+1,1))</f>
        <v>91.274378490051788</v>
      </c>
      <c r="CE198" s="59">
        <f t="shared" si="207"/>
        <v>126.60105012427914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2.1131883460403702</v>
      </c>
      <c r="CL198" s="21">
        <f>EXP(-LN(2)/25)*CL197+(1-EXP(-LN(2)/25))/(LN(2)/25)*Calculateur!CG198*Calculateur!CI198*VLOOKUP('Données projet'!$B$12,Paramètres!$A$1:$I$89,3,0)*0.475*44/12</f>
        <v>0.98168670806418334</v>
      </c>
      <c r="CM198" s="21">
        <f>EXP(-LN(2)/2)*CM197+(1-EXP(-LN(2)/2))/(LN(2)/2)*CG198*CJ198*VLOOKUP('Données projet'!$B$12,Paramètres!$A$1:$I$89,3,0)*0.475*44/12</f>
        <v>3.9396649512412802E-15</v>
      </c>
      <c r="CN198" s="22">
        <f t="shared" si="172"/>
        <v>3.0948750541045578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350.09239406910712</v>
      </c>
      <c r="T199" s="59">
        <f t="shared" si="204"/>
        <v>473.30663081727369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14.822334169286869</v>
      </c>
      <c r="AA199" s="21">
        <f>EXP(-LN(2)/25)*AA198+(1-EXP(-LN(2)/25))/(LN(2)/25)*Calculateur!V199*Calculateur!X199*VLOOKUP('Données projet'!$B$9,Paramètres!$A$1:$I$89,3,0)*0.475*44/12</f>
        <v>1.6579531487455266</v>
      </c>
      <c r="AB199" s="21">
        <f>EXP(-LN(2)/2)*AB198+(1-EXP(-LN(2)/2))/(LN(2)/2)*V199*Y199*VLOOKUP('Données projet'!$B$9,Paramètres!$A$1:$I$89,3,0)*0.475*44/12</f>
        <v>3.8755193415843988E-20</v>
      </c>
      <c r="AC199" s="22">
        <f t="shared" si="163"/>
        <v>16.480287318032396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179.4725256147085</v>
      </c>
      <c r="AO199" s="59">
        <f t="shared" si="205"/>
        <v>282.16750121151176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9.7680850212862982</v>
      </c>
      <c r="AV199" s="21">
        <f>EXP(-LN(2)/25)*AV198+(1-EXP(-LN(2)/25))/(LN(2)/25)*Calculateur!AQ199*Calculateur!AS199*VLOOKUP('Données projet'!$B$10,Paramètres!$A$1:$I$89,3,0)*0.475*44/12</f>
        <v>1.1255797731059145</v>
      </c>
      <c r="AW199" s="21">
        <f>EXP(-LN(2)/2)*AW198+(1-EXP(-LN(2)/2))/(LN(2)/2)*AQ199*AT199*VLOOKUP('Données projet'!$B$10,Paramètres!$A$1:$I$89,3,0)*0.475*44/12</f>
        <v>1.4609759079442277E-19</v>
      </c>
      <c r="AX199" s="21">
        <f t="shared" si="166"/>
        <v>10.893664794392212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1.064108801074326E-13</v>
      </c>
      <c r="BF199" s="13">
        <f t="shared" si="167"/>
        <v>1.5870730813698654E-12</v>
      </c>
      <c r="BG199" s="20">
        <f t="shared" si="168"/>
        <v>2.9494845662396269E-12</v>
      </c>
      <c r="BH199" s="59">
        <f t="shared" si="194"/>
        <v>293.33333333333627</v>
      </c>
      <c r="BI199" s="59">
        <f ca="1">AVERAGE(OFFSET($BH$3,0,0,'Données projet'!$E$11+1,1))-AVERAGE(OFFSET($H$3,0,0,'Données projet'!$E$11+1,1))</f>
        <v>227.19831549982962</v>
      </c>
      <c r="BJ199" s="59">
        <f t="shared" si="206"/>
        <v>309.84543033784564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12.622038887389746</v>
      </c>
      <c r="BQ199" s="21">
        <f>EXP(-LN(2)/25)*BQ198+(1-EXP(-LN(2)/25))/(LN(2)/25)*Calculateur!BL199*Calculateur!BN199*VLOOKUP('Données projet'!$B$11,Paramètres!$A$1:$I$89,3,0)*0.475*44/12</f>
        <v>1.5347225176993236</v>
      </c>
      <c r="BR199" s="21">
        <f>EXP(-LN(2)/2)*BR198+(1-EXP(-LN(2)/2))/(LN(2)/2)*BL199*BO199*VLOOKUP('Données projet'!$B$11,Paramètres!$A$1:$I$89,3,0)*0.475*44/12</f>
        <v>4.0948023201535652E-19</v>
      </c>
      <c r="BS199" s="22">
        <f t="shared" si="169"/>
        <v>14.156761405089069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1.4897523215040565E-13</v>
      </c>
      <c r="CA199" s="13">
        <f t="shared" si="170"/>
        <v>2.136562777003313E-12</v>
      </c>
      <c r="CB199" s="20">
        <f t="shared" si="171"/>
        <v>3.9806453659427267E-12</v>
      </c>
      <c r="CC199" s="59">
        <f t="shared" si="195"/>
        <v>293.33333333333729</v>
      </c>
      <c r="CD199" s="59">
        <f ca="1">AVERAGE(OFFSET($CC$3,0,0,'Données projet'!$E$12+1,1))-AVERAGE(OFFSET($H$3,0,0,'Données projet'!$E$12+1,1))</f>
        <v>91.274378490051788</v>
      </c>
      <c r="CE199" s="59">
        <f t="shared" si="207"/>
        <v>126.60105012427914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2.0717500114921394</v>
      </c>
      <c r="CL199" s="21">
        <f>EXP(-LN(2)/25)*CL198+(1-EXP(-LN(2)/25))/(LN(2)/25)*Calculateur!CG199*Calculateur!CI199*VLOOKUP('Données projet'!$B$12,Paramètres!$A$1:$I$89,3,0)*0.475*44/12</f>
        <v>0.95484243340750796</v>
      </c>
      <c r="CM199" s="21">
        <f>EXP(-LN(2)/2)*CM198+(1-EXP(-LN(2)/2))/(LN(2)/2)*CG199*CJ199*VLOOKUP('Données projet'!$B$12,Paramètres!$A$1:$I$89,3,0)*0.475*44/12</f>
        <v>2.7857638026256784E-15</v>
      </c>
      <c r="CN199" s="22">
        <f t="shared" si="172"/>
        <v>3.02659244489965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350.09239406910712</v>
      </c>
      <c r="T200" s="59">
        <f t="shared" si="204"/>
        <v>473.30663081727369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14.531677236958298</v>
      </c>
      <c r="AA200" s="21">
        <f>EXP(-LN(2)/25)*AA199+(1-EXP(-LN(2)/25))/(LN(2)/25)*Calculateur!V200*Calculateur!X200*VLOOKUP('Données projet'!$B$9,Paramètres!$A$1:$I$89,3,0)*0.475*44/12</f>
        <v>1.6126163327051133</v>
      </c>
      <c r="AB200" s="21">
        <f>EXP(-LN(2)/2)*AB199+(1-EXP(-LN(2)/2))/(LN(2)/2)*V200*Y200*VLOOKUP('Données projet'!$B$9,Paramètres!$A$1:$I$89,3,0)*0.475*44/12</f>
        <v>2.7404060070539521E-20</v>
      </c>
      <c r="AC200" s="22">
        <f t="shared" si="163"/>
        <v>16.144293569663411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179.4725256147085</v>
      </c>
      <c r="AO200" s="59">
        <f t="shared" si="205"/>
        <v>282.16750121151176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9.5765388319624396</v>
      </c>
      <c r="AV200" s="21">
        <f>EXP(-LN(2)/25)*AV199+(1-EXP(-LN(2)/25))/(LN(2)/25)*Calculateur!AQ200*Calculateur!AS200*VLOOKUP('Données projet'!$B$10,Paramètres!$A$1:$I$89,3,0)*0.475*44/12</f>
        <v>1.0948007350186655</v>
      </c>
      <c r="AW200" s="21">
        <f>EXP(-LN(2)/2)*AW199+(1-EXP(-LN(2)/2))/(LN(2)/2)*AQ200*AT200*VLOOKUP('Données projet'!$B$10,Paramètres!$A$1:$I$89,3,0)*0.475*44/12</f>
        <v>1.0330659716575367E-19</v>
      </c>
      <c r="AX200" s="21">
        <f t="shared" si="166"/>
        <v>10.671339566981105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1.064108801074326E-13</v>
      </c>
      <c r="BF200" s="13">
        <f t="shared" si="167"/>
        <v>1.5870730813698654E-12</v>
      </c>
      <c r="BG200" s="20">
        <f t="shared" si="168"/>
        <v>2.9494845662396269E-12</v>
      </c>
      <c r="BH200" s="59">
        <f t="shared" si="194"/>
        <v>293.33333333333627</v>
      </c>
      <c r="BI200" s="59">
        <f ca="1">AVERAGE(OFFSET($BH$3,0,0,'Données projet'!$E$11+1,1))-AVERAGE(OFFSET($H$3,0,0,'Données projet'!$E$11+1,1))</f>
        <v>227.19831549982962</v>
      </c>
      <c r="BJ200" s="59">
        <f t="shared" si="206"/>
        <v>309.84543033784564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12.374528403491572</v>
      </c>
      <c r="BQ200" s="21">
        <f>EXP(-LN(2)/25)*BQ199+(1-EXP(-LN(2)/25))/(LN(2)/25)*Calculateur!BL200*Calculateur!BN200*VLOOKUP('Données projet'!$B$11,Paramètres!$A$1:$I$89,3,0)*0.475*44/12</f>
        <v>1.492755449745286</v>
      </c>
      <c r="BR200" s="21">
        <f>EXP(-LN(2)/2)*BR199+(1-EXP(-LN(2)/2))/(LN(2)/2)*BL200*BO200*VLOOKUP('Données projet'!$B$11,Paramètres!$A$1:$I$89,3,0)*0.475*44/12</f>
        <v>2.8954624881989941E-19</v>
      </c>
      <c r="BS200" s="22">
        <f t="shared" si="169"/>
        <v>13.867283853236858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1.4897523215040565E-13</v>
      </c>
      <c r="CA200" s="13">
        <f t="shared" si="170"/>
        <v>2.136562777003313E-12</v>
      </c>
      <c r="CB200" s="20">
        <f t="shared" si="171"/>
        <v>3.9806453659427267E-12</v>
      </c>
      <c r="CC200" s="59">
        <f t="shared" si="195"/>
        <v>293.33333333333729</v>
      </c>
      <c r="CD200" s="59">
        <f ca="1">AVERAGE(OFFSET($CC$3,0,0,'Données projet'!$E$12+1,1))-AVERAGE(OFFSET($H$3,0,0,'Données projet'!$E$12+1,1))</f>
        <v>91.274378490051788</v>
      </c>
      <c r="CE200" s="59">
        <f t="shared" si="207"/>
        <v>126.60105012427914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2.0311242574095112</v>
      </c>
      <c r="CL200" s="21">
        <f>EXP(-LN(2)/25)*CL199+(1-EXP(-LN(2)/25))/(LN(2)/25)*Calculateur!CG200*Calculateur!CI200*VLOOKUP('Données projet'!$B$12,Paramètres!$A$1:$I$89,3,0)*0.475*44/12</f>
        <v>0.92873221685299845</v>
      </c>
      <c r="CM200" s="21">
        <f>EXP(-LN(2)/2)*CM199+(1-EXP(-LN(2)/2))/(LN(2)/2)*CG200*CJ200*VLOOKUP('Données projet'!$B$12,Paramètres!$A$1:$I$89,3,0)*0.475*44/12</f>
        <v>1.9698324756206401E-15</v>
      </c>
      <c r="CN200" s="22">
        <f t="shared" si="172"/>
        <v>2.9598564742625113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350.09239406910712</v>
      </c>
      <c r="T201" s="59">
        <f t="shared" si="204"/>
        <v>473.30663081727369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14.246719909789467</v>
      </c>
      <c r="AA201" s="21">
        <f>EXP(-LN(2)/25)*AA200+(1-EXP(-LN(2)/25))/(LN(2)/25)*Calculateur!V201*Calculateur!X201*VLOOKUP('Données projet'!$B$9,Paramètres!$A$1:$I$89,3,0)*0.475*44/12</f>
        <v>1.5685192542834847</v>
      </c>
      <c r="AB201" s="21">
        <f>EXP(-LN(2)/2)*AB200+(1-EXP(-LN(2)/2))/(LN(2)/2)*V201*Y201*VLOOKUP('Données projet'!$B$9,Paramètres!$A$1:$I$89,3,0)*0.475*44/12</f>
        <v>1.9377596707921994E-20</v>
      </c>
      <c r="AC201" s="22">
        <f t="shared" si="163"/>
        <v>15.815239164072953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179.4725256147085</v>
      </c>
      <c r="AO201" s="59">
        <f t="shared" si="205"/>
        <v>282.16750121151176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9.3887487465795818</v>
      </c>
      <c r="AV201" s="21">
        <f>EXP(-LN(2)/25)*AV200+(1-EXP(-LN(2)/25))/(LN(2)/25)*Calculateur!AQ201*Calculateur!AS201*VLOOKUP('Données projet'!$B$10,Paramètres!$A$1:$I$89,3,0)*0.475*44/12</f>
        <v>1.0648633513465116</v>
      </c>
      <c r="AW201" s="21">
        <f>EXP(-LN(2)/2)*AW200+(1-EXP(-LN(2)/2))/(LN(2)/2)*AQ201*AT201*VLOOKUP('Données projet'!$B$10,Paramètres!$A$1:$I$89,3,0)*0.475*44/12</f>
        <v>7.3048795397211387E-20</v>
      </c>
      <c r="AX201" s="21">
        <f t="shared" si="166"/>
        <v>10.453612097926094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1.064108801074326E-13</v>
      </c>
      <c r="BF201" s="13">
        <f t="shared" si="167"/>
        <v>1.5870730813698654E-12</v>
      </c>
      <c r="BG201" s="20">
        <f t="shared" si="168"/>
        <v>2.9494845662396269E-12</v>
      </c>
      <c r="BH201" s="59">
        <f t="shared" si="194"/>
        <v>293.33333333333627</v>
      </c>
      <c r="BI201" s="59">
        <f ca="1">AVERAGE(OFFSET($BH$3,0,0,'Données projet'!$E$11+1,1))-AVERAGE(OFFSET($H$3,0,0,'Données projet'!$E$11+1,1))</f>
        <v>227.19831549982962</v>
      </c>
      <c r="BJ201" s="59">
        <f t="shared" si="206"/>
        <v>309.84543033784564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12.131871449216154</v>
      </c>
      <c r="BQ201" s="21">
        <f>EXP(-LN(2)/25)*BQ200+(1-EXP(-LN(2)/25))/(LN(2)/25)*Calculateur!BL201*Calculateur!BN201*VLOOKUP('Données projet'!$B$11,Paramètres!$A$1:$I$89,3,0)*0.475*44/12</f>
        <v>1.4519359734714037</v>
      </c>
      <c r="BR201" s="21">
        <f>EXP(-LN(2)/2)*BR200+(1-EXP(-LN(2)/2))/(LN(2)/2)*BL201*BO201*VLOOKUP('Données projet'!$B$11,Paramètres!$A$1:$I$89,3,0)*0.475*44/12</f>
        <v>2.0474011600767826E-19</v>
      </c>
      <c r="BS201" s="22">
        <f t="shared" si="169"/>
        <v>13.583807422687558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1.4897523215040565E-13</v>
      </c>
      <c r="CA201" s="13">
        <f t="shared" si="170"/>
        <v>2.136562777003313E-12</v>
      </c>
      <c r="CB201" s="20">
        <f t="shared" si="171"/>
        <v>3.9806453659427267E-12</v>
      </c>
      <c r="CC201" s="59">
        <f t="shared" si="195"/>
        <v>293.33333333333729</v>
      </c>
      <c r="CD201" s="59">
        <f ca="1">AVERAGE(OFFSET($CC$3,0,0,'Données projet'!$E$12+1,1))-AVERAGE(OFFSET($H$3,0,0,'Données projet'!$E$12+1,1))</f>
        <v>91.274378490051788</v>
      </c>
      <c r="CE201" s="59">
        <f t="shared" si="207"/>
        <v>126.60105012427914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1.9912951495851801</v>
      </c>
      <c r="CL201" s="21">
        <f>EXP(-LN(2)/25)*CL200+(1-EXP(-LN(2)/25))/(LN(2)/25)*Calculateur!CG201*Calculateur!CI201*VLOOKUP('Données projet'!$B$12,Paramètres!$A$1:$I$89,3,0)*0.475*44/12</f>
        <v>0.90333598554324857</v>
      </c>
      <c r="CM201" s="21">
        <f>EXP(-LN(2)/2)*CM200+(1-EXP(-LN(2)/2))/(LN(2)/2)*CG201*CJ201*VLOOKUP('Données projet'!$B$12,Paramètres!$A$1:$I$89,3,0)*0.475*44/12</f>
        <v>1.3928819013128392E-15</v>
      </c>
      <c r="CN201" s="22">
        <f t="shared" si="172"/>
        <v>2.8946311351284302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350.09239406910712</v>
      </c>
      <c r="T202" s="59">
        <f t="shared" si="204"/>
        <v>473.30663081727369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13.96735042199961</v>
      </c>
      <c r="AA202" s="21">
        <f>EXP(-LN(2)/25)*AA201+(1-EXP(-LN(2)/25))/(LN(2)/25)*Calculateur!V202*Calculateur!X202*VLOOKUP('Données projet'!$B$9,Paramètres!$A$1:$I$89,3,0)*0.475*44/12</f>
        <v>1.5256280127902602</v>
      </c>
      <c r="AB202" s="21">
        <f>EXP(-LN(2)/2)*AB201+(1-EXP(-LN(2)/2))/(LN(2)/2)*V202*Y202*VLOOKUP('Données projet'!$B$9,Paramètres!$A$1:$I$89,3,0)*0.475*44/12</f>
        <v>1.3702030035269761E-20</v>
      </c>
      <c r="AC202" s="22">
        <f t="shared" si="163"/>
        <v>15.492978434789871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179.4725256147085</v>
      </c>
      <c r="AO202" s="59">
        <f t="shared" si="205"/>
        <v>282.16750121151176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9.2046411102304404</v>
      </c>
      <c r="AV202" s="21">
        <f>EXP(-LN(2)/25)*AV201+(1-EXP(-LN(2)/25))/(LN(2)/25)*Calculateur!AQ202*Calculateur!AS202*VLOOKUP('Données projet'!$B$10,Paramètres!$A$1:$I$89,3,0)*0.475*44/12</f>
        <v>1.0357446070052114</v>
      </c>
      <c r="AW202" s="21">
        <f>EXP(-LN(2)/2)*AW201+(1-EXP(-LN(2)/2))/(LN(2)/2)*AQ202*AT202*VLOOKUP('Données projet'!$B$10,Paramètres!$A$1:$I$89,3,0)*0.475*44/12</f>
        <v>5.1653298582876833E-20</v>
      </c>
      <c r="AX202" s="21">
        <f t="shared" si="166"/>
        <v>10.240385717235652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1.064108801074326E-13</v>
      </c>
      <c r="BF202" s="13">
        <f t="shared" si="167"/>
        <v>1.5870730813698654E-12</v>
      </c>
      <c r="BG202" s="20">
        <f t="shared" si="168"/>
        <v>2.9494845662396269E-12</v>
      </c>
      <c r="BH202" s="59">
        <f t="shared" si="194"/>
        <v>293.33333333333627</v>
      </c>
      <c r="BI202" s="59">
        <f ca="1">AVERAGE(OFFSET($BH$3,0,0,'Données projet'!$E$11+1,1))-AVERAGE(OFFSET($H$3,0,0,'Données projet'!$E$11+1,1))</f>
        <v>227.19831549982962</v>
      </c>
      <c r="BJ202" s="59">
        <f t="shared" si="206"/>
        <v>309.84543033784564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11.893972849807948</v>
      </c>
      <c r="BQ202" s="21">
        <f>EXP(-LN(2)/25)*BQ201+(1-EXP(-LN(2)/25))/(LN(2)/25)*Calculateur!BL202*Calculateur!BN202*VLOOKUP('Données projet'!$B$11,Paramètres!$A$1:$I$89,3,0)*0.475*44/12</f>
        <v>1.4122327079228338</v>
      </c>
      <c r="BR202" s="21">
        <f>EXP(-LN(2)/2)*BR201+(1-EXP(-LN(2)/2))/(LN(2)/2)*BL202*BO202*VLOOKUP('Données projet'!$B$11,Paramètres!$A$1:$I$89,3,0)*0.475*44/12</f>
        <v>1.4477312440994971E-19</v>
      </c>
      <c r="BS202" s="22">
        <f t="shared" si="169"/>
        <v>13.306205557730783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1.4897523215040565E-13</v>
      </c>
      <c r="CA202" s="13">
        <f t="shared" si="170"/>
        <v>2.136562777003313E-12</v>
      </c>
      <c r="CB202" s="20">
        <f t="shared" si="171"/>
        <v>3.9806453659427267E-12</v>
      </c>
      <c r="CC202" s="59">
        <f t="shared" si="195"/>
        <v>293.33333333333729</v>
      </c>
      <c r="CD202" s="59">
        <f ca="1">AVERAGE(OFFSET($CC$3,0,0,'Données projet'!$E$12+1,1))-AVERAGE(OFFSET($H$3,0,0,'Données projet'!$E$12+1,1))</f>
        <v>91.274378490051788</v>
      </c>
      <c r="CE202" s="59">
        <f t="shared" si="207"/>
        <v>126.60105012427914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1.9522470662719271</v>
      </c>
      <c r="CL202" s="21">
        <f>EXP(-LN(2)/25)*CL201+(1-EXP(-LN(2)/25))/(LN(2)/25)*Calculateur!CG202*Calculateur!CI202*VLOOKUP('Données projet'!$B$12,Paramètres!$A$1:$I$89,3,0)*0.475*44/12</f>
        <v>0.87863421551419352</v>
      </c>
      <c r="CM202" s="21">
        <f>EXP(-LN(2)/2)*CM201+(1-EXP(-LN(2)/2))/(LN(2)/2)*CG202*CJ202*VLOOKUP('Données projet'!$B$12,Paramètres!$A$1:$I$89,3,0)*0.475*44/12</f>
        <v>9.8491623781032006E-16</v>
      </c>
      <c r="CN202" s="22">
        <f t="shared" si="172"/>
        <v>2.8308812817861213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350.09239406910712</v>
      </c>
      <c r="T203" s="59">
        <f t="shared" si="204"/>
        <v>473.30663081727369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13.69345919946675</v>
      </c>
      <c r="AA203" s="21">
        <f>EXP(-LN(2)/25)*AA202+(1-EXP(-LN(2)/25))/(LN(2)/25)*Calculateur!V203*Calculateur!X203*VLOOKUP('Données projet'!$B$9,Paramètres!$A$1:$I$89,3,0)*0.475*44/12</f>
        <v>1.4839096345512202</v>
      </c>
      <c r="AB203" s="21">
        <f>EXP(-LN(2)/2)*AB202+(1-EXP(-LN(2)/2))/(LN(2)/2)*V203*Y203*VLOOKUP('Données projet'!$B$9,Paramètres!$A$1:$I$89,3,0)*0.475*44/12</f>
        <v>9.688798353960997E-21</v>
      </c>
      <c r="AC203" s="22">
        <f t="shared" si="163"/>
        <v>15.177368834017969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179.4725256147085</v>
      </c>
      <c r="AO203" s="59">
        <f t="shared" si="205"/>
        <v>282.16750121151176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9.024143712335535</v>
      </c>
      <c r="AV203" s="21">
        <f>EXP(-LN(2)/25)*AV202+(1-EXP(-LN(2)/25))/(LN(2)/25)*Calculateur!AQ203*Calculateur!AS203*VLOOKUP('Données projet'!$B$10,Paramètres!$A$1:$I$89,3,0)*0.475*44/12</f>
        <v>1.0074221162592123</v>
      </c>
      <c r="AW203" s="21">
        <f>EXP(-LN(2)/2)*AW202+(1-EXP(-LN(2)/2))/(LN(2)/2)*AQ203*AT203*VLOOKUP('Données projet'!$B$10,Paramètres!$A$1:$I$89,3,0)*0.475*44/12</f>
        <v>3.6524397698605694E-20</v>
      </c>
      <c r="AX203" s="21">
        <f t="shared" si="166"/>
        <v>10.031565828594747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1.064108801074326E-13</v>
      </c>
      <c r="BF203" s="13">
        <f t="shared" si="167"/>
        <v>1.5870730813698654E-12</v>
      </c>
      <c r="BG203" s="20">
        <f t="shared" si="168"/>
        <v>2.9494845662396269E-12</v>
      </c>
      <c r="BH203" s="59">
        <f t="shared" si="194"/>
        <v>293.33333333333627</v>
      </c>
      <c r="BI203" s="59">
        <f ca="1">AVERAGE(OFFSET($BH$3,0,0,'Données projet'!$E$11+1,1))-AVERAGE(OFFSET($H$3,0,0,'Données projet'!$E$11+1,1))</f>
        <v>227.19831549982962</v>
      </c>
      <c r="BJ203" s="59">
        <f t="shared" si="206"/>
        <v>309.84543033784564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11.66073929683032</v>
      </c>
      <c r="BQ203" s="21">
        <f>EXP(-LN(2)/25)*BQ202+(1-EXP(-LN(2)/25))/(LN(2)/25)*Calculateur!BL203*Calculateur!BN203*VLOOKUP('Données projet'!$B$11,Paramètres!$A$1:$I$89,3,0)*0.475*44/12</f>
        <v>1.3736151302585935</v>
      </c>
      <c r="BR203" s="21">
        <f>EXP(-LN(2)/2)*BR202+(1-EXP(-LN(2)/2))/(LN(2)/2)*BL203*BO203*VLOOKUP('Données projet'!$B$11,Paramètres!$A$1:$I$89,3,0)*0.475*44/12</f>
        <v>1.0237005800383913E-19</v>
      </c>
      <c r="BS203" s="22">
        <f t="shared" si="169"/>
        <v>13.034354427088914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1.4897523215040565E-13</v>
      </c>
      <c r="CA203" s="13">
        <f t="shared" si="170"/>
        <v>2.136562777003313E-12</v>
      </c>
      <c r="CB203" s="20">
        <f t="shared" si="171"/>
        <v>3.9806453659427267E-12</v>
      </c>
      <c r="CC203" s="59">
        <f t="shared" si="195"/>
        <v>293.33333333333729</v>
      </c>
      <c r="CD203" s="59">
        <f ca="1">AVERAGE(OFFSET($CC$3,0,0,'Données projet'!$E$12+1,1))-AVERAGE(OFFSET($H$3,0,0,'Données projet'!$E$12+1,1))</f>
        <v>91.274378490051788</v>
      </c>
      <c r="CE203" s="59">
        <f t="shared" si="207"/>
        <v>126.60105012427914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1.913964692055468</v>
      </c>
      <c r="CL203" s="21">
        <f>EXP(-LN(2)/25)*CL202+(1-EXP(-LN(2)/25))/(LN(2)/25)*Calculateur!CG203*Calculateur!CI203*VLOOKUP('Données projet'!$B$12,Paramètres!$A$1:$I$89,3,0)*0.475*44/12</f>
        <v>0.85460791668559266</v>
      </c>
      <c r="CM203" s="21">
        <f>EXP(-LN(2)/2)*CM202+(1-EXP(-LN(2)/2))/(LN(2)/2)*CG203*CJ203*VLOOKUP('Données projet'!$B$12,Paramètres!$A$1:$I$89,3,0)*0.475*44/12</f>
        <v>6.964409506564196E-16</v>
      </c>
      <c r="CN203" s="22">
        <f t="shared" si="172"/>
        <v>2.7685726087410618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1.3431520832915915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1.2496573925045706</v>
      </c>
      <c r="BV205" s="82">
        <f>EXP(LN('Données projet'!B114)/'Données projet'!A114)</f>
        <v>1.2157010972598057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N29" sqref="N29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6.4749999999999996</v>
      </c>
      <c r="C6" s="147">
        <f ca="1">IF(OR('Données projet'!B9="",'Données projet'!C9="",'Données projet'!C9=0%),0,Calculateur!S3)</f>
        <v>350.09239406910712</v>
      </c>
      <c r="D6" s="147">
        <f>IF(OR('Données projet'!B9="",'Données projet'!C9="",'Données projet'!C9=0%),0,Calculateur!T3)</f>
        <v>473.30663081727369</v>
      </c>
      <c r="E6" s="147">
        <f ca="1">MIN(C6,D6)</f>
        <v>350.09239406910712</v>
      </c>
      <c r="F6" s="147">
        <f ca="1">E6*B6</f>
        <v>2266.8482515974683</v>
      </c>
      <c r="G6" s="147">
        <f ca="1">F6*(100%-'Données projet'!$C$24)*(100%-'Données projet'!$C$25)*(100%-'Données projet'!$C$26)*(100%-'Données projet'!$C$27)</f>
        <v>2040.1634264377215</v>
      </c>
      <c r="H6" s="148">
        <f>IF(OR('Données projet'!B9="",'Données projet'!C9="",'Données projet'!C9=0%),0,AVERAGE(Calculateur!$AC$3:$AC$33)*B6)</f>
        <v>90.468753516845098</v>
      </c>
      <c r="I6" s="149">
        <f>H6*(100%-'Données projet'!$C$24)*(100%-'Données projet'!$C$25)*(100%-'Données projet'!$C$26)*(100%-'Données projet'!$C$27)</f>
        <v>81.421878165160592</v>
      </c>
      <c r="J6" s="150">
        <f>IF(OR('Données projet'!B9="",'Données projet'!C9="",'Données projet'!C9=0%),0,SUM(Calculateur!$V$3:$V$33)*VLOOKUP('Données projet'!$B$9,Paramètres!$A$1:$I$89,9,0)*B6)</f>
        <v>576.95228499999996</v>
      </c>
      <c r="K6" s="151">
        <f>J6*(100%-'Données projet'!$C$24)*(100%-'Données projet'!$C$25)*(100%-'Données projet'!$C$26)*(100%-'Données projet'!$C$27)</f>
        <v>519.25705649999998</v>
      </c>
      <c r="L6" s="152">
        <f ca="1">G6+I6+K6</f>
        <v>2640.842361102882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Mélèze d'Europe</v>
      </c>
      <c r="B7" s="154">
        <f>'Données projet'!D10</f>
        <v>1.665</v>
      </c>
      <c r="C7" s="147">
        <f ca="1">IF(OR('Données projet'!B10="",'Données projet'!C10="",'Données projet'!C10=0%),0,Calculateur!AN3)</f>
        <v>179.4725256147085</v>
      </c>
      <c r="D7" s="147">
        <f>IF(OR('Données projet'!B10="",'Données projet'!C10="",'Données projet'!C10=0%),0,Calculateur!AO3)</f>
        <v>282.16750121151176</v>
      </c>
      <c r="E7" s="147">
        <f t="shared" ref="E7:E15" ca="1" si="0">MIN(C7,D7)</f>
        <v>179.4725256147085</v>
      </c>
      <c r="F7" s="147">
        <f t="shared" ref="F7:F15" ca="1" si="1">E7*B7</f>
        <v>298.82175514848967</v>
      </c>
      <c r="G7" s="147">
        <f ca="1">F7*(100%-'Données projet'!$C$24)*(100%-'Données projet'!$C$25)*(100%-'Données projet'!$C$26)*(100%-'Données projet'!$C$27)</f>
        <v>268.93957963364073</v>
      </c>
      <c r="H7" s="155">
        <f>IF(OR('Données projet'!B10="",'Données projet'!C10="",'Données projet'!C10=0%),0,AVERAGE(Calculateur!$AX$3:$AX$33)*B7)</f>
        <v>15.735485935307416</v>
      </c>
      <c r="I7" s="149">
        <f>H7*(100%-'Données projet'!$C$24)*(100%-'Données projet'!$C$25)*(100%-'Données projet'!$C$26)*(100%-'Données projet'!$C$27)</f>
        <v>14.161937341776675</v>
      </c>
      <c r="J7" s="150">
        <f>IF(OR('Données projet'!B10="",'Données projet'!C10="",'Données projet'!C10=0%),0,SUM(Calculateur!$AQ$3:$AQ$33)*VLOOKUP('Données projet'!$B$10,Paramètres!$A$1:$I$89,9,0)*B7)</f>
        <v>91.641599999999997</v>
      </c>
      <c r="K7" s="151">
        <f>J7*(100%-'Données projet'!$C$24)*(100%-'Données projet'!$C$25)*(100%-'Données projet'!$C$26)*(100%-'Données projet'!$C$27)</f>
        <v>82.477440000000001</v>
      </c>
      <c r="L7" s="152">
        <f t="shared" ref="L7:L15" ca="1" si="2">G7+I7+K7</f>
        <v>365.57895697541738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Epicéa de Sitka</v>
      </c>
      <c r="B8" s="154">
        <f>'Données projet'!D11</f>
        <v>0.92500000000000004</v>
      </c>
      <c r="C8" s="147">
        <f ca="1">IF(OR('Données projet'!B11="",'Données projet'!C11="",'Données projet'!C11=0%),0,Calculateur!BI3)</f>
        <v>227.19831549982962</v>
      </c>
      <c r="D8" s="147">
        <f>IF(OR('Données projet'!B11="",'Données projet'!C11="",'Données projet'!C11=0%),0,Calculateur!BJ3)</f>
        <v>309.84543033784564</v>
      </c>
      <c r="E8" s="147">
        <f t="shared" ca="1" si="0"/>
        <v>227.19831549982962</v>
      </c>
      <c r="F8" s="147">
        <f t="shared" ca="1" si="1"/>
        <v>210.15844183734239</v>
      </c>
      <c r="G8" s="147">
        <f ca="1">F8*(100%-'Données projet'!$C$24)*(100%-'Données projet'!$C$25)*(100%-'Données projet'!$C$26)*(100%-'Données projet'!$C$27)</f>
        <v>189.14259765360816</v>
      </c>
      <c r="H8" s="155">
        <f>IF(OR('Données projet'!B11="",'Données projet'!C11="",'Données projet'!C11=0%),0,AVERAGE(Calculateur!$BS$3:$BS$33)*B8)</f>
        <v>4.8246171415675834</v>
      </c>
      <c r="I8" s="149">
        <f>H8*(100%-'Données projet'!$C$24)*(100%-'Données projet'!$C$25)*(100%-'Données projet'!$C$26)*(100%-'Données projet'!$C$27)</f>
        <v>4.3421554274108249</v>
      </c>
      <c r="J8" s="150">
        <f>IF(OR('Données projet'!B11="",'Données projet'!C11="",'Données projet'!C11=0%),0,SUM(Calculateur!$BL$3:$BL$33)*VLOOKUP('Données projet'!$B$11,Paramètres!$A$1:$I$89,9,0)*B8)</f>
        <v>65.270775</v>
      </c>
      <c r="K8" s="151">
        <f>J8*(100%-'Données projet'!$C$24)*(100%-'Données projet'!$C$25)*(100%-'Données projet'!$C$26)*(100%-'Données projet'!$C$27)</f>
        <v>58.743697500000003</v>
      </c>
      <c r="L8" s="152">
        <f t="shared" ca="1" si="2"/>
        <v>252.22845058101899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Aulne glutineux</v>
      </c>
      <c r="B9" s="154">
        <f>'Données projet'!D12</f>
        <v>0.185</v>
      </c>
      <c r="C9" s="147">
        <f ca="1">IF(OR('Données projet'!B12="",'Données projet'!C12="",'Données projet'!C12=0%),0,Calculateur!CD3)</f>
        <v>91.274378490051788</v>
      </c>
      <c r="D9" s="147">
        <f>IF(OR('Données projet'!B12="",'Données projet'!C12="",'Données projet'!C12=0%),0,Calculateur!CE3)</f>
        <v>126.60105012427914</v>
      </c>
      <c r="E9" s="147">
        <f t="shared" ca="1" si="0"/>
        <v>91.274378490051788</v>
      </c>
      <c r="F9" s="147">
        <f t="shared" ca="1" si="1"/>
        <v>16.885760020659582</v>
      </c>
      <c r="G9" s="147">
        <f ca="1">F9*(100%-'Données projet'!$C$24)*(100%-'Données projet'!$C$25)*(100%-'Données projet'!$C$26)*(100%-'Données projet'!$C$27)</f>
        <v>15.197184018593624</v>
      </c>
      <c r="H9" s="155">
        <f>IF(OR('Données projet'!B12="",'Données projet'!C12="",'Données projet'!C12=0%),0,AVERAGE(Calculateur!$CN$3:$CN$33)*B9)</f>
        <v>0.17108992886283811</v>
      </c>
      <c r="I9" s="149">
        <f>H9*(100%-'Données projet'!$C$24)*(100%-'Données projet'!$C$25)*(100%-'Données projet'!$C$26)*(100%-'Données projet'!$C$27)</f>
        <v>0.1539809359765543</v>
      </c>
      <c r="J9" s="150">
        <f>IF(OR('Données projet'!B12="",'Données projet'!C12="",'Données projet'!C12=0%),0,SUM(Calculateur!$CG$3:$CG$33)*VLOOKUP('Données projet'!$B$12,Paramètres!$A$1:$I$89,9,0)*B9)</f>
        <v>1.7491987179487178</v>
      </c>
      <c r="K9" s="151">
        <f>J9*(100%-'Données projet'!$C$24)*(100%-'Données projet'!$C$25)*(100%-'Données projet'!$C$26)*(100%-'Données projet'!$C$27)</f>
        <v>1.5742788461538462</v>
      </c>
      <c r="L9" s="152">
        <f t="shared" ca="1" si="2"/>
        <v>16.925443800724025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2792.7142086039598</v>
      </c>
      <c r="G16" s="166">
        <f t="shared" ca="1" si="3"/>
        <v>2513.4427877435642</v>
      </c>
      <c r="H16" s="167">
        <f t="shared" si="3"/>
        <v>111.19994652258293</v>
      </c>
      <c r="I16" s="167">
        <f t="shared" si="3"/>
        <v>100.07995187032465</v>
      </c>
      <c r="J16" s="168">
        <f t="shared" si="3"/>
        <v>735.61385871794869</v>
      </c>
      <c r="K16" s="168">
        <f t="shared" si="3"/>
        <v>662.05247284615393</v>
      </c>
      <c r="L16" s="169">
        <f t="shared" ca="1" si="3"/>
        <v>3275.5752124600426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Epicéa de Sitka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9" zoomScale="80" zoomScaleNormal="80" workbookViewId="0">
      <selection activeCell="T23" sqref="T23:V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6040.5373944690946</v>
      </c>
      <c r="U10" s="178">
        <f>'Données projet'!D9</f>
        <v>6.4749999999999996</v>
      </c>
      <c r="V10" s="177">
        <f>U10*T10</f>
        <v>39112.479629187386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2289.7744804142999</v>
      </c>
      <c r="U11" s="178">
        <f>'Données projet'!D10</f>
        <v>1.665</v>
      </c>
      <c r="V11" s="177">
        <f t="shared" ref="V11" si="0">U11*T11</f>
        <v>3812.4745098898093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Epicéa de Sitka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3314.2745309849952</v>
      </c>
      <c r="U12" s="178">
        <f>'Données projet'!D11</f>
        <v>0.92500000000000004</v>
      </c>
      <c r="V12" s="177">
        <f t="shared" ref="V12:V19" si="1">U12*T12</f>
        <v>3065.7039411611208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295.35926783681867</v>
      </c>
      <c r="U13" s="178">
        <f>'Données projet'!D12</f>
        <v>0.185</v>
      </c>
      <c r="V13" s="177">
        <f t="shared" si="1"/>
        <v>54.641464549811452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60.000000000000057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720.00000000000068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f>(22122.5+15080+2604)/'Données projet'!C5</f>
        <v>4303.405405405405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(3300+231)/'Données projet'!C5</f>
        <v>381.72972972972974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(4140+290)/'Données projet'!C5</f>
        <v>478.91891891891891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18</v>
      </c>
      <c r="B23" s="181">
        <f>'Données projet'!D36</f>
        <v>74.829999999999984</v>
      </c>
      <c r="C23" s="193">
        <v>16.875</v>
      </c>
      <c r="D23" s="182">
        <f>B23*C23</f>
        <v>1262.7562499999997</v>
      </c>
      <c r="E23" s="193">
        <v>60</v>
      </c>
      <c r="F23" s="230"/>
      <c r="H23" s="190">
        <v>4</v>
      </c>
      <c r="I23" s="191">
        <f>(4900+343)/'Données projet'!C5</f>
        <v>566.81081081081084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-9140.1055194734508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24</v>
      </c>
      <c r="B24" s="181">
        <f>'Données projet'!D37</f>
        <v>51.400000000000034</v>
      </c>
      <c r="C24" s="193">
        <v>16.875</v>
      </c>
      <c r="D24" s="182">
        <f t="shared" ref="D24:D42" si="2">B24*C24</f>
        <v>867.37500000000057</v>
      </c>
      <c r="E24" s="193">
        <v>60</v>
      </c>
      <c r="F24" s="233"/>
      <c r="H24" s="190">
        <v>5</v>
      </c>
      <c r="I24" s="191">
        <f>(6500+455)/'Données projet'!C5</f>
        <v>751.89189189189187</v>
      </c>
      <c r="J24" s="257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474.78479514972781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30</v>
      </c>
      <c r="B25" s="181">
        <f>'Données projet'!D38</f>
        <v>80.990000000000009</v>
      </c>
      <c r="C25" s="193">
        <v>32</v>
      </c>
      <c r="D25" s="182">
        <f t="shared" si="2"/>
        <v>2591.6800000000003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0">
        <f ca="1">T23-T24</f>
        <v>-9614.8903146231787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36</v>
      </c>
      <c r="B26" s="181">
        <f>'Données projet'!D39</f>
        <v>85.910000000000025</v>
      </c>
      <c r="C26" s="193">
        <v>32</v>
      </c>
      <c r="D26" s="182">
        <f t="shared" si="2"/>
        <v>2749.1200000000008</v>
      </c>
      <c r="E26" s="193">
        <v>60</v>
      </c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42</v>
      </c>
      <c r="B27" s="181">
        <f>'Données projet'!D40</f>
        <v>91.32</v>
      </c>
      <c r="C27" s="193">
        <v>32</v>
      </c>
      <c r="D27" s="182">
        <f t="shared" si="2"/>
        <v>2922.24</v>
      </c>
      <c r="E27" s="193">
        <v>60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48</v>
      </c>
      <c r="B28" s="181">
        <f>'Données projet'!D41</f>
        <v>101.43000000000006</v>
      </c>
      <c r="C28" s="193">
        <v>32</v>
      </c>
      <c r="D28" s="182">
        <f t="shared" si="2"/>
        <v>3245.760000000002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54</v>
      </c>
      <c r="B29" s="181">
        <f>'Données projet'!D42</f>
        <v>708.61</v>
      </c>
      <c r="C29" s="193">
        <v>48</v>
      </c>
      <c r="D29" s="182">
        <f t="shared" si="2"/>
        <v>34013.279999999999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18</v>
      </c>
      <c r="B54" s="181">
        <f>'Données projet'!D62</f>
        <v>20</v>
      </c>
      <c r="C54" s="191">
        <v>10.9375</v>
      </c>
      <c r="D54" s="179">
        <f>B54*C54</f>
        <v>218.75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21</v>
      </c>
      <c r="B55" s="181">
        <f>'Données projet'!D63</f>
        <v>26</v>
      </c>
      <c r="C55" s="191">
        <v>10.9375</v>
      </c>
      <c r="D55" s="179">
        <f t="shared" ref="D55:D73" si="4">B55*C55</f>
        <v>284.375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24</v>
      </c>
      <c r="B56" s="181">
        <f>'Données projet'!D64</f>
        <v>29</v>
      </c>
      <c r="C56" s="191">
        <v>10.9375</v>
      </c>
      <c r="D56" s="179">
        <f t="shared" si="4"/>
        <v>317.1875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30</v>
      </c>
      <c r="B57" s="181">
        <f>'Données projet'!D65</f>
        <v>53</v>
      </c>
      <c r="C57" s="191">
        <v>28</v>
      </c>
      <c r="D57" s="179">
        <f t="shared" si="4"/>
        <v>1484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36</v>
      </c>
      <c r="B58" s="181">
        <f>'Données projet'!D66</f>
        <v>62</v>
      </c>
      <c r="C58" s="191">
        <v>28</v>
      </c>
      <c r="D58" s="179">
        <f t="shared" si="4"/>
        <v>1736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42</v>
      </c>
      <c r="B59" s="181">
        <f>'Données projet'!D67</f>
        <v>67</v>
      </c>
      <c r="C59" s="191">
        <v>28</v>
      </c>
      <c r="D59" s="179">
        <f t="shared" si="4"/>
        <v>1876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48</v>
      </c>
      <c r="B60" s="181">
        <f>'Données projet'!D68</f>
        <v>65</v>
      </c>
      <c r="C60" s="191">
        <v>28</v>
      </c>
      <c r="D60" s="179">
        <f t="shared" si="4"/>
        <v>1820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60</v>
      </c>
      <c r="B61" s="181">
        <f>'Données projet'!D69</f>
        <v>304</v>
      </c>
      <c r="C61" s="191">
        <v>42</v>
      </c>
      <c r="D61" s="179">
        <f t="shared" si="4"/>
        <v>12768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Epicéa de Sitka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25</v>
      </c>
      <c r="B85" s="181">
        <f>'Données projet'!D88</f>
        <v>68.009999999999991</v>
      </c>
      <c r="C85" s="191">
        <v>12.796874999999998</v>
      </c>
      <c r="D85" s="179">
        <f>B85*C85</f>
        <v>870.31546874999981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30</v>
      </c>
      <c r="B86" s="181">
        <f>'Données projet'!D89</f>
        <v>96.09</v>
      </c>
      <c r="C86" s="191">
        <v>12.796874999999998</v>
      </c>
      <c r="D86" s="179">
        <f t="shared" ref="D86:D104" si="6">B86*C86</f>
        <v>1229.6517187499999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36</v>
      </c>
      <c r="B87" s="181">
        <f>'Données projet'!D90</f>
        <v>95.659999999999968</v>
      </c>
      <c r="C87" s="191">
        <v>26</v>
      </c>
      <c r="D87" s="179">
        <f t="shared" si="6"/>
        <v>2487.1599999999989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42</v>
      </c>
      <c r="B88" s="181">
        <f>'Données projet'!D91</f>
        <v>89.87</v>
      </c>
      <c r="C88" s="191">
        <v>26</v>
      </c>
      <c r="D88" s="179">
        <f t="shared" si="6"/>
        <v>2336.62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48</v>
      </c>
      <c r="B89" s="181">
        <f>'Données projet'!D92</f>
        <v>100.36000000000001</v>
      </c>
      <c r="C89" s="191">
        <v>26</v>
      </c>
      <c r="D89" s="179">
        <f t="shared" si="6"/>
        <v>2609.3600000000006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55</v>
      </c>
      <c r="B90" s="181">
        <f>'Données projet'!D93</f>
        <v>98.979999999999961</v>
      </c>
      <c r="C90" s="191">
        <v>26</v>
      </c>
      <c r="D90" s="179">
        <f t="shared" si="6"/>
        <v>2573.4799999999991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62</v>
      </c>
      <c r="B91" s="181">
        <f>'Données projet'!D94</f>
        <v>560.57000000000005</v>
      </c>
      <c r="C91" s="191">
        <v>36.855000000000004</v>
      </c>
      <c r="D91" s="179">
        <f t="shared" si="6"/>
        <v>20659.807350000003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10</v>
      </c>
      <c r="B116" s="181">
        <f>'Données projet'!D114</f>
        <v>0.64102564102564097</v>
      </c>
      <c r="C116" s="191">
        <v>11.25</v>
      </c>
      <c r="D116" s="179">
        <f>B116*C116</f>
        <v>7.2115384615384608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15</v>
      </c>
      <c r="B117" s="181">
        <f>'Données projet'!D115</f>
        <v>2.5641025641025639</v>
      </c>
      <c r="C117" s="191">
        <v>11.25</v>
      </c>
      <c r="D117" s="179">
        <f t="shared" ref="D117:D135" si="8">B117*C117</f>
        <v>28.846153846153843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20</v>
      </c>
      <c r="B118" s="181">
        <f>'Données projet'!D116</f>
        <v>6.4102564102564097</v>
      </c>
      <c r="C118" s="191">
        <v>11.25</v>
      </c>
      <c r="D118" s="179">
        <f t="shared" si="8"/>
        <v>72.115384615384613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25</v>
      </c>
      <c r="B119" s="181">
        <f>'Données projet'!D117</f>
        <v>13.461538461538462</v>
      </c>
      <c r="C119" s="191">
        <v>11.25</v>
      </c>
      <c r="D119" s="179">
        <f t="shared" si="8"/>
        <v>151.44230769230771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30</v>
      </c>
      <c r="B120" s="181">
        <f>'Données projet'!D118</f>
        <v>14.743589743589743</v>
      </c>
      <c r="C120" s="191">
        <v>11.25</v>
      </c>
      <c r="D120" s="179">
        <f t="shared" si="8"/>
        <v>165.86538461538461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35</v>
      </c>
      <c r="B121" s="181">
        <f>'Données projet'!D119</f>
        <v>16.025641025641026</v>
      </c>
      <c r="C121" s="191">
        <v>18.125</v>
      </c>
      <c r="D121" s="179">
        <f t="shared" si="8"/>
        <v>290.46474358974359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40</v>
      </c>
      <c r="B122" s="181">
        <f>'Données projet'!D120</f>
        <v>16.025641025641026</v>
      </c>
      <c r="C122" s="191">
        <v>18.125</v>
      </c>
      <c r="D122" s="179">
        <f t="shared" si="8"/>
        <v>290.46474358974359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45</v>
      </c>
      <c r="B123" s="181">
        <f>'Données projet'!D121</f>
        <v>16.025641025641026</v>
      </c>
      <c r="C123" s="191">
        <v>18.125</v>
      </c>
      <c r="D123" s="179">
        <f t="shared" si="8"/>
        <v>290.46474358974359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50</v>
      </c>
      <c r="B124" s="181">
        <f>'Données projet'!D122</f>
        <v>15.384615384615383</v>
      </c>
      <c r="C124" s="191">
        <v>18.125</v>
      </c>
      <c r="D124" s="179">
        <f t="shared" si="8"/>
        <v>278.84615384615381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55</v>
      </c>
      <c r="B125" s="181">
        <f>'Données projet'!D123</f>
        <v>14.743589743589743</v>
      </c>
      <c r="C125" s="191">
        <v>18.125</v>
      </c>
      <c r="D125" s="179">
        <f t="shared" si="8"/>
        <v>267.22756410256409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60</v>
      </c>
      <c r="B126" s="181">
        <f>'Données projet'!D124</f>
        <v>14.102564102564102</v>
      </c>
      <c r="C126" s="191">
        <v>18.125</v>
      </c>
      <c r="D126" s="179">
        <f t="shared" si="8"/>
        <v>255.60897435897436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65</v>
      </c>
      <c r="B127" s="181">
        <f>'Données projet'!D125</f>
        <v>12.820512820512819</v>
      </c>
      <c r="C127" s="191">
        <v>18.125</v>
      </c>
      <c r="D127" s="179">
        <f t="shared" si="8"/>
        <v>232.37179487179486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70</v>
      </c>
      <c r="B128" s="181">
        <f>'Données projet'!D126</f>
        <v>12.179487179487179</v>
      </c>
      <c r="C128" s="191">
        <v>18.125</v>
      </c>
      <c r="D128" s="179">
        <f t="shared" si="8"/>
        <v>220.75320512820511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75</v>
      </c>
      <c r="B129" s="181">
        <f>'Données projet'!D127</f>
        <v>11.538461538461538</v>
      </c>
      <c r="C129" s="191">
        <v>18.125</v>
      </c>
      <c r="D129" s="179">
        <f t="shared" si="8"/>
        <v>209.13461538461539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80</v>
      </c>
      <c r="B130" s="181">
        <f>'Données projet'!D128</f>
        <v>10.256410256410255</v>
      </c>
      <c r="C130" s="191">
        <v>24</v>
      </c>
      <c r="D130" s="179">
        <f t="shared" si="8"/>
        <v>246.15384615384613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85</v>
      </c>
      <c r="B131" s="181">
        <f>'Données projet'!D129</f>
        <v>9.615384615384615</v>
      </c>
      <c r="C131" s="191">
        <v>24</v>
      </c>
      <c r="D131" s="179">
        <f t="shared" si="8"/>
        <v>230.76923076923077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90</v>
      </c>
      <c r="B132" s="181">
        <f>'Données projet'!D130</f>
        <v>160.25641025641025</v>
      </c>
      <c r="C132" s="191">
        <v>24</v>
      </c>
      <c r="D132" s="179">
        <f t="shared" si="8"/>
        <v>3846.1538461538457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AC49E2-D35D-48A4-AF19-CFF595F58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2382d34-9bb8-44b7-b653-fe70b92f328c"/>
    <ds:schemaRef ds:uri="0b31a522-a3bf-48c4-bec5-a17f159ba48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cp:lastPrinted>2024-04-10T07:17:30Z</cp:lastPrinted>
  <dcterms:created xsi:type="dcterms:W3CDTF">2021-02-01T08:22:39Z</dcterms:created>
  <dcterms:modified xsi:type="dcterms:W3CDTF">2024-06-11T08:59:29Z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