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7_Dijon\2023\Danonce 14891894\"/>
    </mc:Choice>
  </mc:AlternateContent>
  <xr:revisionPtr revIDLastSave="0" documentId="13_ncr:1_{6A753C05-B155-4A45-A435-9D1C2C5D137A}" xr6:coauthVersionLast="47" xr6:coauthVersionMax="47" xr10:uidLastSave="{00000000-0000-0000-0000-000000000000}"/>
  <bookViews>
    <workbookView xWindow="-12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8" i="1" l="1"/>
  <c r="D68" i="1" s="1"/>
  <c r="B42" i="1"/>
  <c r="D42" i="1" s="1"/>
  <c r="D41" i="1"/>
  <c r="D40" i="1"/>
  <c r="D39" i="1"/>
  <c r="D38" i="1"/>
  <c r="D37" i="1"/>
  <c r="D36" i="1"/>
  <c r="D9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HG155" i="2"/>
  <c r="EW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G156" i="2" l="1"/>
  <c r="AB156" i="2"/>
  <c r="FS156" i="2"/>
  <c r="H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HG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HG164" i="2"/>
  <c r="H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HH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C167" i="2"/>
  <c r="FR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EW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H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Q178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A179" i="2"/>
  <c r="DF179" i="2"/>
  <c r="EV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W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V190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G192" i="2" l="1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EX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EB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H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186" i="2" a="1"/>
  <c r="FY186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57" i="2" a="1"/>
  <c r="EI57" i="2" s="1"/>
  <c r="EI165" i="2" a="1"/>
  <c r="EI165" i="2" s="1"/>
  <c r="EI170" i="2" a="1"/>
  <c r="EI170" i="2" s="1"/>
  <c r="EI139" i="2" a="1"/>
  <c r="EI139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I106" i="2" l="1" a="1"/>
  <c r="EI106" i="2" s="1"/>
  <c r="EI67" i="2" a="1"/>
  <c r="EI67" i="2" s="1"/>
  <c r="EI71" i="2" a="1"/>
  <c r="EI71" i="2" s="1"/>
  <c r="EI153" i="2" a="1"/>
  <c r="EI153" i="2" s="1"/>
  <c r="DN56" i="2" a="1"/>
  <c r="DN56" i="2" s="1"/>
  <c r="FY69" i="2" a="1"/>
  <c r="FY69" i="2" s="1"/>
  <c r="EI16" i="2" a="1"/>
  <c r="EI16" i="2" s="1"/>
  <c r="EI36" i="2" a="1"/>
  <c r="EI36" i="2" s="1"/>
  <c r="EI178" i="2" a="1"/>
  <c r="EI178" i="2" s="1"/>
  <c r="EI198" i="2" a="1"/>
  <c r="EI198" i="2" s="1"/>
  <c r="EI113" i="2" a="1"/>
  <c r="EI113" i="2" s="1"/>
  <c r="EI87" i="2" a="1"/>
  <c r="EI87" i="2" s="1"/>
  <c r="EI145" i="2" a="1"/>
  <c r="EI145" i="2" s="1"/>
  <c r="FY104" i="2" a="1"/>
  <c r="FY104" i="2" s="1"/>
  <c r="EI128" i="2" a="1"/>
  <c r="EI128" i="2" s="1"/>
  <c r="EI109" i="2" a="1"/>
  <c r="EI109" i="2" s="1"/>
  <c r="EI162" i="2" a="1"/>
  <c r="EI162" i="2" s="1"/>
  <c r="FY190" i="2" a="1"/>
  <c r="FY190" i="2" s="1"/>
  <c r="EI37" i="2" a="1"/>
  <c r="EI37" i="2" s="1"/>
  <c r="EI20" i="2" a="1"/>
  <c r="EI20" i="2" s="1"/>
  <c r="EI38" i="2" a="1"/>
  <c r="EI38" i="2" s="1"/>
  <c r="EI150" i="2" a="1"/>
  <c r="EI150" i="2" s="1"/>
  <c r="AH92" i="2" a="1"/>
  <c r="AH92" i="2" s="1"/>
  <c r="EI35" i="2" a="1"/>
  <c r="EI35" i="2" s="1"/>
  <c r="EI34" i="2" a="1"/>
  <c r="EI34" i="2" s="1"/>
  <c r="EI195" i="2" a="1"/>
  <c r="EI195" i="2" s="1"/>
  <c r="EI29" i="2" a="1"/>
  <c r="EI29" i="2" s="1"/>
  <c r="FY78" i="2" a="1"/>
  <c r="FY78" i="2" s="1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HH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<sst xmlns="http://schemas.openxmlformats.org/spreadsheetml/2006/main" count="1172" uniqueCount="324">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</sst>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Milliers 2" xfId="3" xr:uid="{DB59AD80-7531-45EA-99B6-F4FBBC59BA49}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1.873341154418579</c:v>
                </c:pt>
                <c:pt idx="2">
                  <c:v>2.4146348487092482</c:v>
                </c:pt>
                <c:pt idx="3">
                  <c:v>3.1129674845447224</c:v>
                </c:pt>
                <c:pt idx="4">
                  <c:v>4.0140726391918369</c:v>
                </c:pt>
                <c:pt idx="5">
                  <c:v>5.177050029890613</c:v>
                </c:pt>
                <c:pt idx="6">
                  <c:v>6.6782847969213117</c:v>
                </c:pt>
                <c:pt idx="7">
                  <c:v>8.6165195056470285</c:v>
                </c:pt>
                <c:pt idx="8">
                  <c:v>11.119418840613557</c:v>
                </c:pt>
                <c:pt idx="9">
                  <c:v>14.352067486855185</c:v>
                </c:pt>
                <c:pt idx="10">
                  <c:v>18.527972005610515</c:v>
                </c:pt>
                <c:pt idx="11">
                  <c:v>23.92330646023299</c:v>
                </c:pt>
                <c:pt idx="12">
                  <c:v>30.895360611679706</c:v>
                </c:pt>
                <c:pt idx="13">
                  <c:v>39.906433576362275</c:v>
                </c:pt>
                <c:pt idx="14">
                  <c:v>51.554784251833638</c:v>
                </c:pt>
                <c:pt idx="15">
                  <c:v>66.614727654403126</c:v>
                </c:pt>
                <c:pt idx="16">
                  <c:v>86.088586138460911</c:v>
                </c:pt>
                <c:pt idx="17">
                  <c:v>111.27400854603934</c:v>
                </c:pt>
                <c:pt idx="18">
                  <c:v>143.85121353451117</c:v>
                </c:pt>
                <c:pt idx="19">
                  <c:v>185.99606688196715</c:v>
                </c:pt>
                <c:pt idx="20">
                  <c:v>240.52665895672337</c:v>
                </c:pt>
                <c:pt idx="21">
                  <c:v>169.14459918159946</c:v>
                </c:pt>
                <c:pt idx="22">
                  <c:v>199.29058865200219</c:v>
                </c:pt>
                <c:pt idx="23">
                  <c:v>229.33067551677331</c:v>
                </c:pt>
                <c:pt idx="24">
                  <c:v>259.28069188344864</c:v>
                </c:pt>
                <c:pt idx="25">
                  <c:v>289.15250414515464</c:v>
                </c:pt>
                <c:pt idx="26">
                  <c:v>318.95532318922392</c:v>
                </c:pt>
                <c:pt idx="27">
                  <c:v>348.69649689936165</c:v>
                </c:pt>
                <c:pt idx="28">
                  <c:v>378.38201721562388</c:v>
                </c:pt>
                <c:pt idx="29">
                  <c:v>408.01685937470296</c:v>
                </c:pt>
                <c:pt idx="30">
                  <c:v>437.60521728369707</c:v>
                </c:pt>
                <c:pt idx="31">
                  <c:v>316.44430504331677</c:v>
                </c:pt>
                <c:pt idx="32">
                  <c:v>345.47433795622351</c:v>
                </c:pt>
                <c:pt idx="33">
                  <c:v>374.45080395713165</c:v>
                </c:pt>
                <c:pt idx="34">
                  <c:v>403.3784266253918</c:v>
                </c:pt>
                <c:pt idx="35">
                  <c:v>432.26119709872506</c:v>
                </c:pt>
                <c:pt idx="36">
                  <c:v>461.10253000694792</c:v>
                </c:pt>
                <c:pt idx="37">
                  <c:v>489.90537833329205</c:v>
                </c:pt>
                <c:pt idx="38">
                  <c:v>518.67231984823627</c:v>
                </c:pt>
                <c:pt idx="39">
                  <c:v>547.40562336884784</c:v>
                </c:pt>
                <c:pt idx="40">
                  <c:v>576.10730038492648</c:v>
                </c:pt>
                <c:pt idx="41">
                  <c:v>451.84914558797823</c:v>
                </c:pt>
                <c:pt idx="42">
                  <c:v>476.75312396624321</c:v>
                </c:pt>
                <c:pt idx="43">
                  <c:v>501.62944299248107</c:v>
                </c:pt>
                <c:pt idx="44">
                  <c:v>526.47966574618124</c:v>
                </c:pt>
                <c:pt idx="45">
                  <c:v>551.30519586187165</c:v>
                </c:pt>
                <c:pt idx="46">
                  <c:v>576.10730038492648</c:v>
                </c:pt>
                <c:pt idx="47">
                  <c:v>600.88712848882722</c:v>
                </c:pt>
                <c:pt idx="48">
                  <c:v>625.64572694630408</c:v>
                </c:pt>
                <c:pt idx="49">
                  <c:v>650.38405302597027</c:v>
                </c:pt>
                <c:pt idx="50">
                  <c:v>675.10298532637864</c:v>
                </c:pt>
                <c:pt idx="51">
                  <c:v>556.03117561453928</c:v>
                </c:pt>
                <c:pt idx="52">
                  <c:v>577.28778867118103</c:v>
                </c:pt>
                <c:pt idx="53">
                  <c:v>598.52807527315429</c:v>
                </c:pt>
                <c:pt idx="54">
                  <c:v>619.75269577860911</c:v>
                </c:pt>
                <c:pt idx="55">
                  <c:v>640.96226167232192</c:v>
                </c:pt>
                <c:pt idx="56">
                  <c:v>662.15734071289023</c:v>
                </c:pt>
                <c:pt idx="57">
                  <c:v>683.33846138718491</c:v>
                </c:pt>
                <c:pt idx="58">
                  <c:v>704.50611678429186</c:v>
                </c:pt>
                <c:pt idx="59">
                  <c:v>725.66076798010135</c:v>
                </c:pt>
                <c:pt idx="60">
                  <c:v>746.80284700710206</c:v>
                </c:pt>
                <c:pt idx="61">
                  <c:v>658.03718449254472</c:v>
                </c:pt>
                <c:pt idx="62">
                  <c:v>675.10298532637864</c:v>
                </c:pt>
                <c:pt idx="63">
                  <c:v>692.1599270547805</c:v>
                </c:pt>
                <c:pt idx="64">
                  <c:v>709.20825855698547</c:v>
                </c:pt>
                <c:pt idx="65">
                  <c:v>726.24821578179365</c:v>
                </c:pt>
                <c:pt idx="66">
                  <c:v>743.28002271317609</c:v>
                </c:pt>
                <c:pt idx="67">
                  <c:v>760.30389224285273</c:v>
                </c:pt>
                <c:pt idx="68">
                  <c:v>777.32002696073357</c:v>
                </c:pt>
                <c:pt idx="69">
                  <c:v>794.32861987261094</c:v>
                </c:pt>
                <c:pt idx="70">
                  <c:v>811.32985505325234</c:v>
                </c:pt>
                <c:pt idx="71">
                  <c:v>737.0555350333733</c:v>
                </c:pt>
                <c:pt idx="72">
                  <c:v>750.79497281366912</c:v>
                </c:pt>
                <c:pt idx="73">
                  <c:v>764.52930190023733</c:v>
                </c:pt>
                <c:pt idx="74">
                  <c:v>778.25862693195984</c:v>
                </c:pt>
                <c:pt idx="75">
                  <c:v>791.98304855764582</c:v>
                </c:pt>
                <c:pt idx="76">
                  <c:v>805.70266365612088</c:v>
                </c:pt>
                <c:pt idx="77">
                  <c:v>819.41756554055053</c:v>
                </c:pt>
                <c:pt idx="78">
                  <c:v>833.12784414839268</c:v>
                </c:pt>
                <c:pt idx="79">
                  <c:v>846.83358621820355</c:v>
                </c:pt>
                <c:pt idx="80">
                  <c:v>860.53487545441567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1.5886557507801584</c:v>
                </c:pt>
                <c:pt idx="2">
                  <c:v>2.0063519206794305</c:v>
                </c:pt>
                <c:pt idx="3">
                  <c:v>2.5343114926008989</c:v>
                </c:pt>
                <c:pt idx="4">
                  <c:v>3.2017518718733378</c:v>
                </c:pt>
                <c:pt idx="5">
                  <c:v>4.0456598134505315</c:v>
                </c:pt>
                <c:pt idx="6">
                  <c:v>5.1128641899527407</c:v>
                </c:pt>
                <c:pt idx="7">
                  <c:v>6.4626634227727813</c:v>
                </c:pt>
                <c:pt idx="8">
                  <c:v>8.1701564133008997</c:v>
                </c:pt>
                <c:pt idx="9">
                  <c:v>10.330465850940394</c:v>
                </c:pt>
                <c:pt idx="10">
                  <c:v>13.064093610229477</c:v>
                </c:pt>
                <c:pt idx="11">
                  <c:v>16.523712498054547</c:v>
                </c:pt>
                <c:pt idx="12">
                  <c:v>20.902780580254113</c:v>
                </c:pt>
                <c:pt idx="13">
                  <c:v>26.446468415209495</c:v>
                </c:pt>
                <c:pt idx="14">
                  <c:v>33.46552173659969</c:v>
                </c:pt>
                <c:pt idx="15">
                  <c:v>42.353850066816229</c:v>
                </c:pt>
                <c:pt idx="16">
                  <c:v>53.610845077448573</c:v>
                </c:pt>
                <c:pt idx="17">
                  <c:v>67.8697035369227</c:v>
                </c:pt>
                <c:pt idx="18">
                  <c:v>85.933374025383216</c:v>
                </c:pt>
                <c:pt idx="19">
                  <c:v>108.82018412098397</c:v>
                </c:pt>
                <c:pt idx="20">
                  <c:v>137.82176072987758</c:v>
                </c:pt>
                <c:pt idx="21">
                  <c:v>160.54060110894432</c:v>
                </c:pt>
                <c:pt idx="22">
                  <c:v>186.30815558675928</c:v>
                </c:pt>
                <c:pt idx="23">
                  <c:v>211.99243264369093</c:v>
                </c:pt>
                <c:pt idx="24">
                  <c:v>237.60494635085078</c:v>
                </c:pt>
                <c:pt idx="25">
                  <c:v>263.1545202984949</c:v>
                </c:pt>
                <c:pt idx="26">
                  <c:v>288.64812257422517</c:v>
                </c:pt>
                <c:pt idx="27">
                  <c:v>314.09138905980609</c:v>
                </c:pt>
                <c:pt idx="28">
                  <c:v>339.48896777409692</c:v>
                </c:pt>
                <c:pt idx="29">
                  <c:v>364.84475455625176</c:v>
                </c:pt>
                <c:pt idx="30">
                  <c:v>390.16205970401285</c:v>
                </c:pt>
                <c:pt idx="31">
                  <c:v>286.68892837529171</c:v>
                </c:pt>
                <c:pt idx="32">
                  <c:v>312.75344591553971</c:v>
                </c:pt>
                <c:pt idx="33">
                  <c:v>338.76979063952751</c:v>
                </c:pt>
                <c:pt idx="34">
                  <c:v>364.74217919503576</c:v>
                </c:pt>
                <c:pt idx="35">
                  <c:v>390.67417886469872</c:v>
                </c:pt>
                <c:pt idx="36">
                  <c:v>416.56884493053718</c:v>
                </c:pt>
                <c:pt idx="37">
                  <c:v>442.42882207371969</c:v>
                </c:pt>
                <c:pt idx="38">
                  <c:v>468.25642081960217</c:v>
                </c:pt>
                <c:pt idx="39">
                  <c:v>494.05367623436382</c:v>
                </c:pt>
                <c:pt idx="40">
                  <c:v>519.82239372367246</c:v>
                </c:pt>
                <c:pt idx="41">
                  <c:v>415.23915547538235</c:v>
                </c:pt>
                <c:pt idx="42">
                  <c:v>439.26199254204636</c:v>
                </c:pt>
                <c:pt idx="43">
                  <c:v>463.25666670821124</c:v>
                </c:pt>
                <c:pt idx="44">
                  <c:v>487.22484042893842</c:v>
                </c:pt>
                <c:pt idx="45">
                  <c:v>511.16799939464698</c:v>
                </c:pt>
                <c:pt idx="46">
                  <c:v>535.087478892229</c:v>
                </c:pt>
                <c:pt idx="47">
                  <c:v>558.98448520894783</c:v>
                </c:pt>
                <c:pt idx="48">
                  <c:v>582.86011318749945</c:v>
                </c:pt>
                <c:pt idx="49">
                  <c:v>606.71536075668712</c:v>
                </c:pt>
                <c:pt idx="50">
                  <c:v>630.55114105946643</c:v>
                </c:pt>
                <c:pt idx="51">
                  <c:v>522.87615756416233</c:v>
                </c:pt>
                <c:pt idx="52">
                  <c:v>543.22509591168171</c:v>
                </c:pt>
                <c:pt idx="53">
                  <c:v>563.55803693257519</c:v>
                </c:pt>
                <c:pt idx="54">
                  <c:v>583.87563853637141</c:v>
                </c:pt>
                <c:pt idx="55">
                  <c:v>604.1785091516623</c:v>
                </c:pt>
                <c:pt idx="56">
                  <c:v>624.46721301883508</c:v>
                </c:pt>
                <c:pt idx="57">
                  <c:v>644.74227475969394</c:v>
                </c:pt>
                <c:pt idx="58">
                  <c:v>665.00418334283881</c:v>
                </c:pt>
                <c:pt idx="59">
                  <c:v>685.2533955410355</c:v>
                </c:pt>
                <c:pt idx="60">
                  <c:v>705.49033895903665</c:v>
                </c:pt>
                <c:pt idx="61">
                  <c:v>615.94764839809375</c:v>
                </c:pt>
                <c:pt idx="62">
                  <c:v>634.80916754606733</c:v>
                </c:pt>
                <c:pt idx="63">
                  <c:v>653.65910728703489</c:v>
                </c:pt>
                <c:pt idx="64">
                  <c:v>672.49784825705763</c:v>
                </c:pt>
                <c:pt idx="65">
                  <c:v>691.32574804785463</c:v>
                </c:pt>
                <c:pt idx="66">
                  <c:v>710.14314320426149</c:v>
                </c:pt>
                <c:pt idx="67">
                  <c:v>728.95035099915822</c:v>
                </c:pt>
                <c:pt idx="68">
                  <c:v>747.74767101587031</c:v>
                </c:pt>
                <c:pt idx="69">
                  <c:v>766.53538656333706</c:v>
                </c:pt>
                <c:pt idx="70">
                  <c:v>785.31376594546725</c:v>
                </c:pt>
                <c:pt idx="71">
                  <c:v>702.75905312356235</c:v>
                </c:pt>
                <c:pt idx="72">
                  <c:v>719.24465823533922</c:v>
                </c:pt>
                <c:pt idx="73">
                  <c:v>735.72255287224664</c:v>
                </c:pt>
                <c:pt idx="74">
                  <c:v>752.19293389889947</c:v>
                </c:pt>
                <c:pt idx="75">
                  <c:v>768.65598886356258</c:v>
                </c:pt>
                <c:pt idx="76">
                  <c:v>785.11189663320283</c:v>
                </c:pt>
                <c:pt idx="77">
                  <c:v>801.56082797257807</c:v>
                </c:pt>
                <c:pt idx="78">
                  <c:v>818.00294607337173</c:v>
                </c:pt>
                <c:pt idx="79">
                  <c:v>834.43840703861497</c:v>
                </c:pt>
                <c:pt idx="80">
                  <c:v>850.86736032699798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1.9543588281869109</c:v>
                </c:pt>
                <c:pt idx="2">
                  <c:v>2.4628876456233901</c:v>
                </c:pt>
                <c:pt idx="3">
                  <c:v>3.1042616099614975</c:v>
                </c:pt>
                <c:pt idx="4">
                  <c:v>3.9133138862196657</c:v>
                </c:pt>
                <c:pt idx="5">
                  <c:v>4.9340430157436925</c:v>
                </c:pt>
                <c:pt idx="6">
                  <c:v>6.2220323185627997</c:v>
                </c:pt>
                <c:pt idx="7">
                  <c:v>7.8475098505036698</c:v>
                </c:pt>
                <c:pt idx="8">
                  <c:v>9.8992189688558234</c:v>
                </c:pt>
                <c:pt idx="9">
                  <c:v>12.489314818142381</c:v>
                </c:pt>
                <c:pt idx="10">
                  <c:v>15.759559377214282</c:v>
                </c:pt>
                <c:pt idx="11">
                  <c:v>19.889160337009255</c:v>
                </c:pt>
                <c:pt idx="12">
                  <c:v>25.10469109541539</c:v>
                </c:pt>
                <c:pt idx="13">
                  <c:v>31.692645747947029</c:v>
                </c:pt>
                <c:pt idx="14">
                  <c:v>40.015330696204671</c:v>
                </c:pt>
                <c:pt idx="15">
                  <c:v>50.530981728738816</c:v>
                </c:pt>
                <c:pt idx="16">
                  <c:v>63.819232725076979</c:v>
                </c:pt>
                <c:pt idx="17">
                  <c:v>80.613362903460484</c:v>
                </c:pt>
                <c:pt idx="18">
                  <c:v>101.8411307842499</c:v>
                </c:pt>
                <c:pt idx="19">
                  <c:v>128.67648634641287</c:v>
                </c:pt>
                <c:pt idx="20">
                  <c:v>162.60506557753638</c:v>
                </c:pt>
                <c:pt idx="21">
                  <c:v>153.24633362321308</c:v>
                </c:pt>
                <c:pt idx="22">
                  <c:v>173.76692305521752</c:v>
                </c:pt>
                <c:pt idx="23">
                  <c:v>194.23052863625438</c:v>
                </c:pt>
                <c:pt idx="24">
                  <c:v>214.64400130887782</c:v>
                </c:pt>
                <c:pt idx="25">
                  <c:v>235.01278028177921</c:v>
                </c:pt>
                <c:pt idx="26">
                  <c:v>255.34128386600921</c:v>
                </c:pt>
                <c:pt idx="27">
                  <c:v>275.63316891288991</c:v>
                </c:pt>
                <c:pt idx="28">
                  <c:v>295.89150966027745</c:v>
                </c:pt>
                <c:pt idx="29">
                  <c:v>316.11892494264981</c:v>
                </c:pt>
                <c:pt idx="30">
                  <c:v>336.31767109212768</c:v>
                </c:pt>
                <c:pt idx="31">
                  <c:v>244.53850101874707</c:v>
                </c:pt>
                <c:pt idx="32">
                  <c:v>260.4818014173627</c:v>
                </c:pt>
                <c:pt idx="33">
                  <c:v>276.40306789470998</c:v>
                </c:pt>
                <c:pt idx="34">
                  <c:v>292.30374831900969</c:v>
                </c:pt>
                <c:pt idx="35">
                  <c:v>308.18512014007462</c:v>
                </c:pt>
                <c:pt idx="36">
                  <c:v>324.04831838189801</c:v>
                </c:pt>
                <c:pt idx="37">
                  <c:v>339.89435786363481</c:v>
                </c:pt>
                <c:pt idx="38">
                  <c:v>355.72415105802401</c:v>
                </c:pt>
                <c:pt idx="39">
                  <c:v>371.53852260367267</c:v>
                </c:pt>
                <c:pt idx="40">
                  <c:v>387.33822121677059</c:v>
                </c:pt>
                <c:pt idx="41">
                  <c:v>304.08848473578615</c:v>
                </c:pt>
                <c:pt idx="42">
                  <c:v>328.13922326681751</c:v>
                </c:pt>
                <c:pt idx="43">
                  <c:v>352.15105779017057</c:v>
                </c:pt>
                <c:pt idx="44">
                  <c:v>376.12701202848376</c:v>
                </c:pt>
                <c:pt idx="45">
                  <c:v>400.0696929048429</c:v>
                </c:pt>
                <c:pt idx="46">
                  <c:v>423.98137001578181</c:v>
                </c:pt>
                <c:pt idx="47">
                  <c:v>447.86403623255609</c:v>
                </c:pt>
                <c:pt idx="48">
                  <c:v>471.71945469929466</c:v>
                </c:pt>
                <c:pt idx="49">
                  <c:v>495.54919582854546</c:v>
                </c:pt>
                <c:pt idx="50">
                  <c:v>519.35466681110222</c:v>
                </c:pt>
                <c:pt idx="51">
                  <c:v>431.60656099910989</c:v>
                </c:pt>
                <c:pt idx="52">
                  <c:v>447.86403623255609</c:v>
                </c:pt>
                <c:pt idx="53">
                  <c:v>464.10888452471528</c:v>
                </c:pt>
                <c:pt idx="54">
                  <c:v>480.34160990668738</c:v>
                </c:pt>
                <c:pt idx="55">
                  <c:v>496.56267957814447</c:v>
                </c:pt>
                <c:pt idx="56">
                  <c:v>512.77252773883436</c:v>
                </c:pt>
                <c:pt idx="57">
                  <c:v>528.97155891052341</c:v>
                </c:pt>
                <c:pt idx="58">
                  <c:v>545.16015083098762</c:v>
                </c:pt>
                <c:pt idx="59">
                  <c:v>561.33865698650425</c:v>
                </c:pt>
                <c:pt idx="60">
                  <c:v>577.50740883732726</c:v>
                </c:pt>
                <c:pt idx="61">
                  <c:v>510.11385170032509</c:v>
                </c:pt>
                <c:pt idx="62">
                  <c:v>523.65742043679131</c:v>
                </c:pt>
                <c:pt idx="63">
                  <c:v>537.19361008971248</c:v>
                </c:pt>
                <c:pt idx="64">
                  <c:v>550.7226327388712</c:v>
                </c:pt>
                <c:pt idx="65">
                  <c:v>564.24468919783703</c:v>
                </c:pt>
                <c:pt idx="66">
                  <c:v>577.75996987374401</c:v>
                </c:pt>
                <c:pt idx="67">
                  <c:v>591.26865554246626</c:v>
                </c:pt>
                <c:pt idx="68">
                  <c:v>604.77091804929455</c:v>
                </c:pt>
                <c:pt idx="69">
                  <c:v>618.26692094381269</c:v>
                </c:pt>
                <c:pt idx="70">
                  <c:v>631.75682005648298</c:v>
                </c:pt>
                <c:pt idx="71">
                  <c:v>579.02274052069447</c:v>
                </c:pt>
                <c:pt idx="72">
                  <c:v>589.37530551237808</c:v>
                </c:pt>
                <c:pt idx="73">
                  <c:v>599.72408450238811</c:v>
                </c:pt>
                <c:pt idx="74">
                  <c:v>610.06915202133894</c:v>
                </c:pt>
                <c:pt idx="75">
                  <c:v>620.4105798664923</c:v>
                </c:pt>
                <c:pt idx="76">
                  <c:v>630.74843724685832</c:v>
                </c:pt>
                <c:pt idx="77">
                  <c:v>641.08279091829229</c:v>
                </c:pt>
                <c:pt idx="78">
                  <c:v>651.4137053094297</c:v>
                </c:pt>
                <c:pt idx="79">
                  <c:v>661.74124263922022</c:v>
                </c:pt>
                <c:pt idx="80">
                  <c:v>672.06546302674622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12" sqref="C1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2.75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0.29499999999999998</v>
      </c>
      <c r="D9" s="33">
        <f t="shared" ref="D9:D18" si="0">C9*$C$5</f>
        <v>0.81124999999999992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47</v>
      </c>
      <c r="C10" s="32">
        <v>0.37</v>
      </c>
      <c r="D10" s="33">
        <f t="shared" si="0"/>
        <v>1.0175000000000001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35</v>
      </c>
      <c r="C11" s="32">
        <v>0.33</v>
      </c>
      <c r="D11" s="33">
        <f t="shared" si="0"/>
        <v>0.90750000000000008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0.99500000000000011</v>
      </c>
      <c r="D19" s="38">
        <f>SUM(D9:D18)</f>
        <v>2.7362500000000001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195</v>
      </c>
      <c r="C36" s="60">
        <v>1</v>
      </c>
      <c r="D36" s="60">
        <f>21+63</f>
        <v>84</v>
      </c>
      <c r="E36" s="51"/>
      <c r="F36" s="51">
        <v>0.5</v>
      </c>
      <c r="G36" s="51">
        <v>0.5</v>
      </c>
      <c r="H36" s="51"/>
      <c r="I36" s="49">
        <f>IFERROR(B36/A36,"")</f>
        <v>9.75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360</v>
      </c>
      <c r="C37" s="60">
        <v>2</v>
      </c>
      <c r="D37" s="60">
        <f>63+63</f>
        <v>126</v>
      </c>
      <c r="E37" s="51">
        <v>0.2</v>
      </c>
      <c r="F37" s="51">
        <v>0.4</v>
      </c>
      <c r="G37" s="51">
        <v>0.4</v>
      </c>
      <c r="H37" s="51"/>
      <c r="I37" s="53">
        <f t="shared" ref="I37:I44" si="1">IF(A37&lt;&gt;0,(B37-(B36-D36))/(A37-A36),"")</f>
        <v>24.9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477</v>
      </c>
      <c r="C38" s="60">
        <v>3</v>
      </c>
      <c r="D38" s="60">
        <f>63+63</f>
        <v>126</v>
      </c>
      <c r="E38" s="51"/>
      <c r="F38" s="51"/>
      <c r="G38" s="51"/>
      <c r="H38" s="51"/>
      <c r="I38" s="53">
        <f t="shared" si="1"/>
        <v>24.3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561</v>
      </c>
      <c r="C39" s="60">
        <v>4</v>
      </c>
      <c r="D39" s="60">
        <f>63+56</f>
        <v>119</v>
      </c>
      <c r="E39" s="51"/>
      <c r="F39" s="51"/>
      <c r="G39" s="51"/>
      <c r="H39" s="51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622</v>
      </c>
      <c r="C40" s="60">
        <v>5</v>
      </c>
      <c r="D40" s="60">
        <f>48+42</f>
        <v>90</v>
      </c>
      <c r="E40" s="51"/>
      <c r="F40" s="51"/>
      <c r="G40" s="51"/>
      <c r="H40" s="51"/>
      <c r="I40" s="49">
        <f t="shared" si="1"/>
        <v>18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677</v>
      </c>
      <c r="C41" s="60">
        <v>6</v>
      </c>
      <c r="D41" s="60">
        <f>39+36</f>
        <v>75</v>
      </c>
      <c r="E41" s="51"/>
      <c r="F41" s="51"/>
      <c r="G41" s="51"/>
      <c r="H41" s="51"/>
      <c r="I41" s="53">
        <f t="shared" si="1"/>
        <v>14.5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f>654+65</f>
        <v>719</v>
      </c>
      <c r="C42" s="60">
        <v>7</v>
      </c>
      <c r="D42" s="60">
        <f>B42</f>
        <v>719</v>
      </c>
      <c r="E42" s="51"/>
      <c r="F42" s="51"/>
      <c r="G42" s="51"/>
      <c r="H42" s="51"/>
      <c r="I42" s="53">
        <f t="shared" si="1"/>
        <v>11.7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ref="I45:I55" si="2">IF(A45&lt;&gt;0,(B45-(B44-D44))/(A45-A44),"")</f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2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2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2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2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2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2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2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2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2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2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Sapin méditerranéen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55">
        <v>128</v>
      </c>
      <c r="C62" s="55">
        <v>1</v>
      </c>
      <c r="D62" s="55">
        <v>3</v>
      </c>
      <c r="E62" s="51"/>
      <c r="F62" s="51">
        <v>0.5</v>
      </c>
      <c r="G62" s="51">
        <v>0.5</v>
      </c>
      <c r="H62" s="51"/>
      <c r="I62" s="53">
        <f>IFERROR(B62/A62,"")</f>
        <v>6.4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55">
        <v>372</v>
      </c>
      <c r="C63" s="55">
        <v>2</v>
      </c>
      <c r="D63" s="55">
        <v>126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24.7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55">
        <v>499</v>
      </c>
      <c r="C64" s="55">
        <v>3</v>
      </c>
      <c r="D64" s="55">
        <v>126</v>
      </c>
      <c r="E64" s="51"/>
      <c r="F64" s="51"/>
      <c r="G64" s="51"/>
      <c r="H64" s="51"/>
      <c r="I64" s="49">
        <f>IF(A64&lt;&gt;0,(B64-(B63-D63))/(A64-A63),"")</f>
        <v>25.3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55">
        <v>608</v>
      </c>
      <c r="C65" s="55">
        <v>4</v>
      </c>
      <c r="D65" s="55">
        <v>126</v>
      </c>
      <c r="E65" s="51"/>
      <c r="F65" s="51"/>
      <c r="G65" s="51"/>
      <c r="H65" s="51"/>
      <c r="I65" s="49">
        <f>IF(A65&lt;&gt;0,(B65-(B64-D64))/(A65-A64),"")</f>
        <v>23.5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55">
        <v>682</v>
      </c>
      <c r="C66" s="55">
        <v>5</v>
      </c>
      <c r="D66" s="55">
        <v>107</v>
      </c>
      <c r="E66" s="51"/>
      <c r="F66" s="51"/>
      <c r="G66" s="51"/>
      <c r="H66" s="51"/>
      <c r="I66" s="49">
        <f t="shared" ref="I66:I81" si="3">IF(A66&lt;&gt;0,(B66-(B65-D65))/(A66-A65),"")</f>
        <v>20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55">
        <v>761</v>
      </c>
      <c r="C67" s="55">
        <v>6</v>
      </c>
      <c r="D67" s="55">
        <v>98</v>
      </c>
      <c r="E67" s="51"/>
      <c r="F67" s="51"/>
      <c r="G67" s="51"/>
      <c r="H67" s="51"/>
      <c r="I67" s="49">
        <f t="shared" si="3"/>
        <v>18.600000000000001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55">
        <f>733+93</f>
        <v>826</v>
      </c>
      <c r="C68" s="55">
        <v>7</v>
      </c>
      <c r="D68" s="55">
        <f>B68</f>
        <v>826</v>
      </c>
      <c r="E68" s="51"/>
      <c r="F68" s="51"/>
      <c r="G68" s="51"/>
      <c r="H68" s="51"/>
      <c r="I68" s="49">
        <f t="shared" si="3"/>
        <v>16.3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5"/>
      <c r="C69" s="55"/>
      <c r="D69" s="55"/>
      <c r="E69" s="51"/>
      <c r="F69" s="51"/>
      <c r="G69" s="51"/>
      <c r="H69" s="51"/>
      <c r="I69" s="49" t="str">
        <f t="shared" si="3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5"/>
      <c r="C70" s="55"/>
      <c r="D70" s="55"/>
      <c r="E70" s="51"/>
      <c r="F70" s="51"/>
      <c r="G70" s="51"/>
      <c r="H70" s="51"/>
      <c r="I70" s="49" t="str">
        <f t="shared" si="3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3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3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122</v>
      </c>
      <c r="C88" s="60">
        <v>1</v>
      </c>
      <c r="D88" s="60">
        <v>23</v>
      </c>
      <c r="E88" s="51"/>
      <c r="F88" s="51">
        <v>0.5</v>
      </c>
      <c r="G88" s="51">
        <v>0.5</v>
      </c>
      <c r="H88" s="87"/>
      <c r="I88" s="53">
        <f>IFERROR(B88/A88,"")</f>
        <v>6.1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257</v>
      </c>
      <c r="C89" s="60">
        <v>2</v>
      </c>
      <c r="D89" s="60">
        <v>84</v>
      </c>
      <c r="E89" s="51"/>
      <c r="F89" s="51">
        <v>0.5</v>
      </c>
      <c r="G89" s="51">
        <v>0.5</v>
      </c>
      <c r="H89" s="87"/>
      <c r="I89" s="53">
        <f t="shared" ref="I89:I107" si="4">IF(A89&lt;&gt;0,(B89-(B88-D88))/(A89-A88),"")</f>
        <v>15.8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297</v>
      </c>
      <c r="C90" s="60">
        <v>3</v>
      </c>
      <c r="D90" s="60">
        <v>84</v>
      </c>
      <c r="E90" s="51"/>
      <c r="F90" s="51"/>
      <c r="G90" s="51"/>
      <c r="H90" s="87"/>
      <c r="I90" s="53">
        <f t="shared" si="4"/>
        <v>12.4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401</v>
      </c>
      <c r="C91" s="60">
        <v>4</v>
      </c>
      <c r="D91" s="60">
        <v>82</v>
      </c>
      <c r="E91" s="51"/>
      <c r="F91" s="51"/>
      <c r="G91" s="51"/>
      <c r="H91" s="87"/>
      <c r="I91" s="53">
        <f t="shared" si="4"/>
        <v>18.8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447</v>
      </c>
      <c r="C92" s="60">
        <v>5</v>
      </c>
      <c r="D92" s="60">
        <v>64</v>
      </c>
      <c r="E92" s="51"/>
      <c r="F92" s="51"/>
      <c r="G92" s="51"/>
      <c r="H92" s="87"/>
      <c r="I92" s="53">
        <f t="shared" si="4"/>
        <v>12.8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490</v>
      </c>
      <c r="C93" s="60">
        <v>6</v>
      </c>
      <c r="D93" s="60">
        <v>50</v>
      </c>
      <c r="E93" s="51"/>
      <c r="F93" s="51"/>
      <c r="G93" s="51"/>
      <c r="H93" s="87"/>
      <c r="I93" s="53">
        <f t="shared" si="4"/>
        <v>10.7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522</v>
      </c>
      <c r="C94" s="60">
        <v>7</v>
      </c>
      <c r="D94" s="60">
        <f>B94</f>
        <v>522</v>
      </c>
      <c r="E94" s="51"/>
      <c r="F94" s="51"/>
      <c r="G94" s="51"/>
      <c r="H94" s="87"/>
      <c r="I94" s="53">
        <f t="shared" si="4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50"/>
      <c r="B95" s="60"/>
      <c r="C95" s="60"/>
      <c r="D95" s="60"/>
      <c r="E95" s="51"/>
      <c r="F95" s="51"/>
      <c r="G95" s="51"/>
      <c r="H95" s="87"/>
      <c r="I95" s="53" t="str">
        <f t="shared" si="4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50"/>
      <c r="B96" s="60"/>
      <c r="C96" s="60"/>
      <c r="D96" s="60"/>
      <c r="E96" s="51"/>
      <c r="F96" s="51"/>
      <c r="G96" s="51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16" zoomScaleNormal="100" workbookViewId="0">
      <selection activeCell="D31" sqref="D3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Sapin méditerranéen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394.9953131332565</v>
      </c>
      <c r="T3" s="59">
        <f>IF('Données projet'!E9&gt;30,$R$33-$H$33,LOOKUP('Données projet'!$E$9,$A$3:$A$203,R3:R203)-LOOKUP('Données projet'!$E$9,$A$3:$A$203,$H$3:$H$203))</f>
        <v>399.58193819355591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364.67510777943329</v>
      </c>
      <c r="AO3" s="59">
        <f>IF('Données projet'!E10&gt;30,$AM$33-$H$33,LOOKUP('Données projet'!$E$10,$A$3:$A$203,AM3:AM203)-LOOKUP('Données projet'!$E$10,$A$3:$A$203,$H$3:$H$203))</f>
        <v>352.13878061387169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289.66713787052475</v>
      </c>
      <c r="BJ3" s="59">
        <f>IF('Données projet'!E11&gt;30,$BH$33-$H$33,LOOKUP('Données projet'!$E$11,$A$3:$A$203,BH3:BH203)-LOOKUP('Données projet'!$E$11,$A$3:$A$203,$H$3:$H$203))</f>
        <v>298.29439200198652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9.75</v>
      </c>
      <c r="N4" s="13">
        <f>IF('Données projet'!$A$36&gt;35,N3+M4-V3,IF(A4&lt;'Données projet'!$A$36,$K$205^A4,IF(A4='Données projet'!$A$36,'Données projet'!$B$36,N3+M4-V3)))</f>
        <v>1.301672502447965</v>
      </c>
      <c r="O4" s="13">
        <f>N4*VLOOKUP('Données projet'!$B$9,Paramètres!$A$1:$I$89,3,0)*VLOOKUP('Données projet'!$B$9,Paramètres!$A$1:$I$89,5,0)</f>
        <v>0.72763492886841241</v>
      </c>
      <c r="P4" s="13">
        <f>EXP(-1.0587+0.8836*LN(O4)+0.284)</f>
        <v>0.34796764783125006</v>
      </c>
      <c r="Q4" s="20">
        <f t="shared" ref="Q4:Q34" si="2">(O4+P4)*0.475*44/12</f>
        <v>1.873341154418579</v>
      </c>
      <c r="R4" s="59">
        <f t="shared" si="0"/>
        <v>295.20667448775191</v>
      </c>
      <c r="S4" s="59">
        <f ca="1">AVERAGE(OFFSET($R$3,0,0,'Données projet'!$E$9+1,1))-AVERAGE(OFFSET($H$3,0,0,'Données projet'!$E$9+1,1))</f>
        <v>394.9953131332565</v>
      </c>
      <c r="T4" s="59">
        <f>$T$3</f>
        <v>399.58193819355591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6.4</v>
      </c>
      <c r="AI4" s="13">
        <f>IF('Données projet'!$A$62&gt;35,AI3+AH4-AQ3,IF(A4&lt;'Données projet'!$A$62,$AF$205^A4,IF(A4='Données projet'!$A$62,'Données projet'!$B$62,AI3+AH4-AQ3)))</f>
        <v>1.274560627319262</v>
      </c>
      <c r="AJ4" s="13">
        <f>AI4*VLOOKUP('Données projet'!$B$10,Paramètres!$A$1:$I$89,3,0)*VLOOKUP('Données projet'!$B$10,Paramètres!$A$1:$I$89,5,0)</f>
        <v>0.61306366174056504</v>
      </c>
      <c r="AK4" s="13">
        <f>EXP(-1.0587+0.8836*LN(AJ4)+0.284)</f>
        <v>0.29908318081263607</v>
      </c>
      <c r="AL4" s="20">
        <f t="shared" ref="AL4:AL67" si="4">(AJ4+AK4)*0.475*44/12</f>
        <v>1.5886557507801584</v>
      </c>
      <c r="AM4" s="59">
        <f t="shared" ref="AM4:AM67" si="5">AL4+(AD4+AE4)*44/12</f>
        <v>294.92198908411348</v>
      </c>
      <c r="AN4" s="59">
        <f ca="1">AVERAGE(OFFSET($AM$3,0,0,'Données projet'!$E$10+1,1))-AVERAGE(OFFSET($H$3,0,0,'Données projet'!$E$10+1,1))</f>
        <v>364.67510777943329</v>
      </c>
      <c r="AO4" s="59">
        <f>$AO$3</f>
        <v>352.13878061387169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6.1</v>
      </c>
      <c r="BD4" s="12">
        <f>IF('Données projet'!$A$88&gt;35,BD3+BC4-BL3,IF(A4&lt;'Données projet'!$A$88,$BA$205^A4,IF(A4='Données projet'!$A$88,'Données projet'!$B$88,BD3+BC4-BL3)))</f>
        <v>1.2715047635013723</v>
      </c>
      <c r="BE4" s="13">
        <f>BD4*VLOOKUP('Données projet'!$B$11,Paramètres!$A$1:$I$89,3,0)*VLOOKUP('Données projet'!$B$11,Paramètres!$A$1:$I$89,5,0)</f>
        <v>0.76035984857382066</v>
      </c>
      <c r="BF4" s="13">
        <f>EXP(-1.0587+0.8836*LN(BE4)+0.284)</f>
        <v>0.36176005277751561</v>
      </c>
      <c r="BG4" s="20">
        <f t="shared" ref="BG4:BG67" si="7">(BE4+BF4)*0.475*44/12</f>
        <v>1.9543588281869109</v>
      </c>
      <c r="BH4" s="59">
        <f t="shared" ref="BH4:BH67" si="8">BG4+(AY4+AZ4)*44/12</f>
        <v>295.28769216152023</v>
      </c>
      <c r="BI4" s="59">
        <f ca="1">AVERAGE(OFFSET($BH$3,0,0,'Données projet'!$E$11+1,1))-AVERAGE(OFFSET($H$3,0,0,'Données projet'!$E$11+1,1))</f>
        <v>289.66713787052475</v>
      </c>
      <c r="BJ4" s="59">
        <f>$BJ$3</f>
        <v>298.29439200198652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9.75</v>
      </c>
      <c r="N5" s="13">
        <f>IF('Données projet'!$A$36&gt;35,N4+M5-V4,IF(A5&lt;'Données projet'!$A$36,$K$205^A5,IF(A5='Données projet'!$A$36,'Données projet'!$B$36,N4+M5-V4)))</f>
        <v>1.6943513036291473</v>
      </c>
      <c r="O5" s="13">
        <f>N5*VLOOKUP('Données projet'!$B$9,Paramètres!$A$1:$I$89,3,0)*VLOOKUP('Données projet'!$B$9,Paramètres!$A$1:$I$89,5,0)</f>
        <v>0.94714237872869333</v>
      </c>
      <c r="P5" s="13">
        <f t="shared" ref="P5:P68" si="33">EXP(-1.0587+0.8836*LN(O5)+0.284)</f>
        <v>0.43925083584120972</v>
      </c>
      <c r="Q5" s="20">
        <f t="shared" si="2"/>
        <v>2.4146348487092482</v>
      </c>
      <c r="R5" s="59">
        <f t="shared" si="0"/>
        <v>295.74796818204254</v>
      </c>
      <c r="S5" s="59">
        <f ca="1">AVERAGE(OFFSET($R$3,0,0,'Données projet'!$E$9+1,1))-AVERAGE(OFFSET($H$3,0,0,'Données projet'!$E$9+1,1))</f>
        <v>394.9953131332565</v>
      </c>
      <c r="T5" s="59">
        <f t="shared" ref="T5:T68" si="34">$T$3</f>
        <v>399.58193819355591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6.4</v>
      </c>
      <c r="AI5" s="13">
        <f>IF('Données projet'!$A$62&gt;35,AI4+AH5-AQ4,IF(A5&lt;'Données projet'!$A$62,$AF$205^A5,IF(A5='Données projet'!$A$62,'Données projet'!$B$62,AI4+AH5-AQ4)))</f>
        <v>1.6245047927124707</v>
      </c>
      <c r="AJ5" s="13">
        <f>AI5*VLOOKUP('Données projet'!$B$10,Paramètres!$A$1:$I$89,3,0)*VLOOKUP('Données projet'!$B$10,Paramètres!$A$1:$I$89,5,0)</f>
        <v>0.78138680529469839</v>
      </c>
      <c r="AK5" s="13">
        <f t="shared" ref="AK5:AK68" si="35">EXP(-1.0587+0.8836*LN(AJ5)+0.284)</f>
        <v>0.37058558935377844</v>
      </c>
      <c r="AL5" s="20">
        <f t="shared" si="4"/>
        <v>2.0063519206794305</v>
      </c>
      <c r="AM5" s="59">
        <f t="shared" si="5"/>
        <v>295.33968525401275</v>
      </c>
      <c r="AN5" s="59">
        <f ca="1">AVERAGE(OFFSET($AM$3,0,0,'Données projet'!$E$10+1,1))-AVERAGE(OFFSET($H$3,0,0,'Données projet'!$E$10+1,1))</f>
        <v>364.67510777943329</v>
      </c>
      <c r="AO5" s="59">
        <f t="shared" ref="AO5:AO68" si="36">$AO$3</f>
        <v>352.13878061387169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6.1</v>
      </c>
      <c r="BD5" s="12">
        <f>IF('Données projet'!$A$88&gt;35,BD4+BC5-BL4,IF(A5&lt;'Données projet'!$A$88,$BA$205^A5,IF(A5='Données projet'!$A$88,'Données projet'!$B$88,BD4+BC5-BL4)))</f>
        <v>1.6167243636066808</v>
      </c>
      <c r="BE5" s="13">
        <f>BD5*VLOOKUP('Données projet'!$B$11,Paramètres!$A$1:$I$89,3,0)*VLOOKUP('Données projet'!$B$11,Paramètres!$A$1:$I$89,5,0)</f>
        <v>0.96680116943679517</v>
      </c>
      <c r="BF5" s="13">
        <f t="shared" ref="BF5:BF68" si="37">EXP(-1.0587+0.8836*LN(BE5)+0.284)</f>
        <v>0.44729700029912273</v>
      </c>
      <c r="BG5" s="20">
        <f t="shared" si="7"/>
        <v>2.4628876456233901</v>
      </c>
      <c r="BH5" s="59">
        <f t="shared" si="8"/>
        <v>295.79622097895668</v>
      </c>
      <c r="BI5" s="59">
        <f ca="1">AVERAGE(OFFSET($BH$3,0,0,'Données projet'!$E$11+1,1))-AVERAGE(OFFSET($H$3,0,0,'Données projet'!$E$11+1,1))</f>
        <v>289.66713787052475</v>
      </c>
      <c r="BJ5" s="59">
        <f t="shared" ref="BJ5:BJ68" si="38">$BJ$3</f>
        <v>298.29439200198652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9.75</v>
      </c>
      <c r="N6" s="13">
        <f>IF('Données projet'!$A$36&gt;35,N5+M6-V5,IF(A6&lt;'Données projet'!$A$36,$K$205^A6,IF(A6='Données projet'!$A$36,'Données projet'!$B$36,N5+M6-V5)))</f>
        <v>2.2054905014209241</v>
      </c>
      <c r="O6" s="13">
        <f>N6*VLOOKUP('Données projet'!$B$9,Paramètres!$A$1:$I$89,3,0)*VLOOKUP('Données projet'!$B$9,Paramètres!$A$1:$I$89,5,0)</f>
        <v>1.2328691902942965</v>
      </c>
      <c r="P6" s="13">
        <f t="shared" si="33"/>
        <v>0.55448056159741022</v>
      </c>
      <c r="Q6" s="20">
        <f t="shared" si="2"/>
        <v>3.1129674845447224</v>
      </c>
      <c r="R6" s="59">
        <f t="shared" si="0"/>
        <v>296.44630081787801</v>
      </c>
      <c r="S6" s="59">
        <f ca="1">AVERAGE(OFFSET($R$3,0,0,'Données projet'!$E$9+1,1))-AVERAGE(OFFSET($H$3,0,0,'Données projet'!$E$9+1,1))</f>
        <v>394.9953131332565</v>
      </c>
      <c r="T6" s="59">
        <f t="shared" si="34"/>
        <v>399.58193819355591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6.4</v>
      </c>
      <c r="AI6" s="13">
        <f>IF('Données projet'!$A$62&gt;35,AI5+AH6-AQ5,IF(A6&lt;'Données projet'!$A$62,$AF$205^A6,IF(A6='Données projet'!$A$62,'Données projet'!$B$62,AI5+AH6-AQ5)))</f>
        <v>2.0705298476827543</v>
      </c>
      <c r="AJ6" s="13">
        <f>AI6*VLOOKUP('Données projet'!$B$10,Paramètres!$A$1:$I$89,3,0)*VLOOKUP('Données projet'!$B$10,Paramètres!$A$1:$I$89,5,0)</f>
        <v>0.99592485673540487</v>
      </c>
      <c r="AK6" s="13">
        <f t="shared" si="35"/>
        <v>0.45918222035602019</v>
      </c>
      <c r="AL6" s="20">
        <f t="shared" si="4"/>
        <v>2.5343114926008989</v>
      </c>
      <c r="AM6" s="59">
        <f t="shared" si="5"/>
        <v>295.86764482593424</v>
      </c>
      <c r="AN6" s="59">
        <f ca="1">AVERAGE(OFFSET($AM$3,0,0,'Données projet'!$E$10+1,1))-AVERAGE(OFFSET($H$3,0,0,'Données projet'!$E$10+1,1))</f>
        <v>364.67510777943329</v>
      </c>
      <c r="AO6" s="59">
        <f t="shared" si="36"/>
        <v>352.13878061387169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6.1</v>
      </c>
      <c r="BD6" s="12">
        <f>IF('Données projet'!$A$88&gt;35,BD5+BC6-BL5,IF(A6&lt;'Données projet'!$A$88,$BA$205^A6,IF(A6='Données projet'!$A$88,'Données projet'!$B$88,BD5+BC6-BL5)))</f>
        <v>2.0556727295946193</v>
      </c>
      <c r="BE6" s="13">
        <f>BD6*VLOOKUP('Données projet'!$B$11,Paramètres!$A$1:$I$89,3,0)*VLOOKUP('Données projet'!$B$11,Paramètres!$A$1:$I$89,5,0)</f>
        <v>1.2292922922975824</v>
      </c>
      <c r="BF6" s="13">
        <f t="shared" si="37"/>
        <v>0.55305887131667453</v>
      </c>
      <c r="BG6" s="20">
        <f t="shared" si="7"/>
        <v>3.1042616099614975</v>
      </c>
      <c r="BH6" s="59">
        <f t="shared" si="8"/>
        <v>296.43759494329481</v>
      </c>
      <c r="BI6" s="59">
        <f ca="1">AVERAGE(OFFSET($BH$3,0,0,'Données projet'!$E$11+1,1))-AVERAGE(OFFSET($H$3,0,0,'Données projet'!$E$11+1,1))</f>
        <v>289.66713787052475</v>
      </c>
      <c r="BJ6" s="59">
        <f t="shared" si="38"/>
        <v>298.29439200198652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9.75</v>
      </c>
      <c r="N7" s="13">
        <f>IF('Données projet'!$A$36&gt;35,N6+M7-V6,IF(A7&lt;'Données projet'!$A$36,$K$205^A7,IF(A7='Données projet'!$A$36,'Données projet'!$B$36,N6+M7-V6)))</f>
        <v>2.8708263401097911</v>
      </c>
      <c r="O7" s="13">
        <f>N7*VLOOKUP('Données projet'!$B$9,Paramètres!$A$1:$I$89,3,0)*VLOOKUP('Données projet'!$B$9,Paramètres!$A$1:$I$89,5,0)</f>
        <v>1.6047919241213733</v>
      </c>
      <c r="P7" s="13">
        <f t="shared" si="33"/>
        <v>0.69993877780695402</v>
      </c>
      <c r="Q7" s="20">
        <f t="shared" si="2"/>
        <v>4.0140726391918369</v>
      </c>
      <c r="R7" s="59">
        <f t="shared" si="0"/>
        <v>297.34740597252517</v>
      </c>
      <c r="S7" s="59">
        <f ca="1">AVERAGE(OFFSET($R$3,0,0,'Données projet'!$E$9+1,1))-AVERAGE(OFFSET($H$3,0,0,'Données projet'!$E$9+1,1))</f>
        <v>394.9953131332565</v>
      </c>
      <c r="T7" s="59">
        <f t="shared" si="34"/>
        <v>399.58193819355591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6.4</v>
      </c>
      <c r="AI7" s="13">
        <f>IF('Données projet'!$A$62&gt;35,AI6+AH7-AQ6,IF(A7&lt;'Données projet'!$A$62,$AF$205^A7,IF(A7='Données projet'!$A$62,'Données projet'!$B$62,AI6+AH7-AQ6)))</f>
        <v>2.6390158215457875</v>
      </c>
      <c r="AJ7" s="13">
        <f>AI7*VLOOKUP('Données projet'!$B$10,Paramètres!$A$1:$I$89,3,0)*VLOOKUP('Données projet'!$B$10,Paramètres!$A$1:$I$89,5,0)</f>
        <v>1.2693666101635237</v>
      </c>
      <c r="AK7" s="13">
        <f t="shared" si="35"/>
        <v>0.56895982344796192</v>
      </c>
      <c r="AL7" s="20">
        <f t="shared" si="4"/>
        <v>3.2017518718733378</v>
      </c>
      <c r="AM7" s="59">
        <f t="shared" si="5"/>
        <v>296.53508520520666</v>
      </c>
      <c r="AN7" s="59">
        <f ca="1">AVERAGE(OFFSET($AM$3,0,0,'Données projet'!$E$10+1,1))-AVERAGE(OFFSET($H$3,0,0,'Données projet'!$E$10+1,1))</f>
        <v>364.67510777943329</v>
      </c>
      <c r="AO7" s="59">
        <f t="shared" si="36"/>
        <v>352.13878061387169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6.1</v>
      </c>
      <c r="BD7" s="12">
        <f>IF('Données projet'!$A$88&gt;35,BD6+BC7-BL6,IF(A7&lt;'Données projet'!$A$88,$BA$205^A7,IF(A7='Données projet'!$A$88,'Données projet'!$B$88,BD6+BC7-BL6)))</f>
        <v>2.6137976678794272</v>
      </c>
      <c r="BE7" s="13">
        <f>BD7*VLOOKUP('Données projet'!$B$11,Paramètres!$A$1:$I$89,3,0)*VLOOKUP('Données projet'!$B$11,Paramètres!$A$1:$I$89,5,0)</f>
        <v>1.5630510053918976</v>
      </c>
      <c r="BF7" s="13">
        <f t="shared" si="37"/>
        <v>0.6838277809543224</v>
      </c>
      <c r="BG7" s="20">
        <f t="shared" si="7"/>
        <v>3.9133138862196657</v>
      </c>
      <c r="BH7" s="59">
        <f t="shared" si="8"/>
        <v>297.24664721955298</v>
      </c>
      <c r="BI7" s="59">
        <f ca="1">AVERAGE(OFFSET($BH$3,0,0,'Données projet'!$E$11+1,1))-AVERAGE(OFFSET($H$3,0,0,'Données projet'!$E$11+1,1))</f>
        <v>289.66713787052475</v>
      </c>
      <c r="BJ7" s="59">
        <f t="shared" si="38"/>
        <v>298.29439200198652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9.75</v>
      </c>
      <c r="N8" s="13">
        <f>IF('Données projet'!$A$36&gt;35,N7+M8-V7,IF(A8&lt;'Données projet'!$A$36,$K$205^A8,IF(A8='Données projet'!$A$36,'Données projet'!$B$36,N7+M8-V7)))</f>
        <v>3.7368757062242444</v>
      </c>
      <c r="O8" s="13">
        <f>N8*VLOOKUP('Données projet'!$B$9,Paramètres!$A$1:$I$89,3,0)*VLOOKUP('Données projet'!$B$9,Paramètres!$A$1:$I$89,5,0)</f>
        <v>2.0889135197793527</v>
      </c>
      <c r="P8" s="13">
        <f t="shared" si="33"/>
        <v>0.88355539690425267</v>
      </c>
      <c r="Q8" s="20">
        <f t="shared" si="2"/>
        <v>5.177050029890613</v>
      </c>
      <c r="R8" s="59">
        <f t="shared" si="0"/>
        <v>298.51038336322392</v>
      </c>
      <c r="S8" s="59">
        <f ca="1">AVERAGE(OFFSET($R$3,0,0,'Données projet'!$E$9+1,1))-AVERAGE(OFFSET($H$3,0,0,'Données projet'!$E$9+1,1))</f>
        <v>394.9953131332565</v>
      </c>
      <c r="T8" s="59">
        <f t="shared" si="34"/>
        <v>399.58193819355591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6.4</v>
      </c>
      <c r="AI8" s="13">
        <f>IF('Données projet'!$A$62&gt;35,AI7+AH8-AQ7,IF(A8&lt;'Données projet'!$A$62,$AF$205^A8,IF(A8='Données projet'!$A$62,'Données projet'!$B$62,AI7+AH8-AQ7)))</f>
        <v>3.3635856610148567</v>
      </c>
      <c r="AJ8" s="13">
        <f>AI8*VLOOKUP('Données projet'!$B$10,Paramètres!$A$1:$I$89,3,0)*VLOOKUP('Données projet'!$B$10,Paramètres!$A$1:$I$89,5,0)</f>
        <v>1.617884702948146</v>
      </c>
      <c r="AK8" s="13">
        <f t="shared" si="35"/>
        <v>0.70498217558804455</v>
      </c>
      <c r="AL8" s="20">
        <f t="shared" si="4"/>
        <v>4.0456598134505315</v>
      </c>
      <c r="AM8" s="59">
        <f t="shared" si="5"/>
        <v>297.37899314678384</v>
      </c>
      <c r="AN8" s="59">
        <f ca="1">AVERAGE(OFFSET($AM$3,0,0,'Données projet'!$E$10+1,1))-AVERAGE(OFFSET($H$3,0,0,'Données projet'!$E$10+1,1))</f>
        <v>364.67510777943329</v>
      </c>
      <c r="AO8" s="59">
        <f t="shared" si="36"/>
        <v>352.13878061387169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6.1</v>
      </c>
      <c r="BD8" s="12">
        <f>IF('Données projet'!$A$88&gt;35,BD7+BC8-BL7,IF(A8&lt;'Données projet'!$A$88,$BA$205^A8,IF(A8='Données projet'!$A$88,'Données projet'!$B$88,BD7+BC8-BL7)))</f>
        <v>3.3234561855374696</v>
      </c>
      <c r="BE8" s="13">
        <f>BD8*VLOOKUP('Données projet'!$B$11,Paramètres!$A$1:$I$89,3,0)*VLOOKUP('Données projet'!$B$11,Paramètres!$A$1:$I$89,5,0)</f>
        <v>1.9874267989514072</v>
      </c>
      <c r="BF8" s="13">
        <f t="shared" si="37"/>
        <v>0.8455165593703301</v>
      </c>
      <c r="BG8" s="20">
        <f t="shared" si="7"/>
        <v>4.9340430157436925</v>
      </c>
      <c r="BH8" s="59">
        <f t="shared" si="8"/>
        <v>298.26737634907698</v>
      </c>
      <c r="BI8" s="59">
        <f ca="1">AVERAGE(OFFSET($BH$3,0,0,'Données projet'!$E$11+1,1))-AVERAGE(OFFSET($H$3,0,0,'Données projet'!$E$11+1,1))</f>
        <v>289.66713787052475</v>
      </c>
      <c r="BJ8" s="59">
        <f t="shared" si="38"/>
        <v>298.29439200198652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9.75</v>
      </c>
      <c r="N9" s="13">
        <f>IF('Données projet'!$A$36&gt;35,N8+M9-V8,IF(A9&lt;'Données projet'!$A$36,$K$205^A9,IF(A9='Données projet'!$A$36,'Données projet'!$B$36,N8+M9-V8)))</f>
        <v>4.8641883518579183</v>
      </c>
      <c r="O9" s="13">
        <f>N9*VLOOKUP('Données projet'!$B$9,Paramètres!$A$1:$I$89,3,0)*VLOOKUP('Données projet'!$B$9,Paramètres!$A$1:$I$89,5,0)</f>
        <v>2.7190812886885762</v>
      </c>
      <c r="P9" s="13">
        <f t="shared" si="33"/>
        <v>1.1153406042805978</v>
      </c>
      <c r="Q9" s="20">
        <f t="shared" si="2"/>
        <v>6.6782847969213117</v>
      </c>
      <c r="R9" s="59">
        <f t="shared" si="0"/>
        <v>300.01161813025465</v>
      </c>
      <c r="S9" s="59">
        <f ca="1">AVERAGE(OFFSET($R$3,0,0,'Données projet'!$E$9+1,1))-AVERAGE(OFFSET($H$3,0,0,'Données projet'!$E$9+1,1))</f>
        <v>394.9953131332565</v>
      </c>
      <c r="T9" s="59">
        <f t="shared" si="34"/>
        <v>399.58193819355591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6.4</v>
      </c>
      <c r="AI9" s="13">
        <f>IF('Données projet'!$A$62&gt;35,AI8+AH9-AQ8,IF(A9&lt;'Données projet'!$A$62,$AF$205^A9,IF(A9='Données projet'!$A$62,'Données projet'!$B$62,AI8+AH9-AQ8)))</f>
        <v>4.2870938501451699</v>
      </c>
      <c r="AJ9" s="13">
        <f>AI9*VLOOKUP('Données projet'!$B$10,Paramètres!$A$1:$I$89,3,0)*VLOOKUP('Données projet'!$B$10,Paramètres!$A$1:$I$89,5,0)</f>
        <v>2.0620921419198268</v>
      </c>
      <c r="AK9" s="13">
        <f t="shared" si="35"/>
        <v>0.87352366092385247</v>
      </c>
      <c r="AL9" s="20">
        <f t="shared" si="4"/>
        <v>5.1128641899527407</v>
      </c>
      <c r="AM9" s="59">
        <f t="shared" si="5"/>
        <v>298.44619752328606</v>
      </c>
      <c r="AN9" s="59">
        <f ca="1">AVERAGE(OFFSET($AM$3,0,0,'Données projet'!$E$10+1,1))-AVERAGE(OFFSET($H$3,0,0,'Données projet'!$E$10+1,1))</f>
        <v>364.67510777943329</v>
      </c>
      <c r="AO9" s="59">
        <f t="shared" si="36"/>
        <v>352.13878061387169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6.1</v>
      </c>
      <c r="BD9" s="12">
        <f>IF('Données projet'!$A$88&gt;35,BD8+BC9-BL8,IF(A9&lt;'Données projet'!$A$88,$BA$205^A9,IF(A9='Données projet'!$A$88,'Données projet'!$B$88,BD8+BC9-BL8)))</f>
        <v>4.2257903711989933</v>
      </c>
      <c r="BE9" s="13">
        <f>BD9*VLOOKUP('Données projet'!$B$11,Paramètres!$A$1:$I$89,3,0)*VLOOKUP('Données projet'!$B$11,Paramètres!$A$1:$I$89,5,0)</f>
        <v>2.5270226419769983</v>
      </c>
      <c r="BF9" s="13">
        <f t="shared" si="37"/>
        <v>1.0454361055231738</v>
      </c>
      <c r="BG9" s="20">
        <f t="shared" si="7"/>
        <v>6.2220323185627997</v>
      </c>
      <c r="BH9" s="59">
        <f t="shared" si="8"/>
        <v>299.55536565189612</v>
      </c>
      <c r="BI9" s="59">
        <f ca="1">AVERAGE(OFFSET($BH$3,0,0,'Données projet'!$E$11+1,1))-AVERAGE(OFFSET($H$3,0,0,'Données projet'!$E$11+1,1))</f>
        <v>289.66713787052475</v>
      </c>
      <c r="BJ9" s="59">
        <f t="shared" si="38"/>
        <v>298.29439200198652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9.75</v>
      </c>
      <c r="N10" s="13">
        <f>IF('Données projet'!$A$36&gt;35,N9+M10-V9,IF(A10&lt;'Données projet'!$A$36,$K$205^A10,IF(A10='Données projet'!$A$36,'Données projet'!$B$36,N9+M10-V9)))</f>
        <v>6.3315802243411392</v>
      </c>
      <c r="O10" s="13">
        <f>N10*VLOOKUP('Données projet'!$B$9,Paramètres!$A$1:$I$89,3,0)*VLOOKUP('Données projet'!$B$9,Paramètres!$A$1:$I$89,5,0)</f>
        <v>3.5393533454066968</v>
      </c>
      <c r="P10" s="13">
        <f t="shared" si="33"/>
        <v>1.4079305812805931</v>
      </c>
      <c r="Q10" s="20">
        <f t="shared" si="2"/>
        <v>8.6165195056470285</v>
      </c>
      <c r="R10" s="59">
        <f t="shared" si="0"/>
        <v>301.94985283898035</v>
      </c>
      <c r="S10" s="59">
        <f ca="1">AVERAGE(OFFSET($R$3,0,0,'Données projet'!$E$9+1,1))-AVERAGE(OFFSET($H$3,0,0,'Données projet'!$E$9+1,1))</f>
        <v>394.9953131332565</v>
      </c>
      <c r="T10" s="59">
        <f t="shared" si="34"/>
        <v>399.58193819355591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6.4</v>
      </c>
      <c r="AI10" s="13">
        <f>IF('Données projet'!$A$62&gt;35,AI9+AH10-AQ9,IF(A10&lt;'Données projet'!$A$62,$AF$205^A10,IF(A10='Données projet'!$A$62,'Données projet'!$B$62,AI9+AH10-AQ9)))</f>
        <v>5.4641610270175782</v>
      </c>
      <c r="AJ10" s="13">
        <f>AI10*VLOOKUP('Données projet'!$B$10,Paramètres!$A$1:$I$89,3,0)*VLOOKUP('Données projet'!$B$10,Paramètres!$A$1:$I$89,5,0)</f>
        <v>2.6282614539954552</v>
      </c>
      <c r="AK10" s="13">
        <f t="shared" si="35"/>
        <v>1.082358693051118</v>
      </c>
      <c r="AL10" s="20">
        <f t="shared" si="4"/>
        <v>6.4626634227727813</v>
      </c>
      <c r="AM10" s="59">
        <f t="shared" si="5"/>
        <v>299.79599675610609</v>
      </c>
      <c r="AN10" s="59">
        <f ca="1">AVERAGE(OFFSET($AM$3,0,0,'Données projet'!$E$10+1,1))-AVERAGE(OFFSET($H$3,0,0,'Données projet'!$E$10+1,1))</f>
        <v>364.67510777943329</v>
      </c>
      <c r="AO10" s="59">
        <f t="shared" si="36"/>
        <v>352.13878061387169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6.1</v>
      </c>
      <c r="BD10" s="12">
        <f>IF('Données projet'!$A$88&gt;35,BD9+BC10-BL9,IF(A10&lt;'Données projet'!$A$88,$BA$205^A10,IF(A10='Données projet'!$A$88,'Données projet'!$B$88,BD9+BC10-BL9)))</f>
        <v>5.3731125865377525</v>
      </c>
      <c r="BE10" s="13">
        <f>BD10*VLOOKUP('Données projet'!$B$11,Paramètres!$A$1:$I$89,3,0)*VLOOKUP('Données projet'!$B$11,Paramètres!$A$1:$I$89,5,0)</f>
        <v>3.213121326749576</v>
      </c>
      <c r="BF10" s="13">
        <f t="shared" si="37"/>
        <v>1.2926259558362623</v>
      </c>
      <c r="BG10" s="20">
        <f t="shared" si="7"/>
        <v>7.8475098505036698</v>
      </c>
      <c r="BH10" s="59">
        <f t="shared" si="8"/>
        <v>301.180843183837</v>
      </c>
      <c r="BI10" s="59">
        <f ca="1">AVERAGE(OFFSET($BH$3,0,0,'Données projet'!$E$11+1,1))-AVERAGE(OFFSET($H$3,0,0,'Données projet'!$E$11+1,1))</f>
        <v>289.66713787052475</v>
      </c>
      <c r="BJ10" s="59">
        <f t="shared" si="38"/>
        <v>298.29439200198652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9.75</v>
      </c>
      <c r="N11" s="13">
        <f>IF('Données projet'!$A$36&gt;35,N10+M11-V10,IF(A11&lt;'Données projet'!$A$36,$K$205^A11,IF(A11='Données projet'!$A$36,'Données projet'!$B$36,N10+M11-V10)))</f>
        <v>8.2416438750681777</v>
      </c>
      <c r="O11" s="13">
        <f>N11*VLOOKUP('Données projet'!$B$9,Paramètres!$A$1:$I$89,3,0)*VLOOKUP('Données projet'!$B$9,Paramètres!$A$1:$I$89,5,0)</f>
        <v>4.607078926163112</v>
      </c>
      <c r="P11" s="13">
        <f t="shared" si="33"/>
        <v>1.7772763890217063</v>
      </c>
      <c r="Q11" s="20">
        <f t="shared" si="2"/>
        <v>11.119418840613557</v>
      </c>
      <c r="R11" s="59">
        <f t="shared" si="0"/>
        <v>304.45275217394686</v>
      </c>
      <c r="S11" s="59">
        <f ca="1">AVERAGE(OFFSET($R$3,0,0,'Données projet'!$E$9+1,1))-AVERAGE(OFFSET($H$3,0,0,'Données projet'!$E$9+1,1))</f>
        <v>394.9953131332565</v>
      </c>
      <c r="T11" s="59">
        <f t="shared" si="34"/>
        <v>399.58193819355591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6.4</v>
      </c>
      <c r="AI11" s="13">
        <f>IF('Données projet'!$A$62&gt;35,AI10+AH11-AQ10,IF(A11&lt;'Données projet'!$A$62,$AF$205^A11,IF(A11='Données projet'!$A$62,'Données projet'!$B$62,AI10+AH11-AQ10)))</f>
        <v>6.9644045063689877</v>
      </c>
      <c r="AJ11" s="13">
        <f>AI11*VLOOKUP('Données projet'!$B$10,Paramètres!$A$1:$I$89,3,0)*VLOOKUP('Données projet'!$B$10,Paramètres!$A$1:$I$89,5,0)</f>
        <v>3.3498785675634828</v>
      </c>
      <c r="AK11" s="13">
        <f t="shared" si="35"/>
        <v>1.3411203300255503</v>
      </c>
      <c r="AL11" s="20">
        <f t="shared" si="4"/>
        <v>8.1701564133008997</v>
      </c>
      <c r="AM11" s="59">
        <f t="shared" si="5"/>
        <v>301.50348974663422</v>
      </c>
      <c r="AN11" s="59">
        <f ca="1">AVERAGE(OFFSET($AM$3,0,0,'Données projet'!$E$10+1,1))-AVERAGE(OFFSET($H$3,0,0,'Données projet'!$E$10+1,1))</f>
        <v>364.67510777943329</v>
      </c>
      <c r="AO11" s="59">
        <f t="shared" si="36"/>
        <v>352.13878061387169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6.1</v>
      </c>
      <c r="BD11" s="12">
        <f>IF('Données projet'!$A$88&gt;35,BD10+BC11-BL10,IF(A11&lt;'Données projet'!$A$88,$BA$205^A11,IF(A11='Données projet'!$A$88,'Données projet'!$B$88,BD10+BC11-BL10)))</f>
        <v>6.8319382486119329</v>
      </c>
      <c r="BE11" s="13">
        <f>BD11*VLOOKUP('Données projet'!$B$11,Paramètres!$A$1:$I$89,3,0)*VLOOKUP('Données projet'!$B$11,Paramètres!$A$1:$I$89,5,0)</f>
        <v>4.0854990726699363</v>
      </c>
      <c r="BF11" s="13">
        <f t="shared" si="37"/>
        <v>1.5982630147113981</v>
      </c>
      <c r="BG11" s="20">
        <f t="shared" si="7"/>
        <v>9.8992189688558234</v>
      </c>
      <c r="BH11" s="59">
        <f t="shared" si="8"/>
        <v>303.23255230218916</v>
      </c>
      <c r="BI11" s="59">
        <f ca="1">AVERAGE(OFFSET($BH$3,0,0,'Données projet'!$E$11+1,1))-AVERAGE(OFFSET($H$3,0,0,'Données projet'!$E$11+1,1))</f>
        <v>289.66713787052475</v>
      </c>
      <c r="BJ11" s="59">
        <f t="shared" si="38"/>
        <v>298.29439200198652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9.75</v>
      </c>
      <c r="N12" s="13">
        <f>IF('Données projet'!$A$36&gt;35,N11+M12-V11,IF(A12&lt;'Données projet'!$A$36,$K$205^A12,IF(A12='Données projet'!$A$36,'Données projet'!$B$36,N11+M12-V11)))</f>
        <v>10.727921207144938</v>
      </c>
      <c r="O12" s="13">
        <f>N12*VLOOKUP('Données projet'!$B$9,Paramètres!$A$1:$I$89,3,0)*VLOOKUP('Données projet'!$B$9,Paramètres!$A$1:$I$89,5,0)</f>
        <v>5.9969079547940201</v>
      </c>
      <c r="P12" s="13">
        <f t="shared" si="33"/>
        <v>2.2435135687591976</v>
      </c>
      <c r="Q12" s="20">
        <f t="shared" si="2"/>
        <v>14.352067486855185</v>
      </c>
      <c r="R12" s="59">
        <f t="shared" si="0"/>
        <v>307.68540082018848</v>
      </c>
      <c r="S12" s="59">
        <f ca="1">AVERAGE(OFFSET($R$3,0,0,'Données projet'!$E$9+1,1))-AVERAGE(OFFSET($H$3,0,0,'Données projet'!$E$9+1,1))</f>
        <v>394.9953131332565</v>
      </c>
      <c r="T12" s="59">
        <f t="shared" si="34"/>
        <v>399.58193819355591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6.4</v>
      </c>
      <c r="AI12" s="13">
        <f>IF('Données projet'!$A$62&gt;35,AI11+AH12-AQ11,IF(A12&lt;'Données projet'!$A$62,$AF$205^A12,IF(A12='Données projet'!$A$62,'Données projet'!$B$62,AI11+AH12-AQ11)))</f>
        <v>8.8765557765427516</v>
      </c>
      <c r="AJ12" s="13">
        <f>AI12*VLOOKUP('Données projet'!$B$10,Paramètres!$A$1:$I$89,3,0)*VLOOKUP('Données projet'!$B$10,Paramètres!$A$1:$I$89,5,0)</f>
        <v>4.2696233285170635</v>
      </c>
      <c r="AK12" s="13">
        <f t="shared" si="35"/>
        <v>1.6617446241759863</v>
      </c>
      <c r="AL12" s="20">
        <f t="shared" si="4"/>
        <v>10.330465850940394</v>
      </c>
      <c r="AM12" s="59">
        <f t="shared" si="5"/>
        <v>303.66379918427373</v>
      </c>
      <c r="AN12" s="59">
        <f ca="1">AVERAGE(OFFSET($AM$3,0,0,'Données projet'!$E$10+1,1))-AVERAGE(OFFSET($H$3,0,0,'Données projet'!$E$10+1,1))</f>
        <v>364.67510777943329</v>
      </c>
      <c r="AO12" s="59">
        <f t="shared" si="36"/>
        <v>352.13878061387169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6.1</v>
      </c>
      <c r="BD12" s="12">
        <f>IF('Données projet'!$A$88&gt;35,BD11+BC12-BL11,IF(A12&lt;'Données projet'!$A$88,$BA$205^A12,IF(A12='Données projet'!$A$88,'Données projet'!$B$88,BD11+BC12-BL11)))</f>
        <v>8.6868420270572955</v>
      </c>
      <c r="BE12" s="13">
        <f>BD12*VLOOKUP('Données projet'!$B$11,Paramètres!$A$1:$I$89,3,0)*VLOOKUP('Données projet'!$B$11,Paramètres!$A$1:$I$89,5,0)</f>
        <v>5.1947315321802625</v>
      </c>
      <c r="BF12" s="13">
        <f t="shared" si="37"/>
        <v>1.9761669279971803</v>
      </c>
      <c r="BG12" s="20">
        <f t="shared" si="7"/>
        <v>12.489314818142381</v>
      </c>
      <c r="BH12" s="59">
        <f t="shared" si="8"/>
        <v>305.82264815147568</v>
      </c>
      <c r="BI12" s="59">
        <f ca="1">AVERAGE(OFFSET($BH$3,0,0,'Données projet'!$E$11+1,1))-AVERAGE(OFFSET($H$3,0,0,'Données projet'!$E$11+1,1))</f>
        <v>289.66713787052475</v>
      </c>
      <c r="BJ12" s="59">
        <f t="shared" si="38"/>
        <v>298.29439200198652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9.75</v>
      </c>
      <c r="N13" s="13">
        <f>IF('Données projet'!$A$36&gt;35,N12+M13-V12,IF(A13&lt;'Données projet'!$A$36,$K$205^A13,IF(A13='Données projet'!$A$36,'Données projet'!$B$36,N12+M13-V12)))</f>
        <v>13.964240043768944</v>
      </c>
      <c r="O13" s="13">
        <f>N13*VLOOKUP('Données projet'!$B$9,Paramètres!$A$1:$I$89,3,0)*VLOOKUP('Données projet'!$B$9,Paramètres!$A$1:$I$89,5,0)</f>
        <v>7.8060101844668397</v>
      </c>
      <c r="P13" s="13">
        <f t="shared" si="33"/>
        <v>2.8320598666013992</v>
      </c>
      <c r="Q13" s="20">
        <f t="shared" si="2"/>
        <v>18.527972005610515</v>
      </c>
      <c r="R13" s="59">
        <f t="shared" si="0"/>
        <v>311.86130533894385</v>
      </c>
      <c r="S13" s="59">
        <f ca="1">AVERAGE(OFFSET($R$3,0,0,'Données projet'!$E$9+1,1))-AVERAGE(OFFSET($H$3,0,0,'Données projet'!$E$9+1,1))</f>
        <v>394.9953131332565</v>
      </c>
      <c r="T13" s="59">
        <f t="shared" si="34"/>
        <v>399.58193819355591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6.4</v>
      </c>
      <c r="AI13" s="13">
        <f>IF('Données projet'!$A$62&gt;35,AI12+AH13-AQ12,IF(A13&lt;'Données projet'!$A$62,$AF$205^A13,IF(A13='Données projet'!$A$62,'Données projet'!$B$62,AI12+AH13-AQ12)))</f>
        <v>11.313708498984749</v>
      </c>
      <c r="AJ13" s="13">
        <f>AI13*VLOOKUP('Données projet'!$B$10,Paramètres!$A$1:$I$89,3,0)*VLOOKUP('Données projet'!$B$10,Paramètres!$A$1:$I$89,5,0)</f>
        <v>5.4418937880116642</v>
      </c>
      <c r="AK13" s="13">
        <f t="shared" si="35"/>
        <v>2.0590212035076529</v>
      </c>
      <c r="AL13" s="20">
        <f t="shared" si="4"/>
        <v>13.064093610229477</v>
      </c>
      <c r="AM13" s="59">
        <f t="shared" si="5"/>
        <v>306.39742694356278</v>
      </c>
      <c r="AN13" s="59">
        <f ca="1">AVERAGE(OFFSET($AM$3,0,0,'Données projet'!$E$10+1,1))-AVERAGE(OFFSET($H$3,0,0,'Données projet'!$E$10+1,1))</f>
        <v>364.67510777943329</v>
      </c>
      <c r="AO13" s="59">
        <f t="shared" si="36"/>
        <v>352.13878061387169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6.1</v>
      </c>
      <c r="BD13" s="12">
        <f>IF('Données projet'!$A$88&gt;35,BD12+BC13-BL12,IF(A13&lt;'Données projet'!$A$88,$BA$205^A13,IF(A13='Données projet'!$A$88,'Données projet'!$B$88,BD12+BC13-BL12)))</f>
        <v>11.045361017187268</v>
      </c>
      <c r="BE13" s="13">
        <f>BD13*VLOOKUP('Données projet'!$B$11,Paramètres!$A$1:$I$89,3,0)*VLOOKUP('Données projet'!$B$11,Paramètres!$A$1:$I$89,5,0)</f>
        <v>6.6051258882779864</v>
      </c>
      <c r="BF13" s="13">
        <f t="shared" si="37"/>
        <v>2.4434249503139451</v>
      </c>
      <c r="BG13" s="20">
        <f t="shared" si="7"/>
        <v>15.759559377214282</v>
      </c>
      <c r="BH13" s="59">
        <f t="shared" si="8"/>
        <v>309.09289271054757</v>
      </c>
      <c r="BI13" s="59">
        <f ca="1">AVERAGE(OFFSET($BH$3,0,0,'Données projet'!$E$11+1,1))-AVERAGE(OFFSET($H$3,0,0,'Données projet'!$E$11+1,1))</f>
        <v>289.66713787052475</v>
      </c>
      <c r="BJ13" s="59">
        <f t="shared" si="38"/>
        <v>298.29439200198652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9.75</v>
      </c>
      <c r="N14" s="13">
        <f>IF('Données projet'!$A$36&gt;35,N13+M14-V13,IF(A14&lt;'Données projet'!$A$36,$K$205^A14,IF(A14='Données projet'!$A$36,'Données projet'!$B$36,N13+M14-V13)))</f>
        <v>18.176867282556803</v>
      </c>
      <c r="O14" s="13">
        <f>N14*VLOOKUP('Données projet'!$B$9,Paramètres!$A$1:$I$89,3,0)*VLOOKUP('Données projet'!$B$9,Paramètres!$A$1:$I$89,5,0)</f>
        <v>10.160868810949253</v>
      </c>
      <c r="P14" s="13">
        <f t="shared" si="33"/>
        <v>3.5750009269835652</v>
      </c>
      <c r="Q14" s="20">
        <f t="shared" si="2"/>
        <v>23.92330646023299</v>
      </c>
      <c r="R14" s="59">
        <f t="shared" si="0"/>
        <v>317.25663979356631</v>
      </c>
      <c r="S14" s="59">
        <f ca="1">AVERAGE(OFFSET($R$3,0,0,'Données projet'!$E$9+1,1))-AVERAGE(OFFSET($H$3,0,0,'Données projet'!$E$9+1,1))</f>
        <v>394.9953131332565</v>
      </c>
      <c r="T14" s="59">
        <f t="shared" si="34"/>
        <v>399.58193819355591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6.4</v>
      </c>
      <c r="AI14" s="13">
        <f>IF('Données projet'!$A$62&gt;35,AI13+AH14-AQ13,IF(A14&lt;'Données projet'!$A$62,$AF$205^A14,IF(A14='Données projet'!$A$62,'Données projet'!$B$62,AI13+AH14-AQ13)))</f>
        <v>14.420007401773267</v>
      </c>
      <c r="AJ14" s="13">
        <f>AI14*VLOOKUP('Données projet'!$B$10,Paramètres!$A$1:$I$89,3,0)*VLOOKUP('Données projet'!$B$10,Paramètres!$A$1:$I$89,5,0)</f>
        <v>6.9360235602529414</v>
      </c>
      <c r="AK14" s="13">
        <f t="shared" si="35"/>
        <v>2.551275481692254</v>
      </c>
      <c r="AL14" s="20">
        <f t="shared" si="4"/>
        <v>16.523712498054547</v>
      </c>
      <c r="AM14" s="59">
        <f t="shared" si="5"/>
        <v>309.85704583138784</v>
      </c>
      <c r="AN14" s="59">
        <f ca="1">AVERAGE(OFFSET($AM$3,0,0,'Données projet'!$E$10+1,1))-AVERAGE(OFFSET($H$3,0,0,'Données projet'!$E$10+1,1))</f>
        <v>364.67510777943329</v>
      </c>
      <c r="AO14" s="59">
        <f t="shared" si="36"/>
        <v>352.13878061387169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6.1</v>
      </c>
      <c r="BD14" s="12">
        <f>IF('Données projet'!$A$88&gt;35,BD13+BC14-BL13,IF(A14&lt;'Données projet'!$A$88,$BA$205^A14,IF(A14='Données projet'!$A$88,'Données projet'!$B$88,BD13+BC14-BL13)))</f>
        <v>14.044229147945975</v>
      </c>
      <c r="BE14" s="13">
        <f>BD14*VLOOKUP('Données projet'!$B$11,Paramètres!$A$1:$I$89,3,0)*VLOOKUP('Données projet'!$B$11,Paramètres!$A$1:$I$89,5,0)</f>
        <v>8.3984490304716939</v>
      </c>
      <c r="BF14" s="13">
        <f t="shared" si="37"/>
        <v>3.0211645601556314</v>
      </c>
      <c r="BG14" s="20">
        <f t="shared" si="7"/>
        <v>19.889160337009255</v>
      </c>
      <c r="BH14" s="59">
        <f t="shared" si="8"/>
        <v>313.22249367034254</v>
      </c>
      <c r="BI14" s="59">
        <f ca="1">AVERAGE(OFFSET($BH$3,0,0,'Données projet'!$E$11+1,1))-AVERAGE(OFFSET($H$3,0,0,'Données projet'!$E$11+1,1))</f>
        <v>289.66713787052475</v>
      </c>
      <c r="BJ14" s="59">
        <f t="shared" si="38"/>
        <v>298.29439200198652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9.75</v>
      </c>
      <c r="N15" s="13">
        <f>IF('Données projet'!$A$36&gt;35,N14+M15-V14,IF(A15&lt;'Données projet'!$A$36,$K$205^A15,IF(A15='Données projet'!$A$36,'Données projet'!$B$36,N14+M15-V14)))</f>
        <v>23.660328322350253</v>
      </c>
      <c r="O15" s="13">
        <f>N15*VLOOKUP('Données projet'!$B$9,Paramètres!$A$1:$I$89,3,0)*VLOOKUP('Données projet'!$B$9,Paramètres!$A$1:$I$89,5,0)</f>
        <v>13.226123532193791</v>
      </c>
      <c r="P15" s="13">
        <f t="shared" si="33"/>
        <v>4.5128394984357048</v>
      </c>
      <c r="Q15" s="20">
        <f t="shared" si="2"/>
        <v>30.895360611679706</v>
      </c>
      <c r="R15" s="59">
        <f t="shared" si="0"/>
        <v>324.22869394501299</v>
      </c>
      <c r="S15" s="59">
        <f ca="1">AVERAGE(OFFSET($R$3,0,0,'Données projet'!$E$9+1,1))-AVERAGE(OFFSET($H$3,0,0,'Données projet'!$E$9+1,1))</f>
        <v>394.9953131332565</v>
      </c>
      <c r="T15" s="59">
        <f t="shared" si="34"/>
        <v>399.58193819355591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6.4</v>
      </c>
      <c r="AI15" s="13">
        <f>IF('Données projet'!$A$62&gt;35,AI14+AH15-AQ14,IF(A15&lt;'Données projet'!$A$62,$AF$205^A15,IF(A15='Données projet'!$A$62,'Données projet'!$B$62,AI14+AH15-AQ14)))</f>
        <v>18.37917367995254</v>
      </c>
      <c r="AJ15" s="13">
        <f>AI15*VLOOKUP('Données projet'!$B$10,Paramètres!$A$1:$I$89,3,0)*VLOOKUP('Données projet'!$B$10,Paramètres!$A$1:$I$89,5,0)</f>
        <v>8.8403825400571723</v>
      </c>
      <c r="AK15" s="13">
        <f t="shared" si="35"/>
        <v>3.1612139653518891</v>
      </c>
      <c r="AL15" s="20">
        <f t="shared" si="4"/>
        <v>20.902780580254113</v>
      </c>
      <c r="AM15" s="59">
        <f t="shared" si="5"/>
        <v>314.23611391358742</v>
      </c>
      <c r="AN15" s="59">
        <f ca="1">AVERAGE(OFFSET($AM$3,0,0,'Données projet'!$E$10+1,1))-AVERAGE(OFFSET($H$3,0,0,'Données projet'!$E$10+1,1))</f>
        <v>364.67510777943329</v>
      </c>
      <c r="AO15" s="59">
        <f t="shared" si="36"/>
        <v>352.13878061387169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6.1</v>
      </c>
      <c r="BD15" s="12">
        <f>IF('Données projet'!$A$88&gt;35,BD14+BC15-BL14,IF(A15&lt;'Données projet'!$A$88,$BA$205^A15,IF(A15='Données projet'!$A$88,'Données projet'!$B$88,BD14+BC15-BL14)))</f>
        <v>17.857304261318127</v>
      </c>
      <c r="BE15" s="13">
        <f>BD15*VLOOKUP('Données projet'!$B$11,Paramètres!$A$1:$I$89,3,0)*VLOOKUP('Données projet'!$B$11,Paramètres!$A$1:$I$89,5,0)</f>
        <v>10.678667948268242</v>
      </c>
      <c r="BF15" s="13">
        <f t="shared" si="37"/>
        <v>3.7355087572334162</v>
      </c>
      <c r="BG15" s="20">
        <f t="shared" si="7"/>
        <v>25.10469109541539</v>
      </c>
      <c r="BH15" s="59">
        <f t="shared" si="8"/>
        <v>318.43802442874869</v>
      </c>
      <c r="BI15" s="59">
        <f ca="1">AVERAGE(OFFSET($BH$3,0,0,'Données projet'!$E$11+1,1))-AVERAGE(OFFSET($H$3,0,0,'Données projet'!$E$11+1,1))</f>
        <v>289.66713787052475</v>
      </c>
      <c r="BJ15" s="59">
        <f t="shared" si="38"/>
        <v>298.29439200198652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9.75</v>
      </c>
      <c r="N16" s="13">
        <f>IF('Données projet'!$A$36&gt;35,N15+M16-V15,IF(A16&lt;'Données projet'!$A$36,$K$205^A16,IF(A16='Données projet'!$A$36,'Données projet'!$B$36,N15+M16-V15)))</f>
        <v>30.797998776094115</v>
      </c>
      <c r="O16" s="13">
        <f>N16*VLOOKUP('Données projet'!$B$9,Paramètres!$A$1:$I$89,3,0)*VLOOKUP('Données projet'!$B$9,Paramètres!$A$1:$I$89,5,0)</f>
        <v>17.216081315836611</v>
      </c>
      <c r="P16" s="13">
        <f t="shared" si="33"/>
        <v>5.6967035126967529</v>
      </c>
      <c r="Q16" s="20">
        <f t="shared" si="2"/>
        <v>39.906433576362275</v>
      </c>
      <c r="R16" s="59">
        <f t="shared" si="0"/>
        <v>333.23976690969562</v>
      </c>
      <c r="S16" s="59">
        <f ca="1">AVERAGE(OFFSET($R$3,0,0,'Données projet'!$E$9+1,1))-AVERAGE(OFFSET($H$3,0,0,'Données projet'!$E$9+1,1))</f>
        <v>394.9953131332565</v>
      </c>
      <c r="T16" s="59">
        <f t="shared" si="34"/>
        <v>399.58193819355591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6.4</v>
      </c>
      <c r="AI16" s="13">
        <f>IF('Données projet'!$A$62&gt;35,AI15+AH16-AQ15,IF(A16&lt;'Données projet'!$A$62,$AF$205^A16,IF(A16='Données projet'!$A$62,'Données projet'!$B$62,AI15+AH16-AQ15)))</f>
        <v>23.425371135129978</v>
      </c>
      <c r="AJ16" s="13">
        <f>AI16*VLOOKUP('Données projet'!$B$10,Paramètres!$A$1:$I$89,3,0)*VLOOKUP('Données projet'!$B$10,Paramètres!$A$1:$I$89,5,0)</f>
        <v>11.26760351599752</v>
      </c>
      <c r="AK16" s="13">
        <f t="shared" si="35"/>
        <v>3.9169716506299408</v>
      </c>
      <c r="AL16" s="20">
        <f t="shared" si="4"/>
        <v>26.446468415209495</v>
      </c>
      <c r="AM16" s="59">
        <f t="shared" si="5"/>
        <v>319.77980174854281</v>
      </c>
      <c r="AN16" s="59">
        <f ca="1">AVERAGE(OFFSET($AM$3,0,0,'Données projet'!$E$10+1,1))-AVERAGE(OFFSET($H$3,0,0,'Données projet'!$E$10+1,1))</f>
        <v>364.67510777943329</v>
      </c>
      <c r="AO16" s="59">
        <f t="shared" si="36"/>
        <v>352.13878061387169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6.1</v>
      </c>
      <c r="BD16" s="12">
        <f>IF('Données projet'!$A$88&gt;35,BD15+BC16-BL15,IF(A16&lt;'Données projet'!$A$88,$BA$205^A16,IF(A16='Données projet'!$A$88,'Données projet'!$B$88,BD15+BC16-BL15)))</f>
        <v>22.705647431559356</v>
      </c>
      <c r="BE16" s="13">
        <f>BD16*VLOOKUP('Données projet'!$B$11,Paramètres!$A$1:$I$89,3,0)*VLOOKUP('Données projet'!$B$11,Paramètres!$A$1:$I$89,5,0)</f>
        <v>13.577977164072495</v>
      </c>
      <c r="BF16" s="13">
        <f t="shared" si="37"/>
        <v>4.6187572366626446</v>
      </c>
      <c r="BG16" s="20">
        <f t="shared" si="7"/>
        <v>31.692645747947029</v>
      </c>
      <c r="BH16" s="59">
        <f t="shared" si="8"/>
        <v>325.02597908128035</v>
      </c>
      <c r="BI16" s="59">
        <f ca="1">AVERAGE(OFFSET($BH$3,0,0,'Données projet'!$E$11+1,1))-AVERAGE(OFFSET($H$3,0,0,'Données projet'!$E$11+1,1))</f>
        <v>289.66713787052475</v>
      </c>
      <c r="BJ16" s="59">
        <f t="shared" si="38"/>
        <v>298.29439200198652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9.75</v>
      </c>
      <c r="N17" s="13">
        <f>IF('Données projet'!$A$36&gt;35,N16+M17-V16,IF(A17&lt;'Données projet'!$A$36,$K$205^A17,IF(A17='Données projet'!$A$36,'Données projet'!$B$36,N16+M17-V16)))</f>
        <v>40.088908137267786</v>
      </c>
      <c r="O17" s="13">
        <f>N17*VLOOKUP('Données projet'!$B$9,Paramètres!$A$1:$I$89,3,0)*VLOOKUP('Données projet'!$B$9,Paramètres!$A$1:$I$89,5,0)</f>
        <v>22.40969964873269</v>
      </c>
      <c r="P17" s="13">
        <f t="shared" si="33"/>
        <v>7.1911334145210741</v>
      </c>
      <c r="Q17" s="20">
        <f t="shared" si="2"/>
        <v>51.554784251833638</v>
      </c>
      <c r="R17" s="59">
        <f t="shared" si="0"/>
        <v>344.88811758516692</v>
      </c>
      <c r="S17" s="59">
        <f ca="1">AVERAGE(OFFSET($R$3,0,0,'Données projet'!$E$9+1,1))-AVERAGE(OFFSET($H$3,0,0,'Données projet'!$E$9+1,1))</f>
        <v>394.9953131332565</v>
      </c>
      <c r="T17" s="59">
        <f t="shared" si="34"/>
        <v>399.58193819355591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6.4</v>
      </c>
      <c r="AI17" s="13">
        <f>IF('Données projet'!$A$62&gt;35,AI16+AH17-AQ16,IF(A17&lt;'Données projet'!$A$62,$AF$205^A17,IF(A17='Données projet'!$A$62,'Données projet'!$B$62,AI16+AH17-AQ16)))</f>
        <v>29.857055729177794</v>
      </c>
      <c r="AJ17" s="13">
        <f>AI17*VLOOKUP('Données projet'!$B$10,Paramètres!$A$1:$I$89,3,0)*VLOOKUP('Données projet'!$B$10,Paramètres!$A$1:$I$89,5,0)</f>
        <v>14.361243805734521</v>
      </c>
      <c r="AK17" s="13">
        <f t="shared" si="35"/>
        <v>4.8534098229351557</v>
      </c>
      <c r="AL17" s="20">
        <f t="shared" si="4"/>
        <v>33.46552173659969</v>
      </c>
      <c r="AM17" s="59">
        <f t="shared" si="5"/>
        <v>326.79885506993298</v>
      </c>
      <c r="AN17" s="59">
        <f ca="1">AVERAGE(OFFSET($AM$3,0,0,'Données projet'!$E$10+1,1))-AVERAGE(OFFSET($H$3,0,0,'Données projet'!$E$10+1,1))</f>
        <v>364.67510777943329</v>
      </c>
      <c r="AO17" s="59">
        <f t="shared" si="36"/>
        <v>352.13878061387169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6.1</v>
      </c>
      <c r="BD17" s="12">
        <f>IF('Données projet'!$A$88&gt;35,BD16+BC17-BL16,IF(A17&lt;'Données projet'!$A$88,$BA$205^A17,IF(A17='Données projet'!$A$88,'Données projet'!$B$88,BD16+BC17-BL16)))</f>
        <v>28.870338867610421</v>
      </c>
      <c r="BE17" s="13">
        <f>BD17*VLOOKUP('Données projet'!$B$11,Paramètres!$A$1:$I$89,3,0)*VLOOKUP('Données projet'!$B$11,Paramètres!$A$1:$I$89,5,0)</f>
        <v>17.264462642831035</v>
      </c>
      <c r="BF17" s="13">
        <f t="shared" si="37"/>
        <v>5.7108468478127987</v>
      </c>
      <c r="BG17" s="20">
        <f t="shared" si="7"/>
        <v>40.015330696204671</v>
      </c>
      <c r="BH17" s="59">
        <f t="shared" si="8"/>
        <v>333.34866402953799</v>
      </c>
      <c r="BI17" s="59">
        <f ca="1">AVERAGE(OFFSET($BH$3,0,0,'Données projet'!$E$11+1,1))-AVERAGE(OFFSET($H$3,0,0,'Données projet'!$E$11+1,1))</f>
        <v>289.66713787052475</v>
      </c>
      <c r="BJ17" s="59">
        <f t="shared" si="38"/>
        <v>298.29439200198652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9.75</v>
      </c>
      <c r="N18" s="13">
        <f>IF('Données projet'!$A$36&gt;35,N17+M18-V17,IF(A18&lt;'Données projet'!$A$36,$K$205^A18,IF(A18='Données projet'!$A$36,'Données projet'!$B$36,N17+M18-V17)))</f>
        <v>52.182629375443952</v>
      </c>
      <c r="O18" s="13">
        <f>N18*VLOOKUP('Données projet'!$B$9,Paramètres!$A$1:$I$89,3,0)*VLOOKUP('Données projet'!$B$9,Paramètres!$A$1:$I$89,5,0)</f>
        <v>29.170089820873169</v>
      </c>
      <c r="P18" s="13">
        <f t="shared" si="33"/>
        <v>9.077600698401362</v>
      </c>
      <c r="Q18" s="20">
        <f t="shared" si="2"/>
        <v>66.614727654403126</v>
      </c>
      <c r="R18" s="59">
        <f t="shared" si="0"/>
        <v>359.94806098773643</v>
      </c>
      <c r="S18" s="59">
        <f ca="1">AVERAGE(OFFSET($R$3,0,0,'Données projet'!$E$9+1,1))-AVERAGE(OFFSET($H$3,0,0,'Données projet'!$E$9+1,1))</f>
        <v>394.9953131332565</v>
      </c>
      <c r="T18" s="59">
        <f t="shared" si="34"/>
        <v>399.58193819355591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6.4</v>
      </c>
      <c r="AI18" s="13">
        <f>IF('Données projet'!$A$62&gt;35,AI17+AH18-AQ17,IF(A18&lt;'Données projet'!$A$62,$AF$205^A18,IF(A18='Données projet'!$A$62,'Données projet'!$B$62,AI17+AH18-AQ17)))</f>
        <v>38.054627680087016</v>
      </c>
      <c r="AJ18" s="13">
        <f>AI18*VLOOKUP('Données projet'!$B$10,Paramètres!$A$1:$I$89,3,0)*VLOOKUP('Données projet'!$B$10,Paramètres!$A$1:$I$89,5,0)</f>
        <v>18.304275914121856</v>
      </c>
      <c r="AK18" s="13">
        <f t="shared" si="35"/>
        <v>6.0137241242415316</v>
      </c>
      <c r="AL18" s="20">
        <f t="shared" si="4"/>
        <v>42.353850066816229</v>
      </c>
      <c r="AM18" s="59">
        <f t="shared" si="5"/>
        <v>335.68718340014954</v>
      </c>
      <c r="AN18" s="59">
        <f ca="1">AVERAGE(OFFSET($AM$3,0,0,'Données projet'!$E$10+1,1))-AVERAGE(OFFSET($H$3,0,0,'Données projet'!$E$10+1,1))</f>
        <v>364.67510777943329</v>
      </c>
      <c r="AO18" s="59">
        <f t="shared" si="36"/>
        <v>352.13878061387169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6.1</v>
      </c>
      <c r="BD18" s="12">
        <f>IF('Données projet'!$A$88&gt;35,BD17+BC18-BL17,IF(A18&lt;'Données projet'!$A$88,$BA$205^A18,IF(A18='Données projet'!$A$88,'Données projet'!$B$88,BD17+BC18-BL17)))</f>
        <v>36.708773394065467</v>
      </c>
      <c r="BE18" s="13">
        <f>BD18*VLOOKUP('Données projet'!$B$11,Paramètres!$A$1:$I$89,3,0)*VLOOKUP('Données projet'!$B$11,Paramètres!$A$1:$I$89,5,0)</f>
        <v>21.95184648965115</v>
      </c>
      <c r="BF18" s="13">
        <f t="shared" si="37"/>
        <v>7.061157373739559</v>
      </c>
      <c r="BG18" s="20">
        <f t="shared" si="7"/>
        <v>50.530981728738816</v>
      </c>
      <c r="BH18" s="59">
        <f t="shared" si="8"/>
        <v>343.86431506207214</v>
      </c>
      <c r="BI18" s="59">
        <f ca="1">AVERAGE(OFFSET($BH$3,0,0,'Données projet'!$E$11+1,1))-AVERAGE(OFFSET($H$3,0,0,'Données projet'!$E$11+1,1))</f>
        <v>289.66713787052475</v>
      </c>
      <c r="BJ18" s="59">
        <f t="shared" si="38"/>
        <v>298.29439200198652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9.75</v>
      </c>
      <c r="N19" s="13">
        <f>IF('Données projet'!$A$36&gt;35,N18+M19-V18,IF(A19&lt;'Données projet'!$A$36,$K$205^A19,IF(A19='Données projet'!$A$36,'Données projet'!$B$36,N18+M19-V18)))</f>
        <v>67.924693763448815</v>
      </c>
      <c r="O19" s="13">
        <f>N19*VLOOKUP('Données projet'!$B$9,Paramètres!$A$1:$I$89,3,0)*VLOOKUP('Données projet'!$B$9,Paramètres!$A$1:$I$89,5,0)</f>
        <v>37.969903813767885</v>
      </c>
      <c r="P19" s="13">
        <f t="shared" si="33"/>
        <v>11.458949471472826</v>
      </c>
      <c r="Q19" s="20">
        <f t="shared" si="2"/>
        <v>86.088586138460911</v>
      </c>
      <c r="R19" s="59">
        <f t="shared" si="0"/>
        <v>379.42191947179424</v>
      </c>
      <c r="S19" s="59">
        <f ca="1">AVERAGE(OFFSET($R$3,0,0,'Données projet'!$E$9+1,1))-AVERAGE(OFFSET($H$3,0,0,'Données projet'!$E$9+1,1))</f>
        <v>394.9953131332565</v>
      </c>
      <c r="T19" s="59">
        <f t="shared" si="34"/>
        <v>399.58193819355591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6.4</v>
      </c>
      <c r="AI19" s="13">
        <f>IF('Données projet'!$A$62&gt;35,AI18+AH19-AQ18,IF(A19&lt;'Données projet'!$A$62,$AF$205^A19,IF(A19='Données projet'!$A$62,'Données projet'!$B$62,AI18+AH19-AQ18)))</f>
        <v>48.502930128332665</v>
      </c>
      <c r="AJ19" s="13">
        <f>AI19*VLOOKUP('Données projet'!$B$10,Paramètres!$A$1:$I$89,3,0)*VLOOKUP('Données projet'!$B$10,Paramètres!$A$1:$I$89,5,0)</f>
        <v>23.329909391728009</v>
      </c>
      <c r="AK19" s="13">
        <f t="shared" si="35"/>
        <v>7.4514370642233247</v>
      </c>
      <c r="AL19" s="20">
        <f t="shared" si="4"/>
        <v>53.610845077448573</v>
      </c>
      <c r="AM19" s="59">
        <f t="shared" si="5"/>
        <v>346.94417841078189</v>
      </c>
      <c r="AN19" s="59">
        <f ca="1">AVERAGE(OFFSET($AM$3,0,0,'Données projet'!$E$10+1,1))-AVERAGE(OFFSET($H$3,0,0,'Données projet'!$E$10+1,1))</f>
        <v>364.67510777943329</v>
      </c>
      <c r="AO19" s="59">
        <f t="shared" si="36"/>
        <v>352.13878061387169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6.1</v>
      </c>
      <c r="BD19" s="12">
        <f>IF('Données projet'!$A$88&gt;35,BD18+BC19-BL18,IF(A19&lt;'Données projet'!$A$88,$BA$205^A19,IF(A19='Données projet'!$A$88,'Données projet'!$B$88,BD18+BC19-BL18)))</f>
        <v>46.675380232846685</v>
      </c>
      <c r="BE19" s="13">
        <f>BD19*VLOOKUP('Données projet'!$B$11,Paramètres!$A$1:$I$89,3,0)*VLOOKUP('Données projet'!$B$11,Paramètres!$A$1:$I$89,5,0)</f>
        <v>27.91187737924232</v>
      </c>
      <c r="BF19" s="13">
        <f t="shared" si="37"/>
        <v>8.7307442810889597</v>
      </c>
      <c r="BG19" s="20">
        <f t="shared" si="7"/>
        <v>63.819232725076979</v>
      </c>
      <c r="BH19" s="59">
        <f t="shared" si="8"/>
        <v>357.15256605841029</v>
      </c>
      <c r="BI19" s="59">
        <f ca="1">AVERAGE(OFFSET($BH$3,0,0,'Données projet'!$E$11+1,1))-AVERAGE(OFFSET($H$3,0,0,'Données projet'!$E$11+1,1))</f>
        <v>289.66713787052475</v>
      </c>
      <c r="BJ19" s="59">
        <f t="shared" si="38"/>
        <v>298.29439200198652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9.75</v>
      </c>
      <c r="N20" s="13">
        <f>IF('Données projet'!$A$36&gt;35,N19+M20-V19,IF(A20&lt;'Données projet'!$A$36,$K$205^A20,IF(A20='Données projet'!$A$36,'Données projet'!$B$36,N19+M20-V19)))</f>
        <v>88.415706109080091</v>
      </c>
      <c r="O20" s="13">
        <f>N20*VLOOKUP('Données projet'!$B$9,Paramètres!$A$1:$I$89,3,0)*VLOOKUP('Données projet'!$B$9,Paramètres!$A$1:$I$89,5,0)</f>
        <v>49.424379714975778</v>
      </c>
      <c r="P20" s="13">
        <f t="shared" si="33"/>
        <v>14.465003182271698</v>
      </c>
      <c r="Q20" s="20">
        <f t="shared" si="2"/>
        <v>111.27400854603934</v>
      </c>
      <c r="R20" s="59">
        <f t="shared" si="0"/>
        <v>404.60734187937265</v>
      </c>
      <c r="S20" s="59">
        <f ca="1">AVERAGE(OFFSET($R$3,0,0,'Données projet'!$E$9+1,1))-AVERAGE(OFFSET($H$3,0,0,'Données projet'!$E$9+1,1))</f>
        <v>394.9953131332565</v>
      </c>
      <c r="T20" s="59">
        <f t="shared" si="34"/>
        <v>399.58193819355591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6.4</v>
      </c>
      <c r="AI20" s="13">
        <f>IF('Données projet'!$A$62&gt;35,AI19+AH20-AQ19,IF(A20&lt;'Données projet'!$A$62,$AF$205^A20,IF(A20='Données projet'!$A$62,'Données projet'!$B$62,AI19+AH20-AQ19)))</f>
        <v>61.819925051190012</v>
      </c>
      <c r="AJ20" s="13">
        <f>AI20*VLOOKUP('Données projet'!$B$10,Paramètres!$A$1:$I$89,3,0)*VLOOKUP('Données projet'!$B$10,Paramètres!$A$1:$I$89,5,0)</f>
        <v>29.735383949622396</v>
      </c>
      <c r="AK20" s="13">
        <f t="shared" si="35"/>
        <v>9.2328668849743707</v>
      </c>
      <c r="AL20" s="20">
        <f t="shared" si="4"/>
        <v>67.8697035369227</v>
      </c>
      <c r="AM20" s="59">
        <f t="shared" si="5"/>
        <v>361.20303687025603</v>
      </c>
      <c r="AN20" s="59">
        <f ca="1">AVERAGE(OFFSET($AM$3,0,0,'Données projet'!$E$10+1,1))-AVERAGE(OFFSET($H$3,0,0,'Données projet'!$E$10+1,1))</f>
        <v>364.67510777943329</v>
      </c>
      <c r="AO20" s="59">
        <f t="shared" si="36"/>
        <v>352.13878061387169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6.1</v>
      </c>
      <c r="BD20" s="12">
        <f>IF('Données projet'!$A$88&gt;35,BD19+BC20-BL19,IF(A20&lt;'Données projet'!$A$88,$BA$205^A20,IF(A20='Données projet'!$A$88,'Données projet'!$B$88,BD19+BC20-BL19)))</f>
        <v>59.347968304302356</v>
      </c>
      <c r="BE20" s="13">
        <f>BD20*VLOOKUP('Données projet'!$B$11,Paramètres!$A$1:$I$89,3,0)*VLOOKUP('Données projet'!$B$11,Paramètres!$A$1:$I$89,5,0)</f>
        <v>35.490085045972812</v>
      </c>
      <c r="BF20" s="13">
        <f t="shared" si="37"/>
        <v>10.795099396205458</v>
      </c>
      <c r="BG20" s="20">
        <f t="shared" si="7"/>
        <v>80.613362903460484</v>
      </c>
      <c r="BH20" s="59">
        <f t="shared" si="8"/>
        <v>373.9466962367938</v>
      </c>
      <c r="BI20" s="59">
        <f ca="1">AVERAGE(OFFSET($BH$3,0,0,'Données projet'!$E$11+1,1))-AVERAGE(OFFSET($H$3,0,0,'Données projet'!$E$11+1,1))</f>
        <v>289.66713787052475</v>
      </c>
      <c r="BJ20" s="59">
        <f t="shared" si="38"/>
        <v>298.29439200198652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9.75</v>
      </c>
      <c r="N21" s="13">
        <f>IF('Données projet'!$A$36&gt;35,N20+M21-V20,IF(A21&lt;'Données projet'!$A$36,$K$205^A21,IF(A21='Données projet'!$A$36,'Données projet'!$B$36,N20+M21-V20)))</f>
        <v>115.08829342671011</v>
      </c>
      <c r="O21" s="13">
        <f>N21*VLOOKUP('Données projet'!$B$9,Paramètres!$A$1:$I$89,3,0)*VLOOKUP('Données projet'!$B$9,Paramètres!$A$1:$I$89,5,0)</f>
        <v>64.334356025530951</v>
      </c>
      <c r="P21" s="13">
        <f t="shared" si="33"/>
        <v>18.259642176102279</v>
      </c>
      <c r="Q21" s="20">
        <f t="shared" si="2"/>
        <v>143.85121353451117</v>
      </c>
      <c r="R21" s="59">
        <f t="shared" si="0"/>
        <v>437.18454686784446</v>
      </c>
      <c r="S21" s="59">
        <f ca="1">AVERAGE(OFFSET($R$3,0,0,'Données projet'!$E$9+1,1))-AVERAGE(OFFSET($H$3,0,0,'Données projet'!$E$9+1,1))</f>
        <v>394.9953131332565</v>
      </c>
      <c r="T21" s="59">
        <f t="shared" si="34"/>
        <v>399.58193819355591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6.4</v>
      </c>
      <c r="AI21" s="13">
        <f>IF('Données projet'!$A$62&gt;35,AI20+AH21-AQ20,IF(A21&lt;'Données projet'!$A$62,$AF$205^A21,IF(A21='Données projet'!$A$62,'Données projet'!$B$62,AI20+AH21-AQ20)))</f>
        <v>78.793242454074502</v>
      </c>
      <c r="AJ21" s="13">
        <f>AI21*VLOOKUP('Données projet'!$B$10,Paramètres!$A$1:$I$89,3,0)*VLOOKUP('Données projet'!$B$10,Paramètres!$A$1:$I$89,5,0)</f>
        <v>37.899549620409836</v>
      </c>
      <c r="AK21" s="13">
        <f t="shared" si="35"/>
        <v>11.44018666210685</v>
      </c>
      <c r="AL21" s="20">
        <f t="shared" si="4"/>
        <v>85.933374025383216</v>
      </c>
      <c r="AM21" s="59">
        <f t="shared" si="5"/>
        <v>379.26670735871653</v>
      </c>
      <c r="AN21" s="59">
        <f ca="1">AVERAGE(OFFSET($AM$3,0,0,'Données projet'!$E$10+1,1))-AVERAGE(OFFSET($H$3,0,0,'Données projet'!$E$10+1,1))</f>
        <v>364.67510777943329</v>
      </c>
      <c r="AO21" s="59">
        <f t="shared" si="36"/>
        <v>352.13878061387169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6.1</v>
      </c>
      <c r="BD21" s="12">
        <f>IF('Données projet'!$A$88&gt;35,BD20+BC21-BL20,IF(A21&lt;'Données projet'!$A$88,$BA$205^A21,IF(A21='Données projet'!$A$88,'Données projet'!$B$88,BD20+BC21-BL20)))</f>
        <v>75.461224403048902</v>
      </c>
      <c r="BE21" s="13">
        <f>BD21*VLOOKUP('Données projet'!$B$11,Paramètres!$A$1:$I$89,3,0)*VLOOKUP('Données projet'!$B$11,Paramètres!$A$1:$I$89,5,0)</f>
        <v>45.125812193023251</v>
      </c>
      <c r="BF21" s="13">
        <f t="shared" si="37"/>
        <v>13.347564333818791</v>
      </c>
      <c r="BG21" s="20">
        <f t="shared" si="7"/>
        <v>101.8411307842499</v>
      </c>
      <c r="BH21" s="59">
        <f t="shared" si="8"/>
        <v>395.17446411758323</v>
      </c>
      <c r="BI21" s="59">
        <f ca="1">AVERAGE(OFFSET($BH$3,0,0,'Données projet'!$E$11+1,1))-AVERAGE(OFFSET($H$3,0,0,'Données projet'!$E$11+1,1))</f>
        <v>289.66713787052475</v>
      </c>
      <c r="BJ21" s="59">
        <f t="shared" si="38"/>
        <v>298.29439200198652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9.75</v>
      </c>
      <c r="N22" s="13">
        <f>IF('Données projet'!$A$36&gt;35,N21+M22-V21,IF(A22&lt;'Données projet'!$A$36,$K$205^A22,IF(A22='Données projet'!$A$36,'Données projet'!$B$36,N21+M22-V21)))</f>
        <v>149.80726690721144</v>
      </c>
      <c r="O22" s="13">
        <f>N22*VLOOKUP('Données projet'!$B$9,Paramètres!$A$1:$I$89,3,0)*VLOOKUP('Données projet'!$B$9,Paramètres!$A$1:$I$89,5,0)</f>
        <v>83.742262201131183</v>
      </c>
      <c r="P22" s="13">
        <f t="shared" si="33"/>
        <v>23.049737922486322</v>
      </c>
      <c r="Q22" s="20">
        <f t="shared" si="2"/>
        <v>185.99606688196715</v>
      </c>
      <c r="R22" s="59">
        <f t="shared" si="0"/>
        <v>479.32940021530044</v>
      </c>
      <c r="S22" s="59">
        <f ca="1">AVERAGE(OFFSET($R$3,0,0,'Données projet'!$E$9+1,1))-AVERAGE(OFFSET($H$3,0,0,'Données projet'!$E$9+1,1))</f>
        <v>394.9953131332565</v>
      </c>
      <c r="T22" s="59">
        <f t="shared" si="34"/>
        <v>399.58193819355591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6.4</v>
      </c>
      <c r="AI22" s="13">
        <f>IF('Données projet'!$A$62&gt;35,AI21+AH22-AQ21,IF(A22&lt;'Données projet'!$A$62,$AF$205^A22,IF(A22='Données projet'!$A$62,'Données projet'!$B$62,AI21+AH22-AQ21)))</f>
        <v>100.4267645307839</v>
      </c>
      <c r="AJ22" s="13">
        <f>AI22*VLOOKUP('Données projet'!$B$10,Paramètres!$A$1:$I$89,3,0)*VLOOKUP('Données projet'!$B$10,Paramètres!$A$1:$I$89,5,0)</f>
        <v>48.305273739307054</v>
      </c>
      <c r="AK22" s="13">
        <f t="shared" si="35"/>
        <v>14.175214751210056</v>
      </c>
      <c r="AL22" s="20">
        <f t="shared" si="4"/>
        <v>108.82018412098397</v>
      </c>
      <c r="AM22" s="59">
        <f t="shared" si="5"/>
        <v>402.1535174543173</v>
      </c>
      <c r="AN22" s="59">
        <f ca="1">AVERAGE(OFFSET($AM$3,0,0,'Données projet'!$E$10+1,1))-AVERAGE(OFFSET($H$3,0,0,'Données projet'!$E$10+1,1))</f>
        <v>364.67510777943329</v>
      </c>
      <c r="AO22" s="59">
        <f t="shared" si="36"/>
        <v>352.13878061387169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6.1</v>
      </c>
      <c r="BD22" s="12">
        <f>IF('Données projet'!$A$88&gt;35,BD21+BC22-BL21,IF(A22&lt;'Données projet'!$A$88,$BA$205^A22,IF(A22='Données projet'!$A$88,'Données projet'!$B$88,BD21+BC22-BL21)))</f>
        <v>95.949306288122685</v>
      </c>
      <c r="BE22" s="13">
        <f>BD22*VLOOKUP('Données projet'!$B$11,Paramètres!$A$1:$I$89,3,0)*VLOOKUP('Données projet'!$B$11,Paramètres!$A$1:$I$89,5,0)</f>
        <v>57.377685160297375</v>
      </c>
      <c r="BF22" s="13">
        <f t="shared" si="37"/>
        <v>16.503551019461209</v>
      </c>
      <c r="BG22" s="20">
        <f t="shared" si="7"/>
        <v>128.67648634641287</v>
      </c>
      <c r="BH22" s="59">
        <f t="shared" si="8"/>
        <v>422.00981967974622</v>
      </c>
      <c r="BI22" s="59">
        <f ca="1">AVERAGE(OFFSET($BH$3,0,0,'Données projet'!$E$11+1,1))-AVERAGE(OFFSET($H$3,0,0,'Données projet'!$E$11+1,1))</f>
        <v>289.66713787052475</v>
      </c>
      <c r="BJ22" s="59">
        <f t="shared" si="38"/>
        <v>298.29439200198652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195</v>
      </c>
      <c r="L23" s="12">
        <f>VLOOKUP(A23,'Données projet'!$A$35:$I$55,9,0)</f>
        <v>9.75</v>
      </c>
      <c r="M23" s="12">
        <f t="array" ref="M23">INDEX(L:L,MIN(IF(ISNUMBER(L23:L219),ROW(L23:L219),"")))</f>
        <v>9.75</v>
      </c>
      <c r="N23" s="13">
        <f>IF('Données projet'!$A$36&gt;35,N22+M23-V22,IF(A23&lt;'Données projet'!$A$36,$K$205^A23,IF(A23='Données projet'!$A$36,'Données projet'!$B$36,N22+M23-V22)))</f>
        <v>195</v>
      </c>
      <c r="O23" s="13">
        <f>N23*VLOOKUP('Données projet'!$B$9,Paramètres!$A$1:$I$89,3,0)*VLOOKUP('Données projet'!$B$9,Paramètres!$A$1:$I$89,5,0)</f>
        <v>109.005</v>
      </c>
      <c r="P23" s="13">
        <f t="shared" si="33"/>
        <v>29.09643097993688</v>
      </c>
      <c r="Q23" s="20">
        <f t="shared" si="2"/>
        <v>240.52665895672337</v>
      </c>
      <c r="R23" s="59">
        <f t="shared" si="0"/>
        <v>533.85999229005665</v>
      </c>
      <c r="S23" s="59">
        <f ca="1">AVERAGE(OFFSET($R$3,0,0,'Données projet'!$E$9+1,1))-AVERAGE(OFFSET($H$3,0,0,'Données projet'!$E$9+1,1))</f>
        <v>394.9953131332565</v>
      </c>
      <c r="T23" s="59">
        <f t="shared" si="34"/>
        <v>399.58193819355591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84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17.062347630087249</v>
      </c>
      <c r="AB23" s="21">
        <f>EXP(-LN(2)/2)*AB22+(1-EXP(-LN(2)/2))/(LN(2)/2)*V23*Y23*VLOOKUP('Données projet'!$B$9,Paramètres!$A$1:$I$89,3,0)*0.475*44/12</f>
        <v>26.582549881326369</v>
      </c>
      <c r="AC23" s="22">
        <f t="shared" si="3"/>
        <v>43.644897511413618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128</v>
      </c>
      <c r="AG23" s="12">
        <f>VLOOKUP(A23,'Données projet'!$A$61:$I$81,9,0)</f>
        <v>6.4</v>
      </c>
      <c r="AH23" s="12">
        <f t="array" ref="AH23">INDEX(AG:AG,MIN(IF(ISNUMBER(AG23:AG219),ROW(AG23:AG219),"")))</f>
        <v>6.4</v>
      </c>
      <c r="AI23" s="13">
        <f>IF('Données projet'!$A$62&gt;35,AI22+AH23-AQ22,IF(A23&lt;'Données projet'!$A$62,$AF$205^A23,IF(A23='Données projet'!$A$62,'Données projet'!$B$62,AI22+AH23-AQ22)))</f>
        <v>128</v>
      </c>
      <c r="AJ23" s="13">
        <f>AI23*VLOOKUP('Données projet'!$B$10,Paramètres!$A$1:$I$89,3,0)*VLOOKUP('Données projet'!$B$10,Paramètres!$A$1:$I$89,5,0)</f>
        <v>61.567999999999998</v>
      </c>
      <c r="AK23" s="13">
        <f t="shared" si="35"/>
        <v>17.564111423853156</v>
      </c>
      <c r="AL23" s="20">
        <f t="shared" si="4"/>
        <v>137.82176072987758</v>
      </c>
      <c r="AM23" s="59">
        <f t="shared" si="5"/>
        <v>431.15509406321087</v>
      </c>
      <c r="AN23" s="59">
        <f ca="1">AVERAGE(OFFSET($AM$3,0,0,'Données projet'!$E$10+1,1))-AVERAGE(OFFSET($H$3,0,0,'Données projet'!$E$10+1,1))</f>
        <v>364.67510777943329</v>
      </c>
      <c r="AO23" s="59">
        <f t="shared" si="36"/>
        <v>352.13878061387169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0.27500000000000002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0.52434124776846203</v>
      </c>
      <c r="AW23" s="21">
        <f>EXP(-LN(2)/2)*AW22+(1-EXP(-LN(2)/2))/(LN(2)/2)*AQ23*AT23*VLOOKUP('Données projet'!$B$10,Paramètres!$A$1:$I$89,3,0)*0.475*44/12</f>
        <v>0.81690560266534507</v>
      </c>
      <c r="AX23" s="21">
        <f t="shared" si="6"/>
        <v>1.3412468504338071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122</v>
      </c>
      <c r="BB23" s="12">
        <f>VLOOKUP(A23,'Données projet'!$A$87:$I$107,9,0)</f>
        <v>6.1</v>
      </c>
      <c r="BC23" s="12">
        <f t="array" ref="BC23">INDEX(BB:BB,MIN(IF(ISNUMBER(BB23:BB219),ROW(BB23:BB219),"")))</f>
        <v>6.1</v>
      </c>
      <c r="BD23" s="12">
        <f>IF('Données projet'!$A$88&gt;35,BD22+BC23-BL22,IF(A23&lt;'Données projet'!$A$88,$BA$205^A23,IF(A23='Données projet'!$A$88,'Données projet'!$B$88,BD22+BC23-BL22)))</f>
        <v>122</v>
      </c>
      <c r="BE23" s="13">
        <f>BD23*VLOOKUP('Données projet'!$B$11,Paramètres!$A$1:$I$89,3,0)*VLOOKUP('Données projet'!$B$11,Paramètres!$A$1:$I$89,5,0)</f>
        <v>72.956000000000003</v>
      </c>
      <c r="BF23" s="13">
        <f t="shared" si="37"/>
        <v>20.405760140212273</v>
      </c>
      <c r="BG23" s="20">
        <f t="shared" si="7"/>
        <v>162.60506557753638</v>
      </c>
      <c r="BH23" s="59">
        <f t="shared" si="8"/>
        <v>455.93839891086969</v>
      </c>
      <c r="BI23" s="59">
        <f ca="1">AVERAGE(OFFSET($BH$3,0,0,'Données projet'!$E$11+1,1))-AVERAGE(OFFSET($H$3,0,0,'Données projet'!$E$11+1,1))</f>
        <v>289.66713787052475</v>
      </c>
      <c r="BJ23" s="59">
        <f t="shared" si="38"/>
        <v>298.29439200198652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23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0.22500000000000001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4.089088747953558</v>
      </c>
      <c r="BR23" s="21">
        <f>EXP(-LN(2)/2)*BR22+(1-EXP(-LN(2)/2))/(LN(2)/2)*BL23*BO23*VLOOKUP('Données projet'!$B$11,Paramètres!$A$1:$I$89,3,0)*0.475*44/12</f>
        <v>7.7863615100895052</v>
      </c>
      <c r="BS23" s="22">
        <f t="shared" si="9"/>
        <v>11.875450258043063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24.9</v>
      </c>
      <c r="N24" s="13">
        <f>IF('Données projet'!$A$36&gt;35,N23+M24-V23,IF(A24&lt;'Données projet'!$A$36,$K$205^A24,IF(A24='Données projet'!$A$36,'Données projet'!$B$36,N23+M24-V23)))</f>
        <v>135.9</v>
      </c>
      <c r="O24" s="13">
        <f>N24*VLOOKUP('Données projet'!$B$9,Paramètres!$A$1:$I$89,3,0)*VLOOKUP('Données projet'!$B$9,Paramètres!$A$1:$I$89,5,0)</f>
        <v>75.968100000000007</v>
      </c>
      <c r="P24" s="13">
        <f t="shared" si="33"/>
        <v>21.148416276516436</v>
      </c>
      <c r="Q24" s="20">
        <f t="shared" si="2"/>
        <v>169.14459918159946</v>
      </c>
      <c r="R24" s="59">
        <f t="shared" si="0"/>
        <v>462.47793251493277</v>
      </c>
      <c r="S24" s="59">
        <f ca="1">AVERAGE(OFFSET($R$3,0,0,'Données projet'!$E$9+1,1))-AVERAGE(OFFSET($H$3,0,0,'Données projet'!$E$9+1,1))</f>
        <v>394.9953131332565</v>
      </c>
      <c r="T24" s="59">
        <f t="shared" si="34"/>
        <v>399.58193819355591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16.595776836872648</v>
      </c>
      <c r="AB24" s="21">
        <f>EXP(-LN(2)/2)*AB23+(1-EXP(-LN(2)/2))/(LN(2)/2)*V24*Y24*VLOOKUP('Données projet'!$B$9,Paramètres!$A$1:$I$89,3,0)*0.475*44/12</f>
        <v>18.796701282315532</v>
      </c>
      <c r="AC24" s="22">
        <f t="shared" si="3"/>
        <v>35.392478119188183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24.7</v>
      </c>
      <c r="AI24" s="13">
        <f>IF('Données projet'!$A$62&gt;35,AI23+AH24-AQ23,IF(A24&lt;'Données projet'!$A$62,$AF$205^A24,IF(A24='Données projet'!$A$62,'Données projet'!$B$62,AI23+AH24-AQ23)))</f>
        <v>149.69999999999999</v>
      </c>
      <c r="AJ24" s="13">
        <f>AI24*VLOOKUP('Données projet'!$B$10,Paramètres!$A$1:$I$89,3,0)*VLOOKUP('Données projet'!$B$10,Paramètres!$A$1:$I$89,5,0)</f>
        <v>72.00569999999999</v>
      </c>
      <c r="AK24" s="13">
        <f t="shared" si="35"/>
        <v>20.170721689346038</v>
      </c>
      <c r="AL24" s="20">
        <f t="shared" si="4"/>
        <v>160.54060110894432</v>
      </c>
      <c r="AM24" s="59">
        <f t="shared" si="5"/>
        <v>453.87393444227763</v>
      </c>
      <c r="AN24" s="59">
        <f ca="1">AVERAGE(OFFSET($AM$3,0,0,'Données projet'!$E$10+1,1))-AVERAGE(OFFSET($H$3,0,0,'Données projet'!$E$10+1,1))</f>
        <v>364.67510777943329</v>
      </c>
      <c r="AO24" s="59">
        <f t="shared" si="36"/>
        <v>352.13878061387169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0.51000310877432564</v>
      </c>
      <c r="AW24" s="21">
        <f>EXP(-LN(2)/2)*AW23+(1-EXP(-LN(2)/2))/(LN(2)/2)*AQ24*AT24*VLOOKUP('Données projet'!$B$10,Paramètres!$A$1:$I$89,3,0)*0.475*44/12</f>
        <v>0.57763949123394898</v>
      </c>
      <c r="AX24" s="21">
        <f t="shared" si="6"/>
        <v>1.0876426000082746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15.8</v>
      </c>
      <c r="BD24" s="12">
        <f>IF('Données projet'!$A$88&gt;35,BD23+BC24-BL23,IF(A24&lt;'Données projet'!$A$88,$BA$205^A24,IF(A24='Données projet'!$A$88,'Données projet'!$B$88,BD23+BC24-BL23)))</f>
        <v>114.80000000000001</v>
      </c>
      <c r="BE24" s="13">
        <f>BD24*VLOOKUP('Données projet'!$B$11,Paramètres!$A$1:$I$89,3,0)*VLOOKUP('Données projet'!$B$11,Paramètres!$A$1:$I$89,5,0)</f>
        <v>68.650400000000005</v>
      </c>
      <c r="BF24" s="13">
        <f t="shared" si="37"/>
        <v>19.337925525289805</v>
      </c>
      <c r="BG24" s="20">
        <f t="shared" si="7"/>
        <v>153.24633362321308</v>
      </c>
      <c r="BH24" s="59">
        <f t="shared" si="8"/>
        <v>446.57966695654636</v>
      </c>
      <c r="BI24" s="59">
        <f ca="1">AVERAGE(OFFSET($BH$3,0,0,'Données projet'!$E$11+1,1))-AVERAGE(OFFSET($H$3,0,0,'Données projet'!$E$11+1,1))</f>
        <v>289.66713787052475</v>
      </c>
      <c r="BJ24" s="59">
        <f t="shared" si="38"/>
        <v>298.29439200198652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3.9772724011049365</v>
      </c>
      <c r="BR24" s="21">
        <f>EXP(-LN(2)/2)*BR23+(1-EXP(-LN(2)/2))/(LN(2)/2)*BL24*BO24*VLOOKUP('Données projet'!$B$11,Paramètres!$A$1:$I$89,3,0)*0.475*44/12</f>
        <v>5.5057890245542156</v>
      </c>
      <c r="BS24" s="22">
        <f t="shared" si="9"/>
        <v>9.4830614256591517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24.9</v>
      </c>
      <c r="N25" s="13">
        <f>IF('Données projet'!$A$36&gt;35,N24+M25-V24,IF(A25&lt;'Données projet'!$A$36,$K$205^A25,IF(A25='Données projet'!$A$36,'Données projet'!$B$36,N24+M25-V24)))</f>
        <v>160.80000000000001</v>
      </c>
      <c r="O25" s="13">
        <f>N25*VLOOKUP('Données projet'!$B$9,Paramètres!$A$1:$I$89,3,0)*VLOOKUP('Données projet'!$B$9,Paramètres!$A$1:$I$89,5,0)</f>
        <v>89.887200000000007</v>
      </c>
      <c r="P25" s="13">
        <f t="shared" si="33"/>
        <v>24.538018364785955</v>
      </c>
      <c r="Q25" s="20">
        <f t="shared" si="2"/>
        <v>199.29058865200219</v>
      </c>
      <c r="R25" s="59">
        <f t="shared" si="0"/>
        <v>492.62392198533553</v>
      </c>
      <c r="S25" s="59">
        <f ca="1">AVERAGE(OFFSET($R$3,0,0,'Données projet'!$E$9+1,1))-AVERAGE(OFFSET($H$3,0,0,'Données projet'!$E$9+1,1))</f>
        <v>394.9953131332565</v>
      </c>
      <c r="T25" s="59">
        <f t="shared" si="34"/>
        <v>399.58193819355591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16.141964446534391</v>
      </c>
      <c r="AB25" s="21">
        <f>EXP(-LN(2)/2)*AB24+(1-EXP(-LN(2)/2))/(LN(2)/2)*V25*Y25*VLOOKUP('Données projet'!$B$9,Paramètres!$A$1:$I$89,3,0)*0.475*44/12</f>
        <v>13.291274940663186</v>
      </c>
      <c r="AC25" s="22">
        <f t="shared" si="3"/>
        <v>29.433239387197577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24.7</v>
      </c>
      <c r="AI25" s="13">
        <f>IF('Données projet'!$A$62&gt;35,AI24+AH25-AQ24,IF(A25&lt;'Données projet'!$A$62,$AF$205^A25,IF(A25='Données projet'!$A$62,'Données projet'!$B$62,AI24+AH25-AQ24)))</f>
        <v>174.39999999999998</v>
      </c>
      <c r="AJ25" s="13">
        <f>AI25*VLOOKUP('Données projet'!$B$10,Paramètres!$A$1:$I$89,3,0)*VLOOKUP('Données projet'!$B$10,Paramètres!$A$1:$I$89,5,0)</f>
        <v>83.886399999999995</v>
      </c>
      <c r="AK25" s="13">
        <f t="shared" si="35"/>
        <v>23.084789810579508</v>
      </c>
      <c r="AL25" s="20">
        <f t="shared" si="4"/>
        <v>186.30815558675928</v>
      </c>
      <c r="AM25" s="59">
        <f t="shared" si="5"/>
        <v>479.64148892009257</v>
      </c>
      <c r="AN25" s="59">
        <f ca="1">AVERAGE(OFFSET($AM$3,0,0,'Données projet'!$E$10+1,1))-AVERAGE(OFFSET($H$3,0,0,'Données projet'!$E$10+1,1))</f>
        <v>364.67510777943329</v>
      </c>
      <c r="AO25" s="59">
        <f t="shared" si="36"/>
        <v>352.13878061387169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0.49605704694499386</v>
      </c>
      <c r="AW25" s="21">
        <f>EXP(-LN(2)/2)*AW24+(1-EXP(-LN(2)/2))/(LN(2)/2)*AQ25*AT25*VLOOKUP('Données projet'!$B$10,Paramètres!$A$1:$I$89,3,0)*0.475*44/12</f>
        <v>0.40845280133267264</v>
      </c>
      <c r="AX25" s="21">
        <f t="shared" si="6"/>
        <v>0.90450984827766656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15.8</v>
      </c>
      <c r="BD25" s="12">
        <f>IF('Données projet'!$A$88&gt;35,BD24+BC25-BL24,IF(A25&lt;'Données projet'!$A$88,$BA$205^A25,IF(A25='Données projet'!$A$88,'Données projet'!$B$88,BD24+BC25-BL24)))</f>
        <v>130.60000000000002</v>
      </c>
      <c r="BE25" s="13">
        <f>BD25*VLOOKUP('Données projet'!$B$11,Paramètres!$A$1:$I$89,3,0)*VLOOKUP('Données projet'!$B$11,Paramètres!$A$1:$I$89,5,0)</f>
        <v>78.098800000000026</v>
      </c>
      <c r="BF25" s="13">
        <f t="shared" si="37"/>
        <v>21.671682136967</v>
      </c>
      <c r="BG25" s="20">
        <f t="shared" si="7"/>
        <v>173.76692305521752</v>
      </c>
      <c r="BH25" s="59">
        <f t="shared" si="8"/>
        <v>467.10025638855086</v>
      </c>
      <c r="BI25" s="59">
        <f ca="1">AVERAGE(OFFSET($BH$3,0,0,'Données projet'!$E$11+1,1))-AVERAGE(OFFSET($H$3,0,0,'Données projet'!$E$11+1,1))</f>
        <v>289.66713787052475</v>
      </c>
      <c r="BJ25" s="59">
        <f t="shared" si="38"/>
        <v>298.29439200198652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3.8685136781410567</v>
      </c>
      <c r="BR25" s="21">
        <f>EXP(-LN(2)/2)*BR24+(1-EXP(-LN(2)/2))/(LN(2)/2)*BL25*BO25*VLOOKUP('Données projet'!$B$11,Paramètres!$A$1:$I$89,3,0)*0.475*44/12</f>
        <v>3.893180755044753</v>
      </c>
      <c r="BS25" s="22">
        <f t="shared" si="9"/>
        <v>7.7616944331858093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24.9</v>
      </c>
      <c r="N26" s="13">
        <f>IF('Données projet'!$A$36&gt;35,N25+M26-V25,IF(A26&lt;'Données projet'!$A$36,$K$205^A26,IF(A26='Données projet'!$A$36,'Données projet'!$B$36,N25+M26-V25)))</f>
        <v>185.70000000000002</v>
      </c>
      <c r="O26" s="13">
        <f>N26*VLOOKUP('Données projet'!$B$9,Paramètres!$A$1:$I$89,3,0)*VLOOKUP('Données projet'!$B$9,Paramètres!$A$1:$I$89,5,0)</f>
        <v>103.80630000000001</v>
      </c>
      <c r="P26" s="13">
        <f t="shared" si="33"/>
        <v>27.86681512924784</v>
      </c>
      <c r="Q26" s="20">
        <f t="shared" si="2"/>
        <v>229.33067551677331</v>
      </c>
      <c r="R26" s="59">
        <f t="shared" si="0"/>
        <v>522.6640088501066</v>
      </c>
      <c r="S26" s="59">
        <f ca="1">AVERAGE(OFFSET($R$3,0,0,'Données projet'!$E$9+1,1))-AVERAGE(OFFSET($H$3,0,0,'Données projet'!$E$9+1,1))</f>
        <v>394.9953131332565</v>
      </c>
      <c r="T26" s="59">
        <f t="shared" si="34"/>
        <v>399.58193819355591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15.700561579874892</v>
      </c>
      <c r="AB26" s="21">
        <f>EXP(-LN(2)/2)*AB25+(1-EXP(-LN(2)/2))/(LN(2)/2)*V26*Y26*VLOOKUP('Données projet'!$B$9,Paramètres!$A$1:$I$89,3,0)*0.475*44/12</f>
        <v>9.3983506411577658</v>
      </c>
      <c r="AC26" s="22">
        <f t="shared" si="3"/>
        <v>25.098912221032656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24.7</v>
      </c>
      <c r="AI26" s="13">
        <f>IF('Données projet'!$A$62&gt;35,AI25+AH26-AQ25,IF(A26&lt;'Données projet'!$A$62,$AF$205^A26,IF(A26='Données projet'!$A$62,'Données projet'!$B$62,AI25+AH26-AQ25)))</f>
        <v>199.09999999999997</v>
      </c>
      <c r="AJ26" s="13">
        <f>AI26*VLOOKUP('Données projet'!$B$10,Paramètres!$A$1:$I$89,3,0)*VLOOKUP('Données projet'!$B$10,Paramètres!$A$1:$I$89,5,0)</f>
        <v>95.767099999999985</v>
      </c>
      <c r="AK26" s="13">
        <f t="shared" si="35"/>
        <v>25.951043144702957</v>
      </c>
      <c r="AL26" s="20">
        <f t="shared" si="4"/>
        <v>211.99243264369093</v>
      </c>
      <c r="AM26" s="59">
        <f t="shared" si="5"/>
        <v>505.32576597702428</v>
      </c>
      <c r="AN26" s="59">
        <f ca="1">AVERAGE(OFFSET($AM$3,0,0,'Données projet'!$E$10+1,1))-AVERAGE(OFFSET($H$3,0,0,'Données projet'!$E$10+1,1))</f>
        <v>364.67510777943329</v>
      </c>
      <c r="AO26" s="59">
        <f t="shared" si="36"/>
        <v>352.13878061387169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0.48249234090977666</v>
      </c>
      <c r="AW26" s="21">
        <f>EXP(-LN(2)/2)*AW25+(1-EXP(-LN(2)/2))/(LN(2)/2)*AQ26*AT26*VLOOKUP('Données projet'!$B$10,Paramètres!$A$1:$I$89,3,0)*0.475*44/12</f>
        <v>0.28881974561697454</v>
      </c>
      <c r="AX26" s="21">
        <f t="shared" si="6"/>
        <v>0.77131208652675121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15.8</v>
      </c>
      <c r="BD26" s="12">
        <f>IF('Données projet'!$A$88&gt;35,BD25+BC26-BL25,IF(A26&lt;'Données projet'!$A$88,$BA$205^A26,IF(A26='Données projet'!$A$88,'Données projet'!$B$88,BD25+BC26-BL25)))</f>
        <v>146.40000000000003</v>
      </c>
      <c r="BE26" s="13">
        <f>BD26*VLOOKUP('Données projet'!$B$11,Paramètres!$A$1:$I$89,3,0)*VLOOKUP('Données projet'!$B$11,Paramètres!$A$1:$I$89,5,0)</f>
        <v>87.547200000000032</v>
      </c>
      <c r="BF26" s="13">
        <f t="shared" si="37"/>
        <v>23.972720748088616</v>
      </c>
      <c r="BG26" s="20">
        <f t="shared" si="7"/>
        <v>194.23052863625438</v>
      </c>
      <c r="BH26" s="59">
        <f t="shared" si="8"/>
        <v>487.56386196958772</v>
      </c>
      <c r="BI26" s="59">
        <f ca="1">AVERAGE(OFFSET($BH$3,0,0,'Données projet'!$E$11+1,1))-AVERAGE(OFFSET($H$3,0,0,'Données projet'!$E$11+1,1))</f>
        <v>289.66713787052475</v>
      </c>
      <c r="BJ26" s="59">
        <f t="shared" si="38"/>
        <v>298.29439200198652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3.7627289681759968</v>
      </c>
      <c r="BR26" s="21">
        <f>EXP(-LN(2)/2)*BR25+(1-EXP(-LN(2)/2))/(LN(2)/2)*BL26*BO26*VLOOKUP('Données projet'!$B$11,Paramètres!$A$1:$I$89,3,0)*0.475*44/12</f>
        <v>2.7528945122771082</v>
      </c>
      <c r="BS26" s="22">
        <f t="shared" si="9"/>
        <v>6.5156234804531046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24.9</v>
      </c>
      <c r="N27" s="13">
        <f>IF('Données projet'!$A$36&gt;35,N26+M27-V26,IF(A27&lt;'Données projet'!$A$36,$K$205^A27,IF(A27='Données projet'!$A$36,'Données projet'!$B$36,N26+M27-V26)))</f>
        <v>210.60000000000002</v>
      </c>
      <c r="O27" s="13">
        <f>N27*VLOOKUP('Données projet'!$B$9,Paramètres!$A$1:$I$89,3,0)*VLOOKUP('Données projet'!$B$9,Paramètres!$A$1:$I$89,5,0)</f>
        <v>117.72540000000001</v>
      </c>
      <c r="P27" s="13">
        <f t="shared" si="33"/>
        <v>31.143896775185823</v>
      </c>
      <c r="Q27" s="20">
        <f t="shared" si="2"/>
        <v>259.28069188344864</v>
      </c>
      <c r="R27" s="59">
        <f t="shared" si="0"/>
        <v>552.61402521678201</v>
      </c>
      <c r="S27" s="59">
        <f ca="1">AVERAGE(OFFSET($R$3,0,0,'Données projet'!$E$9+1,1))-AVERAGE(OFFSET($H$3,0,0,'Données projet'!$E$9+1,1))</f>
        <v>394.9953131332565</v>
      </c>
      <c r="T27" s="59">
        <f t="shared" si="34"/>
        <v>399.58193819355591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15.271228897816563</v>
      </c>
      <c r="AB27" s="21">
        <f>EXP(-LN(2)/2)*AB26+(1-EXP(-LN(2)/2))/(LN(2)/2)*V27*Y27*VLOOKUP('Données projet'!$B$9,Paramètres!$A$1:$I$89,3,0)*0.475*44/12</f>
        <v>6.645637470331593</v>
      </c>
      <c r="AC27" s="22">
        <f t="shared" si="3"/>
        <v>21.916866368148156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24.7</v>
      </c>
      <c r="AI27" s="13">
        <f>IF('Données projet'!$A$62&gt;35,AI26+AH27-AQ26,IF(A27&lt;'Données projet'!$A$62,$AF$205^A27,IF(A27='Données projet'!$A$62,'Données projet'!$B$62,AI26+AH27-AQ26)))</f>
        <v>223.79999999999995</v>
      </c>
      <c r="AJ27" s="13">
        <f>AI27*VLOOKUP('Données projet'!$B$10,Paramètres!$A$1:$I$89,3,0)*VLOOKUP('Données projet'!$B$10,Paramètres!$A$1:$I$89,5,0)</f>
        <v>107.64779999999998</v>
      </c>
      <c r="AK27" s="13">
        <f t="shared" si="35"/>
        <v>28.776092641636819</v>
      </c>
      <c r="AL27" s="20">
        <f t="shared" si="4"/>
        <v>237.60494635085078</v>
      </c>
      <c r="AM27" s="59">
        <f t="shared" si="5"/>
        <v>530.93827968418407</v>
      </c>
      <c r="AN27" s="59">
        <f ca="1">AVERAGE(OFFSET($AM$3,0,0,'Données projet'!$E$10+1,1))-AVERAGE(OFFSET($H$3,0,0,'Données projet'!$E$10+1,1))</f>
        <v>364.67510777943329</v>
      </c>
      <c r="AO27" s="59">
        <f t="shared" si="36"/>
        <v>352.13878061387169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0.46929856247442936</v>
      </c>
      <c r="AW27" s="21">
        <f>EXP(-LN(2)/2)*AW26+(1-EXP(-LN(2)/2))/(LN(2)/2)*AQ27*AT27*VLOOKUP('Données projet'!$B$10,Paramètres!$A$1:$I$89,3,0)*0.475*44/12</f>
        <v>0.20422640066633635</v>
      </c>
      <c r="AX27" s="21">
        <f t="shared" si="6"/>
        <v>0.67352496314076571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15.8</v>
      </c>
      <c r="BD27" s="12">
        <f>IF('Données projet'!$A$88&gt;35,BD26+BC27-BL26,IF(A27&lt;'Données projet'!$A$88,$BA$205^A27,IF(A27='Données projet'!$A$88,'Données projet'!$B$88,BD26+BC27-BL26)))</f>
        <v>162.20000000000005</v>
      </c>
      <c r="BE27" s="13">
        <f>BD27*VLOOKUP('Données projet'!$B$11,Paramètres!$A$1:$I$89,3,0)*VLOOKUP('Données projet'!$B$11,Paramètres!$A$1:$I$89,5,0)</f>
        <v>96.995600000000039</v>
      </c>
      <c r="BF27" s="13">
        <f t="shared" si="37"/>
        <v>26.244974914188191</v>
      </c>
      <c r="BG27" s="20">
        <f t="shared" si="7"/>
        <v>214.64400130887782</v>
      </c>
      <c r="BH27" s="59">
        <f t="shared" si="8"/>
        <v>507.97733464221113</v>
      </c>
      <c r="BI27" s="59">
        <f ca="1">AVERAGE(OFFSET($BH$3,0,0,'Données projet'!$E$11+1,1))-AVERAGE(OFFSET($H$3,0,0,'Données projet'!$E$11+1,1))</f>
        <v>289.66713787052475</v>
      </c>
      <c r="BJ27" s="59">
        <f t="shared" si="38"/>
        <v>298.29439200198652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3.6598369466679075</v>
      </c>
      <c r="BR27" s="21">
        <f>EXP(-LN(2)/2)*BR26+(1-EXP(-LN(2)/2))/(LN(2)/2)*BL27*BO27*VLOOKUP('Données projet'!$B$11,Paramètres!$A$1:$I$89,3,0)*0.475*44/12</f>
        <v>1.9465903775223767</v>
      </c>
      <c r="BS27" s="22">
        <f t="shared" si="9"/>
        <v>5.6064273241902844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24.9</v>
      </c>
      <c r="N28" s="13">
        <f>IF('Données projet'!$A$36&gt;35,N27+M28-V27,IF(A28&lt;'Données projet'!$A$36,$K$205^A28,IF(A28='Données projet'!$A$36,'Données projet'!$B$36,N27+M28-V27)))</f>
        <v>235.50000000000003</v>
      </c>
      <c r="O28" s="13">
        <f>N28*VLOOKUP('Données projet'!$B$9,Paramètres!$A$1:$I$89,3,0)*VLOOKUP('Données projet'!$B$9,Paramètres!$A$1:$I$89,5,0)</f>
        <v>131.64450000000002</v>
      </c>
      <c r="P28" s="13">
        <f t="shared" si="33"/>
        <v>34.376076542672536</v>
      </c>
      <c r="Q28" s="20">
        <f t="shared" si="2"/>
        <v>289.15250414515464</v>
      </c>
      <c r="R28" s="59">
        <f t="shared" si="0"/>
        <v>582.48583747848795</v>
      </c>
      <c r="S28" s="59">
        <f ca="1">AVERAGE(OFFSET($R$3,0,0,'Données projet'!$E$9+1,1))-AVERAGE(OFFSET($H$3,0,0,'Données projet'!$E$9+1,1))</f>
        <v>394.9953131332565</v>
      </c>
      <c r="T28" s="59">
        <f t="shared" si="34"/>
        <v>399.58193819355591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14.853636340526744</v>
      </c>
      <c r="AB28" s="21">
        <f>EXP(-LN(2)/2)*AB27+(1-EXP(-LN(2)/2))/(LN(2)/2)*V28*Y28*VLOOKUP('Données projet'!$B$9,Paramètres!$A$1:$I$89,3,0)*0.475*44/12</f>
        <v>4.6991753205788829</v>
      </c>
      <c r="AC28" s="22">
        <f t="shared" si="3"/>
        <v>19.552811661105629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24.7</v>
      </c>
      <c r="AI28" s="13">
        <f>IF('Données projet'!$A$62&gt;35,AI27+AH28-AQ27,IF(A28&lt;'Données projet'!$A$62,$AF$205^A28,IF(A28='Données projet'!$A$62,'Données projet'!$B$62,AI27+AH28-AQ27)))</f>
        <v>248.49999999999994</v>
      </c>
      <c r="AJ28" s="13">
        <f>AI28*VLOOKUP('Données projet'!$B$10,Paramètres!$A$1:$I$89,3,0)*VLOOKUP('Données projet'!$B$10,Paramètres!$A$1:$I$89,5,0)</f>
        <v>119.52849999999998</v>
      </c>
      <c r="AK28" s="13">
        <f t="shared" si="35"/>
        <v>31.565004477604749</v>
      </c>
      <c r="AL28" s="20">
        <f t="shared" si="4"/>
        <v>263.1545202984949</v>
      </c>
      <c r="AM28" s="59">
        <f t="shared" si="5"/>
        <v>556.48785363182822</v>
      </c>
      <c r="AN28" s="59">
        <f ca="1">AVERAGE(OFFSET($AM$3,0,0,'Données projet'!$E$10+1,1))-AVERAGE(OFFSET($H$3,0,0,'Données projet'!$E$10+1,1))</f>
        <v>364.67510777943329</v>
      </c>
      <c r="AO28" s="59">
        <f t="shared" si="36"/>
        <v>352.13878061387169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0.45646556860422727</v>
      </c>
      <c r="AW28" s="21">
        <f>EXP(-LN(2)/2)*AW27+(1-EXP(-LN(2)/2))/(LN(2)/2)*AQ28*AT28*VLOOKUP('Données projet'!$B$10,Paramètres!$A$1:$I$89,3,0)*0.475*44/12</f>
        <v>0.1444098728084873</v>
      </c>
      <c r="AX28" s="21">
        <f t="shared" si="6"/>
        <v>0.60087544141271454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15.8</v>
      </c>
      <c r="BD28" s="12">
        <f>IF('Données projet'!$A$88&gt;35,BD27+BC28-BL27,IF(A28&lt;'Données projet'!$A$88,$BA$205^A28,IF(A28='Données projet'!$A$88,'Données projet'!$B$88,BD27+BC28-BL27)))</f>
        <v>178.00000000000006</v>
      </c>
      <c r="BE28" s="13">
        <f>BD28*VLOOKUP('Données projet'!$B$11,Paramètres!$A$1:$I$89,3,0)*VLOOKUP('Données projet'!$B$11,Paramètres!$A$1:$I$89,5,0)</f>
        <v>106.44400000000003</v>
      </c>
      <c r="BF28" s="13">
        <f t="shared" si="37"/>
        <v>28.491567625901947</v>
      </c>
      <c r="BG28" s="20">
        <f t="shared" si="7"/>
        <v>235.01278028177921</v>
      </c>
      <c r="BH28" s="59">
        <f t="shared" si="8"/>
        <v>528.34611361511247</v>
      </c>
      <c r="BI28" s="59">
        <f ca="1">AVERAGE(OFFSET($BH$3,0,0,'Données projet'!$E$11+1,1))-AVERAGE(OFFSET($H$3,0,0,'Données projet'!$E$11+1,1))</f>
        <v>289.66713787052475</v>
      </c>
      <c r="BJ28" s="59">
        <f t="shared" si="38"/>
        <v>298.29439200198652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3.5597585128988132</v>
      </c>
      <c r="BR28" s="21">
        <f>EXP(-LN(2)/2)*BR27+(1-EXP(-LN(2)/2))/(LN(2)/2)*BL28*BO28*VLOOKUP('Données projet'!$B$11,Paramètres!$A$1:$I$89,3,0)*0.475*44/12</f>
        <v>1.3764472561385543</v>
      </c>
      <c r="BS28" s="22">
        <f t="shared" si="9"/>
        <v>4.9362057690373673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24.9</v>
      </c>
      <c r="N29" s="13">
        <f>IF('Données projet'!$A$36&gt;35,N28+M29-V28,IF(A29&lt;'Données projet'!$A$36,$K$205^A29,IF(A29='Données projet'!$A$36,'Données projet'!$B$36,N28+M29-V28)))</f>
        <v>260.40000000000003</v>
      </c>
      <c r="O29" s="13">
        <f>N29*VLOOKUP('Données projet'!$B$9,Paramètres!$A$1:$I$89,3,0)*VLOOKUP('Données projet'!$B$9,Paramètres!$A$1:$I$89,5,0)</f>
        <v>145.56360000000001</v>
      </c>
      <c r="P29" s="13">
        <f t="shared" si="33"/>
        <v>37.568642979458723</v>
      </c>
      <c r="Q29" s="20">
        <f t="shared" si="2"/>
        <v>318.95532318922392</v>
      </c>
      <c r="R29" s="59">
        <f t="shared" si="0"/>
        <v>612.28865652255718</v>
      </c>
      <c r="S29" s="59">
        <f ca="1">AVERAGE(OFFSET($R$3,0,0,'Données projet'!$E$9+1,1))-AVERAGE(OFFSET($H$3,0,0,'Données projet'!$E$9+1,1))</f>
        <v>394.9953131332565</v>
      </c>
      <c r="T29" s="59">
        <f t="shared" si="34"/>
        <v>399.58193819355591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14.447462873676255</v>
      </c>
      <c r="AB29" s="21">
        <f>EXP(-LN(2)/2)*AB28+(1-EXP(-LN(2)/2))/(LN(2)/2)*V29*Y29*VLOOKUP('Données projet'!$B$9,Paramètres!$A$1:$I$89,3,0)*0.475*44/12</f>
        <v>3.3228187351657965</v>
      </c>
      <c r="AC29" s="22">
        <f t="shared" si="3"/>
        <v>17.770281608842051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24.7</v>
      </c>
      <c r="AI29" s="13">
        <f>IF('Données projet'!$A$62&gt;35,AI28+AH29-AQ28,IF(A29&lt;'Données projet'!$A$62,$AF$205^A29,IF(A29='Données projet'!$A$62,'Données projet'!$B$62,AI28+AH29-AQ28)))</f>
        <v>273.19999999999993</v>
      </c>
      <c r="AJ29" s="13">
        <f>AI29*VLOOKUP('Données projet'!$B$10,Paramètres!$A$1:$I$89,3,0)*VLOOKUP('Données projet'!$B$10,Paramètres!$A$1:$I$89,5,0)</f>
        <v>131.40919999999997</v>
      </c>
      <c r="AK29" s="13">
        <f t="shared" si="35"/>
        <v>34.321779468454721</v>
      </c>
      <c r="AL29" s="20">
        <f t="shared" si="4"/>
        <v>288.64812257422517</v>
      </c>
      <c r="AM29" s="59">
        <f t="shared" si="5"/>
        <v>581.98145590755848</v>
      </c>
      <c r="AN29" s="59">
        <f ca="1">AVERAGE(OFFSET($AM$3,0,0,'Données projet'!$E$10+1,1))-AVERAGE(OFFSET($H$3,0,0,'Données projet'!$E$10+1,1))</f>
        <v>364.67510777943329</v>
      </c>
      <c r="AO29" s="59">
        <f t="shared" si="36"/>
        <v>352.13878061387169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0.44398349362626366</v>
      </c>
      <c r="AW29" s="21">
        <f>EXP(-LN(2)/2)*AW28+(1-EXP(-LN(2)/2))/(LN(2)/2)*AQ29*AT29*VLOOKUP('Données projet'!$B$10,Paramètres!$A$1:$I$89,3,0)*0.475*44/12</f>
        <v>0.10211320033316819</v>
      </c>
      <c r="AX29" s="21">
        <f t="shared" si="6"/>
        <v>0.54609669395943183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15.8</v>
      </c>
      <c r="BD29" s="12">
        <f>IF('Données projet'!$A$88&gt;35,BD28+BC29-BL28,IF(A29&lt;'Données projet'!$A$88,$BA$205^A29,IF(A29='Données projet'!$A$88,'Données projet'!$B$88,BD28+BC29-BL28)))</f>
        <v>193.80000000000007</v>
      </c>
      <c r="BE29" s="13">
        <f>BD29*VLOOKUP('Données projet'!$B$11,Paramètres!$A$1:$I$89,3,0)*VLOOKUP('Données projet'!$B$11,Paramètres!$A$1:$I$89,5,0)</f>
        <v>115.89240000000005</v>
      </c>
      <c r="BF29" s="13">
        <f t="shared" si="37"/>
        <v>30.715035712541134</v>
      </c>
      <c r="BG29" s="20">
        <f t="shared" si="7"/>
        <v>255.34128386600921</v>
      </c>
      <c r="BH29" s="59">
        <f t="shared" si="8"/>
        <v>548.67461719934249</v>
      </c>
      <c r="BI29" s="59">
        <f ca="1">AVERAGE(OFFSET($BH$3,0,0,'Données projet'!$E$11+1,1))-AVERAGE(OFFSET($H$3,0,0,'Données projet'!$E$11+1,1))</f>
        <v>289.66713787052475</v>
      </c>
      <c r="BJ29" s="59">
        <f t="shared" si="38"/>
        <v>298.29439200198652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3.4624167291640311</v>
      </c>
      <c r="BR29" s="21">
        <f>EXP(-LN(2)/2)*BR28+(1-EXP(-LN(2)/2))/(LN(2)/2)*BL29*BO29*VLOOKUP('Données projet'!$B$11,Paramètres!$A$1:$I$89,3,0)*0.475*44/12</f>
        <v>0.97329518876118859</v>
      </c>
      <c r="BS29" s="22">
        <f t="shared" si="9"/>
        <v>4.4357119179252198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24.9</v>
      </c>
      <c r="N30" s="13">
        <f>IF('Données projet'!$A$36&gt;35,N29+M30-V29,IF(A30&lt;'Données projet'!$A$36,$K$205^A30,IF(A30='Données projet'!$A$36,'Données projet'!$B$36,N29+M30-V29)))</f>
        <v>285.3</v>
      </c>
      <c r="O30" s="13">
        <f>N30*VLOOKUP('Données projet'!$B$9,Paramètres!$A$1:$I$89,3,0)*VLOOKUP('Données projet'!$B$9,Paramètres!$A$1:$I$89,5,0)</f>
        <v>159.48269999999999</v>
      </c>
      <c r="P30" s="13">
        <f t="shared" si="33"/>
        <v>40.725814966140675</v>
      </c>
      <c r="Q30" s="20">
        <f t="shared" si="2"/>
        <v>348.69649689936165</v>
      </c>
      <c r="R30" s="59">
        <f t="shared" si="0"/>
        <v>642.02983023269496</v>
      </c>
      <c r="S30" s="59">
        <f ca="1">AVERAGE(OFFSET($R$3,0,0,'Données projet'!$E$9+1,1))-AVERAGE(OFFSET($H$3,0,0,'Données projet'!$E$9+1,1))</f>
        <v>394.9953131332565</v>
      </c>
      <c r="T30" s="59">
        <f t="shared" si="34"/>
        <v>399.58193819355591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14.052396241636526</v>
      </c>
      <c r="AB30" s="21">
        <f>EXP(-LN(2)/2)*AB29+(1-EXP(-LN(2)/2))/(LN(2)/2)*V30*Y30*VLOOKUP('Données projet'!$B$9,Paramètres!$A$1:$I$89,3,0)*0.475*44/12</f>
        <v>2.3495876602894414</v>
      </c>
      <c r="AC30" s="22">
        <f t="shared" si="3"/>
        <v>16.401983901925966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24.7</v>
      </c>
      <c r="AI30" s="13">
        <f>IF('Données projet'!$A$62&gt;35,AI29+AH30-AQ29,IF(A30&lt;'Données projet'!$A$62,$AF$205^A30,IF(A30='Données projet'!$A$62,'Données projet'!$B$62,AI29+AH30-AQ29)))</f>
        <v>297.89999999999992</v>
      </c>
      <c r="AJ30" s="13">
        <f>AI30*VLOOKUP('Données projet'!$B$10,Paramètres!$A$1:$I$89,3,0)*VLOOKUP('Données projet'!$B$10,Paramètres!$A$1:$I$89,5,0)</f>
        <v>143.28989999999996</v>
      </c>
      <c r="AK30" s="13">
        <f t="shared" si="35"/>
        <v>37.049653527161425</v>
      </c>
      <c r="AL30" s="20">
        <f t="shared" si="4"/>
        <v>314.09138905980609</v>
      </c>
      <c r="AM30" s="59">
        <f t="shared" si="5"/>
        <v>607.4247223931394</v>
      </c>
      <c r="AN30" s="59">
        <f ca="1">AVERAGE(OFFSET($AM$3,0,0,'Données projet'!$E$10+1,1))-AVERAGE(OFFSET($H$3,0,0,'Données projet'!$E$10+1,1))</f>
        <v>364.67510777943329</v>
      </c>
      <c r="AO30" s="59">
        <f t="shared" si="36"/>
        <v>352.13878061387169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0.43184274164497627</v>
      </c>
      <c r="AW30" s="21">
        <f>EXP(-LN(2)/2)*AW29+(1-EXP(-LN(2)/2))/(LN(2)/2)*AQ30*AT30*VLOOKUP('Données projet'!$B$10,Paramètres!$A$1:$I$89,3,0)*0.475*44/12</f>
        <v>7.220493640424365E-2</v>
      </c>
      <c r="AX30" s="21">
        <f t="shared" si="6"/>
        <v>0.5040476780492199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15.8</v>
      </c>
      <c r="BD30" s="12">
        <f>IF('Données projet'!$A$88&gt;35,BD29+BC30-BL29,IF(A30&lt;'Données projet'!$A$88,$BA$205^A30,IF(A30='Données projet'!$A$88,'Données projet'!$B$88,BD29+BC30-BL29)))</f>
        <v>209.60000000000008</v>
      </c>
      <c r="BE30" s="13">
        <f>BD30*VLOOKUP('Données projet'!$B$11,Paramètres!$A$1:$I$89,3,0)*VLOOKUP('Données projet'!$B$11,Paramètres!$A$1:$I$89,5,0)</f>
        <v>125.34080000000006</v>
      </c>
      <c r="BF30" s="13">
        <f t="shared" si="37"/>
        <v>32.917478801659229</v>
      </c>
      <c r="BG30" s="20">
        <f t="shared" si="7"/>
        <v>275.63316891288991</v>
      </c>
      <c r="BH30" s="59">
        <f t="shared" si="8"/>
        <v>568.96650224622317</v>
      </c>
      <c r="BI30" s="59">
        <f ca="1">AVERAGE(OFFSET($BH$3,0,0,'Données projet'!$E$11+1,1))-AVERAGE(OFFSET($H$3,0,0,'Données projet'!$E$11+1,1))</f>
        <v>289.66713787052475</v>
      </c>
      <c r="BJ30" s="59">
        <f t="shared" si="38"/>
        <v>298.29439200198652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3.3677367616244585</v>
      </c>
      <c r="BR30" s="21">
        <f>EXP(-LN(2)/2)*BR29+(1-EXP(-LN(2)/2))/(LN(2)/2)*BL30*BO30*VLOOKUP('Données projet'!$B$11,Paramètres!$A$1:$I$89,3,0)*0.475*44/12</f>
        <v>0.68822362806927728</v>
      </c>
      <c r="BS30" s="22">
        <f t="shared" si="9"/>
        <v>4.0559603896937357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24.9</v>
      </c>
      <c r="N31" s="13">
        <f>IF('Données projet'!$A$36&gt;35,N30+M31-V30,IF(A31&lt;'Données projet'!$A$36,$K$205^A31,IF(A31='Données projet'!$A$36,'Données projet'!$B$36,N30+M31-V30)))</f>
        <v>310.2</v>
      </c>
      <c r="O31" s="13">
        <f>N31*VLOOKUP('Données projet'!$B$9,Paramètres!$A$1:$I$89,3,0)*VLOOKUP('Données projet'!$B$9,Paramètres!$A$1:$I$89,5,0)</f>
        <v>173.40180000000001</v>
      </c>
      <c r="P31" s="13">
        <f t="shared" si="33"/>
        <v>43.851032851075928</v>
      </c>
      <c r="Q31" s="20">
        <f t="shared" si="2"/>
        <v>378.38201721562388</v>
      </c>
      <c r="R31" s="59">
        <f t="shared" si="0"/>
        <v>671.71535054895719</v>
      </c>
      <c r="S31" s="59">
        <f ca="1">AVERAGE(OFFSET($R$3,0,0,'Données projet'!$E$9+1,1))-AVERAGE(OFFSET($H$3,0,0,'Données projet'!$E$9+1,1))</f>
        <v>394.9953131332565</v>
      </c>
      <c r="T31" s="59">
        <f t="shared" si="34"/>
        <v>399.58193819355591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13.668132727425574</v>
      </c>
      <c r="AB31" s="21">
        <f>EXP(-LN(2)/2)*AB30+(1-EXP(-LN(2)/2))/(LN(2)/2)*V31*Y31*VLOOKUP('Données projet'!$B$9,Paramètres!$A$1:$I$89,3,0)*0.475*44/12</f>
        <v>1.6614093675828983</v>
      </c>
      <c r="AC31" s="22">
        <f t="shared" si="3"/>
        <v>15.329542095008472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24.7</v>
      </c>
      <c r="AI31" s="13">
        <f>IF('Données projet'!$A$62&gt;35,AI30+AH31-AQ30,IF(A31&lt;'Données projet'!$A$62,$AF$205^A31,IF(A31='Données projet'!$A$62,'Données projet'!$B$62,AI30+AH31-AQ30)))</f>
        <v>322.59999999999991</v>
      </c>
      <c r="AJ31" s="13">
        <f>AI31*VLOOKUP('Données projet'!$B$10,Paramètres!$A$1:$I$89,3,0)*VLOOKUP('Données projet'!$B$10,Paramètres!$A$1:$I$89,5,0)</f>
        <v>155.17059999999995</v>
      </c>
      <c r="AK31" s="13">
        <f t="shared" si="35"/>
        <v>39.751295372687288</v>
      </c>
      <c r="AL31" s="20">
        <f t="shared" si="4"/>
        <v>339.48896777409692</v>
      </c>
      <c r="AM31" s="59">
        <f t="shared" si="5"/>
        <v>632.82230110743023</v>
      </c>
      <c r="AN31" s="59">
        <f ca="1">AVERAGE(OFFSET($AM$3,0,0,'Données projet'!$E$10+1,1))-AVERAGE(OFFSET($H$3,0,0,'Données projet'!$E$10+1,1))</f>
        <v>364.67510777943329</v>
      </c>
      <c r="AO31" s="59">
        <f t="shared" si="36"/>
        <v>352.13878061387169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0.42003397916507162</v>
      </c>
      <c r="AW31" s="21">
        <f>EXP(-LN(2)/2)*AW30+(1-EXP(-LN(2)/2))/(LN(2)/2)*AQ31*AT31*VLOOKUP('Données projet'!$B$10,Paramètres!$A$1:$I$89,3,0)*0.475*44/12</f>
        <v>5.1056600166584094E-2</v>
      </c>
      <c r="AX31" s="21">
        <f t="shared" si="6"/>
        <v>0.47109057933165571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15.8</v>
      </c>
      <c r="BD31" s="12">
        <f>IF('Données projet'!$A$88&gt;35,BD30+BC31-BL30,IF(A31&lt;'Données projet'!$A$88,$BA$205^A31,IF(A31='Données projet'!$A$88,'Données projet'!$B$88,BD30+BC31-BL30)))</f>
        <v>225.40000000000009</v>
      </c>
      <c r="BE31" s="13">
        <f>BD31*VLOOKUP('Données projet'!$B$11,Paramètres!$A$1:$I$89,3,0)*VLOOKUP('Données projet'!$B$11,Paramètres!$A$1:$I$89,5,0)</f>
        <v>134.78920000000005</v>
      </c>
      <c r="BF31" s="13">
        <f t="shared" si="37"/>
        <v>35.100662005900844</v>
      </c>
      <c r="BG31" s="20">
        <f t="shared" si="7"/>
        <v>295.89150966027745</v>
      </c>
      <c r="BH31" s="59">
        <f t="shared" si="8"/>
        <v>589.22484299361076</v>
      </c>
      <c r="BI31" s="59">
        <f ca="1">AVERAGE(OFFSET($BH$3,0,0,'Données projet'!$E$11+1,1))-AVERAGE(OFFSET($H$3,0,0,'Données projet'!$E$11+1,1))</f>
        <v>289.66713787052475</v>
      </c>
      <c r="BJ31" s="59">
        <f t="shared" si="38"/>
        <v>298.29439200198652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3.2756458227762586</v>
      </c>
      <c r="BR31" s="21">
        <f>EXP(-LN(2)/2)*BR30+(1-EXP(-LN(2)/2))/(LN(2)/2)*BL31*BO31*VLOOKUP('Données projet'!$B$11,Paramètres!$A$1:$I$89,3,0)*0.475*44/12</f>
        <v>0.48664759438059435</v>
      </c>
      <c r="BS31" s="22">
        <f t="shared" si="9"/>
        <v>3.7622934171568527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24.9</v>
      </c>
      <c r="N32" s="13">
        <f>IF('Données projet'!$A$36&gt;35,N31+M32-V31,IF(A32&lt;'Données projet'!$A$36,$K$205^A32,IF(A32='Données projet'!$A$36,'Données projet'!$B$36,N31+M32-V31)))</f>
        <v>335.09999999999997</v>
      </c>
      <c r="O32" s="13">
        <f>N32*VLOOKUP('Données projet'!$B$9,Paramètres!$A$1:$I$89,3,0)*VLOOKUP('Données projet'!$B$9,Paramètres!$A$1:$I$89,5,0)</f>
        <v>187.32089999999999</v>
      </c>
      <c r="P32" s="13">
        <f t="shared" si="33"/>
        <v>46.947153229494532</v>
      </c>
      <c r="Q32" s="20">
        <f t="shared" si="2"/>
        <v>408.01685937470296</v>
      </c>
      <c r="R32" s="59">
        <f t="shared" si="0"/>
        <v>701.35019270803627</v>
      </c>
      <c r="S32" s="59">
        <f ca="1">AVERAGE(OFFSET($R$3,0,0,'Données projet'!$E$9+1,1))-AVERAGE(OFFSET($H$3,0,0,'Données projet'!$E$9+1,1))</f>
        <v>394.9953131332565</v>
      </c>
      <c r="T32" s="59">
        <f t="shared" si="34"/>
        <v>399.58193819355591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13.29437691921826</v>
      </c>
      <c r="AB32" s="21">
        <f>EXP(-LN(2)/2)*AB31+(1-EXP(-LN(2)/2))/(LN(2)/2)*V32*Y32*VLOOKUP('Données projet'!$B$9,Paramètres!$A$1:$I$89,3,0)*0.475*44/12</f>
        <v>1.1747938301447207</v>
      </c>
      <c r="AC32" s="22">
        <f t="shared" si="3"/>
        <v>14.469170749362981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24.7</v>
      </c>
      <c r="AI32" s="13">
        <f>IF('Données projet'!$A$62&gt;35,AI31+AH32-AQ31,IF(A32&lt;'Données projet'!$A$62,$AF$205^A32,IF(A32='Données projet'!$A$62,'Données projet'!$B$62,AI31+AH32-AQ31)))</f>
        <v>347.2999999999999</v>
      </c>
      <c r="AJ32" s="13">
        <f>AI32*VLOOKUP('Données projet'!$B$10,Paramètres!$A$1:$I$89,3,0)*VLOOKUP('Données projet'!$B$10,Paramètres!$A$1:$I$89,5,0)</f>
        <v>167.05129999999994</v>
      </c>
      <c r="AK32" s="13">
        <f t="shared" si="35"/>
        <v>42.428941850479553</v>
      </c>
      <c r="AL32" s="20">
        <f t="shared" si="4"/>
        <v>364.84475455625176</v>
      </c>
      <c r="AM32" s="59">
        <f t="shared" si="5"/>
        <v>658.17808788958507</v>
      </c>
      <c r="AN32" s="59">
        <f ca="1">AVERAGE(OFFSET($AM$3,0,0,'Données projet'!$E$10+1,1))-AVERAGE(OFFSET($H$3,0,0,'Données projet'!$E$10+1,1))</f>
        <v>364.67510777943329</v>
      </c>
      <c r="AO32" s="59">
        <f t="shared" si="36"/>
        <v>352.13878061387169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0.40854812791617579</v>
      </c>
      <c r="AW32" s="21">
        <f>EXP(-LN(2)/2)*AW31+(1-EXP(-LN(2)/2))/(LN(2)/2)*AQ32*AT32*VLOOKUP('Données projet'!$B$10,Paramètres!$A$1:$I$89,3,0)*0.475*44/12</f>
        <v>3.6102468202121825E-2</v>
      </c>
      <c r="AX32" s="21">
        <f t="shared" si="6"/>
        <v>0.4446505961182976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15.8</v>
      </c>
      <c r="BD32" s="12">
        <f>IF('Données projet'!$A$88&gt;35,BD31+BC32-BL31,IF(A32&lt;'Données projet'!$A$88,$BA$205^A32,IF(A32='Données projet'!$A$88,'Données projet'!$B$88,BD31+BC32-BL31)))</f>
        <v>241.2000000000001</v>
      </c>
      <c r="BE32" s="13">
        <f>BD32*VLOOKUP('Données projet'!$B$11,Paramètres!$A$1:$I$89,3,0)*VLOOKUP('Données projet'!$B$11,Paramètres!$A$1:$I$89,5,0)</f>
        <v>144.23760000000007</v>
      </c>
      <c r="BF32" s="13">
        <f t="shared" si="37"/>
        <v>37.266088962286922</v>
      </c>
      <c r="BG32" s="20">
        <f t="shared" si="7"/>
        <v>316.11892494264981</v>
      </c>
      <c r="BH32" s="59">
        <f t="shared" si="8"/>
        <v>609.45225827598313</v>
      </c>
      <c r="BI32" s="59">
        <f ca="1">AVERAGE(OFFSET($BH$3,0,0,'Données projet'!$E$11+1,1))-AVERAGE(OFFSET($H$3,0,0,'Données projet'!$E$11+1,1))</f>
        <v>289.66713787052475</v>
      </c>
      <c r="BJ32" s="59">
        <f t="shared" si="38"/>
        <v>298.29439200198652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3.1860731154937145</v>
      </c>
      <c r="BR32" s="21">
        <f>EXP(-LN(2)/2)*BR31+(1-EXP(-LN(2)/2))/(LN(2)/2)*BL32*BO32*VLOOKUP('Données projet'!$B$11,Paramètres!$A$1:$I$89,3,0)*0.475*44/12</f>
        <v>0.3441118140346387</v>
      </c>
      <c r="BS32" s="22">
        <f t="shared" si="9"/>
        <v>3.5301849295283532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360</v>
      </c>
      <c r="L33" s="12">
        <f>VLOOKUP(A33,'Données projet'!$A$35:$I$55,9,0)</f>
        <v>24.9</v>
      </c>
      <c r="M33" s="12">
        <f t="array" ref="M33">INDEX(L:L,MIN(IF(ISNUMBER(L33:L229),ROW(L33:L229),"")))</f>
        <v>24.9</v>
      </c>
      <c r="N33" s="13">
        <f>IF('Données projet'!$A$36&gt;35,N32+M33-V32,IF(A33&lt;'Données projet'!$A$36,$K$205^A33,IF(A33='Données projet'!$A$36,'Données projet'!$B$36,N32+M33-V32)))</f>
        <v>359.99999999999994</v>
      </c>
      <c r="O33" s="13">
        <f>N33*VLOOKUP('Données projet'!$B$9,Paramètres!$A$1:$I$89,3,0)*VLOOKUP('Données projet'!$B$9,Paramètres!$A$1:$I$89,5,0)</f>
        <v>201.23999999999998</v>
      </c>
      <c r="P33" s="13">
        <f t="shared" si="33"/>
        <v>50.016584086333268</v>
      </c>
      <c r="Q33" s="20">
        <f t="shared" si="2"/>
        <v>437.60521728369707</v>
      </c>
      <c r="R33" s="59">
        <f t="shared" si="0"/>
        <v>730.93855061703039</v>
      </c>
      <c r="S33" s="59">
        <f ca="1">AVERAGE(OFFSET($R$3,0,0,'Données projet'!$E$9+1,1))-AVERAGE(OFFSET($H$3,0,0,'Données projet'!$E$9+1,1))</f>
        <v>394.9953131332565</v>
      </c>
      <c r="T33" s="59">
        <f t="shared" si="34"/>
        <v>399.58193819355591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126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10.277876493987145</v>
      </c>
      <c r="AA33" s="21">
        <f>EXP(-LN(2)/25)*AA32+(1-EXP(-LN(2)/25))/(LN(2)/25)*Calculateur!V33*Calculateur!X33*VLOOKUP('Données projet'!$B$9,Paramètres!$A$1:$I$89,3,0)*0.475*44/12</f>
        <v>33.405658639346044</v>
      </c>
      <c r="AB33" s="21">
        <f>EXP(-LN(2)/2)*AB32+(1-EXP(-LN(2)/2))/(LN(2)/2)*V33*Y33*VLOOKUP('Données projet'!$B$9,Paramètres!$A$1:$I$89,3,0)*0.475*44/12</f>
        <v>32.729764541383091</v>
      </c>
      <c r="AC33" s="22">
        <f t="shared" si="3"/>
        <v>76.413299674716285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372</v>
      </c>
      <c r="AG33" s="12">
        <f>VLOOKUP(A33,'Données projet'!$A$61:$I$81,9,0)</f>
        <v>24.7</v>
      </c>
      <c r="AH33" s="12">
        <f t="array" ref="AH33">INDEX(AG:AG,MIN(IF(ISNUMBER(AG33:AG229),ROW(AG33:AG229),"")))</f>
        <v>24.7</v>
      </c>
      <c r="AI33" s="13">
        <f>IF('Données projet'!$A$62&gt;35,AI32+AH33-AQ32,IF(A33&lt;'Données projet'!$A$62,$AF$205^A33,IF(A33='Données projet'!$A$62,'Données projet'!$B$62,AI32+AH33-AQ32)))</f>
        <v>371.99999999999989</v>
      </c>
      <c r="AJ33" s="13">
        <f>AI33*VLOOKUP('Données projet'!$B$10,Paramètres!$A$1:$I$89,3,0)*VLOOKUP('Données projet'!$B$10,Paramètres!$A$1:$I$89,5,0)</f>
        <v>178.93199999999996</v>
      </c>
      <c r="AK33" s="13">
        <f t="shared" si="35"/>
        <v>45.084493609959594</v>
      </c>
      <c r="AL33" s="20">
        <f t="shared" si="4"/>
        <v>390.16205970401285</v>
      </c>
      <c r="AM33" s="59">
        <f t="shared" si="5"/>
        <v>683.49539303734616</v>
      </c>
      <c r="AN33" s="59">
        <f ca="1">AVERAGE(OFFSET($AM$3,0,0,'Données projet'!$E$10+1,1))-AVERAGE(OFFSET($H$3,0,0,'Données projet'!$E$10+1,1))</f>
        <v>364.67510777943329</v>
      </c>
      <c r="AO33" s="59">
        <f t="shared" si="36"/>
        <v>352.13878061387169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126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0.22000000000000003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8.8437541925005672</v>
      </c>
      <c r="AV33" s="21">
        <f>EXP(-LN(2)/25)*AV32+(1-EXP(-LN(2)/25))/(LN(2)/25)*Calculateur!AQ33*Calculateur!AS33*VLOOKUP('Données projet'!$B$10,Paramètres!$A$1:$I$89,3,0)*0.475*44/12</f>
        <v>18.015242282894018</v>
      </c>
      <c r="AW33" s="21">
        <f>EXP(-LN(2)/2)*AW32+(1-EXP(-LN(2)/2))/(LN(2)/2)*AQ33*AT33*VLOOKUP('Données projet'!$B$10,Paramètres!$A$1:$I$89,3,0)*0.475*44/12</f>
        <v>27.473556549638893</v>
      </c>
      <c r="AX33" s="21">
        <f t="shared" si="6"/>
        <v>54.332553025033477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257</v>
      </c>
      <c r="BB33" s="12">
        <f>VLOOKUP(A33,'Données projet'!$A$87:$I$107,9,0)</f>
        <v>15.8</v>
      </c>
      <c r="BC33" s="12">
        <f t="array" ref="BC33">INDEX(BB:BB,MIN(IF(ISNUMBER(BB33:BB229),ROW(BB33:BB229),"")))</f>
        <v>15.8</v>
      </c>
      <c r="BD33" s="12">
        <f>IF('Données projet'!$A$88&gt;35,BD32+BC33-BL32,IF(A33&lt;'Données projet'!$A$88,$BA$205^A33,IF(A33='Données projet'!$A$88,'Données projet'!$B$88,BD32+BC33-BL32)))</f>
        <v>257.00000000000011</v>
      </c>
      <c r="BE33" s="13">
        <f>BD33*VLOOKUP('Données projet'!$B$11,Paramètres!$A$1:$I$89,3,0)*VLOOKUP('Données projet'!$B$11,Paramètres!$A$1:$I$89,5,0)</f>
        <v>153.68600000000006</v>
      </c>
      <c r="BF33" s="13">
        <f t="shared" si="37"/>
        <v>39.415055172513433</v>
      </c>
      <c r="BG33" s="20">
        <f t="shared" si="7"/>
        <v>336.31767109212768</v>
      </c>
      <c r="BH33" s="59">
        <f t="shared" si="8"/>
        <v>629.651004425461</v>
      </c>
      <c r="BI33" s="59">
        <f ca="1">AVERAGE(OFFSET($BH$3,0,0,'Données projet'!$E$11+1,1))-AVERAGE(OFFSET($H$3,0,0,'Données projet'!$E$11+1,1))</f>
        <v>289.66713787052475</v>
      </c>
      <c r="BJ33" s="59">
        <f t="shared" si="38"/>
        <v>298.29439200198652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84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0.22500000000000001</v>
      </c>
      <c r="BO33" s="16">
        <f>IF(ISNA(VLOOKUP(A33,'Données projet'!$A$87:$I$107,7,0)),0%,VLOOKUP(A33,'Données projet'!$A$87:$I$107,7,0))</f>
        <v>0.5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18.033013031997843</v>
      </c>
      <c r="BR33" s="21">
        <f>EXP(-LN(2)/2)*BR32+(1-EXP(-LN(2)/2))/(LN(2)/2)*BL33*BO33*VLOOKUP('Données projet'!$B$11,Paramètres!$A$1:$I$89,3,0)*0.475*44/12</f>
        <v>28.680470181865015</v>
      </c>
      <c r="BS33" s="22">
        <f t="shared" si="9"/>
        <v>46.713483213862858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24.3</v>
      </c>
      <c r="N34" s="13">
        <f>IF('Données projet'!$A$36&gt;35,N33+M34-V33,IF(A34&lt;'Données projet'!$A$36,$K$205^A34,IF(A34='Données projet'!$A$36,'Données projet'!$B$36,N33+M34-V33)))</f>
        <v>258.29999999999995</v>
      </c>
      <c r="O34" s="13">
        <f>N34*VLOOKUP('Données projet'!$B$9,Paramètres!$A$1:$I$89,3,0)*VLOOKUP('Données projet'!$B$9,Paramètres!$A$1:$I$89,5,0)</f>
        <v>144.38969999999998</v>
      </c>
      <c r="P34" s="13">
        <f t="shared" si="33"/>
        <v>37.30081007271778</v>
      </c>
      <c r="Q34" s="20">
        <f t="shared" si="2"/>
        <v>316.44430504331677</v>
      </c>
      <c r="R34" s="59">
        <f t="shared" si="0"/>
        <v>609.77763837665009</v>
      </c>
      <c r="S34" s="59">
        <f ca="1">AVERAGE(OFFSET($R$3,0,0,'Données projet'!$E$9+1,1))-AVERAGE(OFFSET($H$3,0,0,'Données projet'!$E$9+1,1))</f>
        <v>394.9953131332565</v>
      </c>
      <c r="T34" s="59">
        <f t="shared" si="34"/>
        <v>399.58193819355591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10.076333604825718</v>
      </c>
      <c r="AA34" s="21">
        <f>EXP(-LN(2)/25)*AA33+(1-EXP(-LN(2)/25))/(LN(2)/25)*Calculateur!V34*Calculateur!X34*VLOOKUP('Données projet'!$B$9,Paramètres!$A$1:$I$89,3,0)*0.475*44/12</f>
        <v>32.492179147125889</v>
      </c>
      <c r="AB34" s="21">
        <f>EXP(-LN(2)/2)*AB33+(1-EXP(-LN(2)/2))/(LN(2)/2)*V34*Y34*VLOOKUP('Données projet'!$B$9,Paramètres!$A$1:$I$89,3,0)*0.475*44/12</f>
        <v>23.143438453850997</v>
      </c>
      <c r="AC34" s="22">
        <f t="shared" si="3"/>
        <v>65.711951205802606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25.3</v>
      </c>
      <c r="AI34" s="13">
        <f>IF('Données projet'!$A$62&gt;35,AI33+AH34-AQ33,IF(A34&lt;'Données projet'!$A$62,$AF$205^A34,IF(A34='Données projet'!$A$62,'Données projet'!$B$62,AI33+AH34-AQ33)))</f>
        <v>271.2999999999999</v>
      </c>
      <c r="AJ34" s="13">
        <f>AI34*VLOOKUP('Données projet'!$B$10,Paramètres!$A$1:$I$89,3,0)*VLOOKUP('Données projet'!$B$10,Paramètres!$A$1:$I$89,5,0)</f>
        <v>130.49529999999996</v>
      </c>
      <c r="AK34" s="13">
        <f t="shared" si="35"/>
        <v>34.110783277679488</v>
      </c>
      <c r="AL34" s="20">
        <f t="shared" si="4"/>
        <v>286.68892837529171</v>
      </c>
      <c r="AM34" s="59">
        <f t="shared" si="5"/>
        <v>580.02226170862502</v>
      </c>
      <c r="AN34" s="59">
        <f ca="1">AVERAGE(OFFSET($AM$3,0,0,'Données projet'!$E$10+1,1))-AVERAGE(OFFSET($H$3,0,0,'Données projet'!$E$10+1,1))</f>
        <v>364.67510777943329</v>
      </c>
      <c r="AO34" s="59">
        <f t="shared" si="36"/>
        <v>352.13878061387169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8.670333566943059</v>
      </c>
      <c r="AV34" s="21">
        <f>EXP(-LN(2)/25)*AV33+(1-EXP(-LN(2)/25))/(LN(2)/25)*Calculateur!AQ34*Calculateur!AS34*VLOOKUP('Données projet'!$B$10,Paramètres!$A$1:$I$89,3,0)*0.475*44/12</f>
        <v>17.522614535287865</v>
      </c>
      <c r="AW34" s="21">
        <f>EXP(-LN(2)/2)*AW33+(1-EXP(-LN(2)/2))/(LN(2)/2)*AQ34*AT34*VLOOKUP('Données projet'!$B$10,Paramètres!$A$1:$I$89,3,0)*0.475*44/12</f>
        <v>19.426738139561749</v>
      </c>
      <c r="AX34" s="21">
        <f t="shared" si="6"/>
        <v>45.619686241792671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12.4</v>
      </c>
      <c r="BD34" s="12">
        <f>IF('Données projet'!$A$88&gt;35,BD33+BC34-BL33,IF(A34&lt;'Données projet'!$A$88,$BA$205^A34,IF(A34='Données projet'!$A$88,'Données projet'!$B$88,BD33+BC34-BL33)))</f>
        <v>185.40000000000009</v>
      </c>
      <c r="BE34" s="13">
        <f>BD34*VLOOKUP('Données projet'!$B$11,Paramètres!$A$1:$I$89,3,0)*VLOOKUP('Données projet'!$B$11,Paramètres!$A$1:$I$89,5,0)</f>
        <v>110.86920000000006</v>
      </c>
      <c r="BF34" s="13">
        <f t="shared" si="37"/>
        <v>29.535680967701619</v>
      </c>
      <c r="BG34" s="20">
        <f t="shared" si="7"/>
        <v>244.53850101874707</v>
      </c>
      <c r="BH34" s="59">
        <f t="shared" si="8"/>
        <v>537.87183435208044</v>
      </c>
      <c r="BI34" s="59">
        <f ca="1">AVERAGE(OFFSET($BH$3,0,0,'Données projet'!$E$11+1,1))-AVERAGE(OFFSET($H$3,0,0,'Données projet'!$E$11+1,1))</f>
        <v>289.66713787052475</v>
      </c>
      <c r="BJ34" s="59">
        <f t="shared" si="38"/>
        <v>298.29439200198652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17.539899342322922</v>
      </c>
      <c r="BR34" s="21">
        <f>EXP(-LN(2)/2)*BR33+(1-EXP(-LN(2)/2))/(LN(2)/2)*BL34*BO34*VLOOKUP('Données projet'!$B$11,Paramètres!$A$1:$I$89,3,0)*0.475*44/12</f>
        <v>20.280154953215327</v>
      </c>
      <c r="BS34" s="22">
        <f t="shared" si="9"/>
        <v>37.820054295538249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24.3</v>
      </c>
      <c r="N35" s="13">
        <f>IF('Données projet'!$A$36&gt;35,N34+M35-V34,IF(A35&lt;'Données projet'!$A$36,$K$205^A35,IF(A35='Données projet'!$A$36,'Données projet'!$B$36,N34+M35-V34)))</f>
        <v>282.59999999999997</v>
      </c>
      <c r="O35" s="13">
        <f>N35*VLOOKUP('Données projet'!$B$9,Paramètres!$A$1:$I$89,3,0)*VLOOKUP('Données projet'!$B$9,Paramètres!$A$1:$I$89,5,0)</f>
        <v>157.9734</v>
      </c>
      <c r="P35" s="13">
        <f t="shared" si="33"/>
        <v>40.38507155381253</v>
      </c>
      <c r="Q35" s="20">
        <f t="shared" ref="Q35:Q66" si="53">(O35+P35)*0.475*44/12</f>
        <v>345.47433795622351</v>
      </c>
      <c r="R35" s="59">
        <f t="shared" si="0"/>
        <v>638.80767128955677</v>
      </c>
      <c r="S35" s="59">
        <f ca="1">AVERAGE(OFFSET($R$3,0,0,'Données projet'!$E$9+1,1))-AVERAGE(OFFSET($H$3,0,0,'Données projet'!$E$9+1,1))</f>
        <v>394.9953131332565</v>
      </c>
      <c r="T35" s="59">
        <f t="shared" si="34"/>
        <v>399.58193819355591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9.8787428487917222</v>
      </c>
      <c r="AA35" s="21">
        <f>EXP(-LN(2)/25)*AA34+(1-EXP(-LN(2)/25))/(LN(2)/25)*Calculateur!V35*Calculateur!X35*VLOOKUP('Données projet'!$B$9,Paramètres!$A$1:$I$89,3,0)*0.475*44/12</f>
        <v>31.60367879965829</v>
      </c>
      <c r="AB35" s="21">
        <f>EXP(-LN(2)/2)*AB34+(1-EXP(-LN(2)/2))/(LN(2)/2)*V35*Y35*VLOOKUP('Données projet'!$B$9,Paramètres!$A$1:$I$89,3,0)*0.475*44/12</f>
        <v>16.364882270691549</v>
      </c>
      <c r="AC35" s="22">
        <f t="shared" si="3"/>
        <v>57.847303919141567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25.3</v>
      </c>
      <c r="AI35" s="13">
        <f>IF('Données projet'!$A$62&gt;35,AI34+AH35-AQ34,IF(A35&lt;'Données projet'!$A$62,$AF$205^A35,IF(A35='Données projet'!$A$62,'Données projet'!$B$62,AI34+AH35-AQ34)))</f>
        <v>296.59999999999991</v>
      </c>
      <c r="AJ35" s="13">
        <f>AI35*VLOOKUP('Données projet'!$B$10,Paramètres!$A$1:$I$89,3,0)*VLOOKUP('Données projet'!$B$10,Paramètres!$A$1:$I$89,5,0)</f>
        <v>142.66459999999995</v>
      </c>
      <c r="AK35" s="13">
        <f t="shared" si="35"/>
        <v>36.90675650653003</v>
      </c>
      <c r="AL35" s="20">
        <f t="shared" si="4"/>
        <v>312.75344591553971</v>
      </c>
      <c r="AM35" s="59">
        <f t="shared" si="5"/>
        <v>606.08677924887297</v>
      </c>
      <c r="AN35" s="59">
        <f ca="1">AVERAGE(OFFSET($AM$3,0,0,'Données projet'!$E$10+1,1))-AVERAGE(OFFSET($H$3,0,0,'Données projet'!$E$10+1,1))</f>
        <v>364.67510777943329</v>
      </c>
      <c r="AO35" s="59">
        <f t="shared" si="36"/>
        <v>352.13878061387169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8.5003136140765978</v>
      </c>
      <c r="AV35" s="21">
        <f>EXP(-LN(2)/25)*AV34+(1-EXP(-LN(2)/25))/(LN(2)/25)*Calculateur!AQ35*Calculateur!AS35*VLOOKUP('Données projet'!$B$10,Paramètres!$A$1:$I$89,3,0)*0.475*44/12</f>
        <v>17.043457719346168</v>
      </c>
      <c r="AW35" s="21">
        <f>EXP(-LN(2)/2)*AW34+(1-EXP(-LN(2)/2))/(LN(2)/2)*AQ35*AT35*VLOOKUP('Données projet'!$B$10,Paramètres!$A$1:$I$89,3,0)*0.475*44/12</f>
        <v>13.736778274819448</v>
      </c>
      <c r="AX35" s="21">
        <f t="shared" si="6"/>
        <v>39.280549608242218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12.4</v>
      </c>
      <c r="BD35" s="12">
        <f>IF('Données projet'!$A$88&gt;35,BD34+BC35-BL34,IF(A35&lt;'Données projet'!$A$88,$BA$205^A35,IF(A35='Données projet'!$A$88,'Données projet'!$B$88,BD34+BC35-BL34)))</f>
        <v>197.8000000000001</v>
      </c>
      <c r="BE35" s="13">
        <f>BD35*VLOOKUP('Données projet'!$B$11,Paramètres!$A$1:$I$89,3,0)*VLOOKUP('Données projet'!$B$11,Paramètres!$A$1:$I$89,5,0)</f>
        <v>118.28440000000006</v>
      </c>
      <c r="BF35" s="13">
        <f t="shared" si="37"/>
        <v>31.274529043461754</v>
      </c>
      <c r="BG35" s="20">
        <f t="shared" si="7"/>
        <v>260.4818014173627</v>
      </c>
      <c r="BH35" s="59">
        <f t="shared" si="8"/>
        <v>553.81513475069596</v>
      </c>
      <c r="BI35" s="59">
        <f ca="1">AVERAGE(OFFSET($BH$3,0,0,'Données projet'!$E$11+1,1))-AVERAGE(OFFSET($H$3,0,0,'Données projet'!$E$11+1,1))</f>
        <v>289.66713787052475</v>
      </c>
      <c r="BJ35" s="59">
        <f t="shared" si="38"/>
        <v>298.29439200198652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17.060269872423884</v>
      </c>
      <c r="BR35" s="21">
        <f>EXP(-LN(2)/2)*BR34+(1-EXP(-LN(2)/2))/(LN(2)/2)*BL35*BO35*VLOOKUP('Données projet'!$B$11,Paramètres!$A$1:$I$89,3,0)*0.475*44/12</f>
        <v>14.340235090932509</v>
      </c>
      <c r="BS35" s="22">
        <f t="shared" si="9"/>
        <v>31.400504963356394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24.3</v>
      </c>
      <c r="N36" s="13">
        <f>IF('Données projet'!$A$36&gt;35,N35+M36-V35,IF(A36&lt;'Données projet'!$A$36,$K$205^A36,IF(A36='Données projet'!$A$36,'Données projet'!$B$36,N35+M36-V35)))</f>
        <v>306.89999999999998</v>
      </c>
      <c r="O36" s="13">
        <f>N36*VLOOKUP('Données projet'!$B$9,Paramètres!$A$1:$I$89,3,0)*VLOOKUP('Données projet'!$B$9,Paramètres!$A$1:$I$89,5,0)</f>
        <v>171.55709999999999</v>
      </c>
      <c r="P36" s="13">
        <f t="shared" si="33"/>
        <v>43.43857691318567</v>
      </c>
      <c r="Q36" s="20">
        <f t="shared" si="53"/>
        <v>374.45080395713165</v>
      </c>
      <c r="R36" s="59">
        <f t="shared" si="0"/>
        <v>667.78413729046497</v>
      </c>
      <c r="S36" s="59">
        <f ca="1">AVERAGE(OFFSET($R$3,0,0,'Données projet'!$E$9+1,1))-AVERAGE(OFFSET($H$3,0,0,'Données projet'!$E$9+1,1))</f>
        <v>394.9953131332565</v>
      </c>
      <c r="T36" s="59">
        <f t="shared" si="34"/>
        <v>399.58193819355591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9.6850267269650914</v>
      </c>
      <c r="AA36" s="21">
        <f>EXP(-LN(2)/25)*AA35+(1-EXP(-LN(2)/25))/(LN(2)/25)*Calculateur!V36*Calculateur!X36*VLOOKUP('Données projet'!$B$9,Paramètres!$A$1:$I$89,3,0)*0.475*44/12</f>
        <v>30.739474540916397</v>
      </c>
      <c r="AB36" s="21">
        <f>EXP(-LN(2)/2)*AB35+(1-EXP(-LN(2)/2))/(LN(2)/2)*V36*Y36*VLOOKUP('Données projet'!$B$9,Paramètres!$A$1:$I$89,3,0)*0.475*44/12</f>
        <v>11.5717192269255</v>
      </c>
      <c r="AC36" s="22">
        <f t="shared" si="3"/>
        <v>51.996220494806991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25.3</v>
      </c>
      <c r="AI36" s="13">
        <f>IF('Données projet'!$A$62&gt;35,AI35+AH36-AQ35,IF(A36&lt;'Données projet'!$A$62,$AF$205^A36,IF(A36='Données projet'!$A$62,'Données projet'!$B$62,AI35+AH36-AQ35)))</f>
        <v>321.89999999999992</v>
      </c>
      <c r="AJ36" s="13">
        <f>AI36*VLOOKUP('Données projet'!$B$10,Paramètres!$A$1:$I$89,3,0)*VLOOKUP('Données projet'!$B$10,Paramètres!$A$1:$I$89,5,0)</f>
        <v>154.83389999999997</v>
      </c>
      <c r="AK36" s="13">
        <f t="shared" si="35"/>
        <v>39.675070702121111</v>
      </c>
      <c r="AL36" s="20">
        <f t="shared" si="4"/>
        <v>338.76979063952751</v>
      </c>
      <c r="AM36" s="59">
        <f t="shared" si="5"/>
        <v>632.10312397286089</v>
      </c>
      <c r="AN36" s="59">
        <f ca="1">AVERAGE(OFFSET($AM$3,0,0,'Données projet'!$E$10+1,1))-AVERAGE(OFFSET($H$3,0,0,'Données projet'!$E$10+1,1))</f>
        <v>364.67510777943329</v>
      </c>
      <c r="AO36" s="59">
        <f t="shared" si="36"/>
        <v>352.13878061387169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8.3336276487839154</v>
      </c>
      <c r="AV36" s="21">
        <f>EXP(-LN(2)/25)*AV35+(1-EXP(-LN(2)/25))/(LN(2)/25)*Calculateur!AQ36*Calculateur!AS36*VLOOKUP('Données projet'!$B$10,Paramètres!$A$1:$I$89,3,0)*0.475*44/12</f>
        <v>16.577403471734158</v>
      </c>
      <c r="AW36" s="21">
        <f>EXP(-LN(2)/2)*AW35+(1-EXP(-LN(2)/2))/(LN(2)/2)*AQ36*AT36*VLOOKUP('Données projet'!$B$10,Paramètres!$A$1:$I$89,3,0)*0.475*44/12</f>
        <v>9.7133690697808763</v>
      </c>
      <c r="AX36" s="21">
        <f t="shared" si="6"/>
        <v>34.62440019029895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12.4</v>
      </c>
      <c r="BD36" s="12">
        <f>IF('Données projet'!$A$88&gt;35,BD35+BC36-BL35,IF(A36&lt;'Données projet'!$A$88,$BA$205^A36,IF(A36='Données projet'!$A$88,'Données projet'!$B$88,BD35+BC36-BL35)))</f>
        <v>210.2000000000001</v>
      </c>
      <c r="BE36" s="13">
        <f>BD36*VLOOKUP('Données projet'!$B$11,Paramètres!$A$1:$I$89,3,0)*VLOOKUP('Données projet'!$B$11,Paramètres!$A$1:$I$89,5,0)</f>
        <v>125.69960000000007</v>
      </c>
      <c r="BF36" s="13">
        <f t="shared" si="37"/>
        <v>33.000726063948221</v>
      </c>
      <c r="BG36" s="20">
        <f t="shared" si="7"/>
        <v>276.40306789470998</v>
      </c>
      <c r="BH36" s="59">
        <f t="shared" si="8"/>
        <v>569.73640122804329</v>
      </c>
      <c r="BI36" s="59">
        <f ca="1">AVERAGE(OFFSET($BH$3,0,0,'Données projet'!$E$11+1,1))-AVERAGE(OFFSET($H$3,0,0,'Données projet'!$E$11+1,1))</f>
        <v>289.66713787052475</v>
      </c>
      <c r="BJ36" s="59">
        <f t="shared" si="38"/>
        <v>298.29439200198652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16.593755895601852</v>
      </c>
      <c r="BR36" s="21">
        <f>EXP(-LN(2)/2)*BR35+(1-EXP(-LN(2)/2))/(LN(2)/2)*BL36*BO36*VLOOKUP('Données projet'!$B$11,Paramètres!$A$1:$I$89,3,0)*0.475*44/12</f>
        <v>10.140077476607665</v>
      </c>
      <c r="BS36" s="22">
        <f t="shared" si="9"/>
        <v>26.733833372209517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24.3</v>
      </c>
      <c r="N37" s="13">
        <f>IF('Données projet'!$A$36&gt;35,N36+M37-V36,IF(A37&lt;'Données projet'!$A$36,$K$205^A37,IF(A37='Données projet'!$A$36,'Données projet'!$B$36,N36+M37-V36)))</f>
        <v>331.2</v>
      </c>
      <c r="O37" s="13">
        <f>N37*VLOOKUP('Données projet'!$B$9,Paramètres!$A$1:$I$89,3,0)*VLOOKUP('Données projet'!$B$9,Paramètres!$A$1:$I$89,5,0)</f>
        <v>185.14080000000001</v>
      </c>
      <c r="P37" s="13">
        <f t="shared" si="33"/>
        <v>46.464038253813506</v>
      </c>
      <c r="Q37" s="20">
        <f t="shared" si="53"/>
        <v>403.3784266253918</v>
      </c>
      <c r="R37" s="59">
        <f t="shared" si="0"/>
        <v>696.71175995872511</v>
      </c>
      <c r="S37" s="59">
        <f ca="1">AVERAGE(OFFSET($R$3,0,0,'Données projet'!$E$9+1,1))-AVERAGE(OFFSET($H$3,0,0,'Données projet'!$E$9+1,1))</f>
        <v>394.9953131332565</v>
      </c>
      <c r="T37" s="59">
        <f t="shared" si="34"/>
        <v>399.58193819355591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9.4951092601323133</v>
      </c>
      <c r="AA37" s="21">
        <f>EXP(-LN(2)/25)*AA36+(1-EXP(-LN(2)/25))/(LN(2)/25)*Calculateur!V37*Calculateur!X37*VLOOKUP('Données projet'!$B$9,Paramètres!$A$1:$I$89,3,0)*0.475*44/12</f>
        <v>29.898901993076329</v>
      </c>
      <c r="AB37" s="21">
        <f>EXP(-LN(2)/2)*AB36+(1-EXP(-LN(2)/2))/(LN(2)/2)*V37*Y37*VLOOKUP('Données projet'!$B$9,Paramètres!$A$1:$I$89,3,0)*0.475*44/12</f>
        <v>8.1824411353457744</v>
      </c>
      <c r="AC37" s="22">
        <f t="shared" si="3"/>
        <v>47.576452388554422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25.3</v>
      </c>
      <c r="AI37" s="13">
        <f>IF('Données projet'!$A$62&gt;35,AI36+AH37-AQ36,IF(A37&lt;'Données projet'!$A$62,$AF$205^A37,IF(A37='Données projet'!$A$62,'Données projet'!$B$62,AI36+AH37-AQ36)))</f>
        <v>347.19999999999993</v>
      </c>
      <c r="AJ37" s="13">
        <f>AI37*VLOOKUP('Données projet'!$B$10,Paramètres!$A$1:$I$89,3,0)*VLOOKUP('Données projet'!$B$10,Paramètres!$A$1:$I$89,5,0)</f>
        <v>167.00319999999996</v>
      </c>
      <c r="AK37" s="13">
        <f t="shared" si="35"/>
        <v>42.418146906240658</v>
      </c>
      <c r="AL37" s="20">
        <f t="shared" si="4"/>
        <v>364.74217919503576</v>
      </c>
      <c r="AM37" s="59">
        <f t="shared" si="5"/>
        <v>658.07551252836902</v>
      </c>
      <c r="AN37" s="59">
        <f ca="1">AVERAGE(OFFSET($AM$3,0,0,'Données projet'!$E$10+1,1))-AVERAGE(OFFSET($H$3,0,0,'Données projet'!$E$10+1,1))</f>
        <v>364.67510777943329</v>
      </c>
      <c r="AO37" s="59">
        <f t="shared" si="36"/>
        <v>352.13878061387169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8.1702102936022225</v>
      </c>
      <c r="AV37" s="21">
        <f>EXP(-LN(2)/25)*AV36+(1-EXP(-LN(2)/25))/(LN(2)/25)*Calculateur!AQ37*Calculateur!AS37*VLOOKUP('Données projet'!$B$10,Paramètres!$A$1:$I$89,3,0)*0.475*44/12</f>
        <v>16.124093502031826</v>
      </c>
      <c r="AW37" s="21">
        <f>EXP(-LN(2)/2)*AW36+(1-EXP(-LN(2)/2))/(LN(2)/2)*AQ37*AT37*VLOOKUP('Données projet'!$B$10,Paramètres!$A$1:$I$89,3,0)*0.475*44/12</f>
        <v>6.868389137409725</v>
      </c>
      <c r="AX37" s="21">
        <f t="shared" si="6"/>
        <v>31.162692933043775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12.4</v>
      </c>
      <c r="BD37" s="12">
        <f>IF('Données projet'!$A$88&gt;35,BD36+BC37-BL36,IF(A37&lt;'Données projet'!$A$88,$BA$205^A37,IF(A37='Données projet'!$A$88,'Données projet'!$B$88,BD36+BC37-BL36)))</f>
        <v>222.60000000000011</v>
      </c>
      <c r="BE37" s="13">
        <f>BD37*VLOOKUP('Données projet'!$B$11,Paramètres!$A$1:$I$89,3,0)*VLOOKUP('Données projet'!$B$11,Paramètres!$A$1:$I$89,5,0)</f>
        <v>133.11480000000009</v>
      </c>
      <c r="BF37" s="13">
        <f t="shared" si="37"/>
        <v>34.715103341058125</v>
      </c>
      <c r="BG37" s="20">
        <f t="shared" si="7"/>
        <v>292.30374831900969</v>
      </c>
      <c r="BH37" s="59">
        <f t="shared" si="8"/>
        <v>585.637081652343</v>
      </c>
      <c r="BI37" s="59">
        <f ca="1">AVERAGE(OFFSET($BH$3,0,0,'Données projet'!$E$11+1,1))-AVERAGE(OFFSET($H$3,0,0,'Données projet'!$E$11+1,1))</f>
        <v>289.66713787052475</v>
      </c>
      <c r="BJ37" s="59">
        <f t="shared" si="38"/>
        <v>298.29439200198652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16.139998768008923</v>
      </c>
      <c r="BR37" s="21">
        <f>EXP(-LN(2)/2)*BR36+(1-EXP(-LN(2)/2))/(LN(2)/2)*BL37*BO37*VLOOKUP('Données projet'!$B$11,Paramètres!$A$1:$I$89,3,0)*0.475*44/12</f>
        <v>7.1701175454662556</v>
      </c>
      <c r="BS37" s="22">
        <f t="shared" si="9"/>
        <v>23.310116313475177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24.3</v>
      </c>
      <c r="N38" s="13">
        <f>IF('Données projet'!$A$36&gt;35,N37+M38-V37,IF(A38&lt;'Données projet'!$A$36,$K$205^A38,IF(A38='Données projet'!$A$36,'Données projet'!$B$36,N37+M38-V37)))</f>
        <v>355.5</v>
      </c>
      <c r="O38" s="13">
        <f>N38*VLOOKUP('Données projet'!$B$9,Paramètres!$A$1:$I$89,3,0)*VLOOKUP('Données projet'!$B$9,Paramètres!$A$1:$I$89,5,0)</f>
        <v>198.72450000000001</v>
      </c>
      <c r="P38" s="13">
        <f t="shared" si="33"/>
        <v>49.463747138023976</v>
      </c>
      <c r="Q38" s="20">
        <f t="shared" si="53"/>
        <v>432.26119709872506</v>
      </c>
      <c r="R38" s="59">
        <f t="shared" si="0"/>
        <v>725.59453043205838</v>
      </c>
      <c r="S38" s="59">
        <f ca="1">AVERAGE(OFFSET($R$3,0,0,'Données projet'!$E$9+1,1))-AVERAGE(OFFSET($H$3,0,0,'Données projet'!$E$9+1,1))</f>
        <v>394.9953131332565</v>
      </c>
      <c r="T38" s="59">
        <f t="shared" si="34"/>
        <v>399.58193819355591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9.3089159589859101</v>
      </c>
      <c r="AA38" s="21">
        <f>EXP(-LN(2)/25)*AA37+(1-EXP(-LN(2)/25))/(LN(2)/25)*Calculateur!V38*Calculateur!X38*VLOOKUP('Données projet'!$B$9,Paramètres!$A$1:$I$89,3,0)*0.475*44/12</f>
        <v>29.081314945760735</v>
      </c>
      <c r="AB38" s="21">
        <f>EXP(-LN(2)/2)*AB37+(1-EXP(-LN(2)/2))/(LN(2)/2)*V38*Y38*VLOOKUP('Données projet'!$B$9,Paramètres!$A$1:$I$89,3,0)*0.475*44/12</f>
        <v>5.7858596134627502</v>
      </c>
      <c r="AC38" s="22">
        <f t="shared" si="3"/>
        <v>44.176090518209392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25.3</v>
      </c>
      <c r="AI38" s="13">
        <f>IF('Données projet'!$A$62&gt;35,AI37+AH38-AQ37,IF(A38&lt;'Données projet'!$A$62,$AF$205^A38,IF(A38='Données projet'!$A$62,'Données projet'!$B$62,AI37+AH38-AQ37)))</f>
        <v>372.49999999999994</v>
      </c>
      <c r="AJ38" s="13">
        <f>AI38*VLOOKUP('Données projet'!$B$10,Paramètres!$A$1:$I$89,3,0)*VLOOKUP('Données projet'!$B$10,Paramètres!$A$1:$I$89,5,0)</f>
        <v>179.17249999999999</v>
      </c>
      <c r="AK38" s="13">
        <f t="shared" si="35"/>
        <v>45.138033319444268</v>
      </c>
      <c r="AL38" s="20">
        <f t="shared" si="4"/>
        <v>390.67417886469872</v>
      </c>
      <c r="AM38" s="59">
        <f t="shared" si="5"/>
        <v>684.00751219803203</v>
      </c>
      <c r="AN38" s="59">
        <f ca="1">AVERAGE(OFFSET($AM$3,0,0,'Données projet'!$E$10+1,1))-AVERAGE(OFFSET($H$3,0,0,'Données projet'!$E$10+1,1))</f>
        <v>364.67510777943329</v>
      </c>
      <c r="AO38" s="59">
        <f t="shared" si="36"/>
        <v>352.13878061387169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8.0099974530808993</v>
      </c>
      <c r="AV38" s="21">
        <f>EXP(-LN(2)/25)*AV37+(1-EXP(-LN(2)/25))/(LN(2)/25)*Calculateur!AQ38*Calculateur!AS38*VLOOKUP('Données projet'!$B$10,Paramètres!$A$1:$I$89,3,0)*0.475*44/12</f>
        <v>15.683179317289541</v>
      </c>
      <c r="AW38" s="21">
        <f>EXP(-LN(2)/2)*AW37+(1-EXP(-LN(2)/2))/(LN(2)/2)*AQ38*AT38*VLOOKUP('Données projet'!$B$10,Paramètres!$A$1:$I$89,3,0)*0.475*44/12</f>
        <v>4.8566845348904391</v>
      </c>
      <c r="AX38" s="21">
        <f t="shared" si="6"/>
        <v>28.549861305260883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12.4</v>
      </c>
      <c r="BD38" s="12">
        <f>IF('Données projet'!$A$88&gt;35,BD37+BC38-BL37,IF(A38&lt;'Données projet'!$A$88,$BA$205^A38,IF(A38='Données projet'!$A$88,'Données projet'!$B$88,BD37+BC38-BL37)))</f>
        <v>235.00000000000011</v>
      </c>
      <c r="BE38" s="13">
        <f>BD38*VLOOKUP('Données projet'!$B$11,Paramètres!$A$1:$I$89,3,0)*VLOOKUP('Données projet'!$B$11,Paramètres!$A$1:$I$89,5,0)</f>
        <v>140.53000000000006</v>
      </c>
      <c r="BF38" s="13">
        <f t="shared" si="37"/>
        <v>36.418394338798777</v>
      </c>
      <c r="BG38" s="20">
        <f t="shared" si="7"/>
        <v>308.18512014007462</v>
      </c>
      <c r="BH38" s="59">
        <f t="shared" si="8"/>
        <v>601.51845347340793</v>
      </c>
      <c r="BI38" s="59">
        <f ca="1">AVERAGE(OFFSET($BH$3,0,0,'Données projet'!$E$11+1,1))-AVERAGE(OFFSET($H$3,0,0,'Données projet'!$E$11+1,1))</f>
        <v>289.66713787052475</v>
      </c>
      <c r="BJ38" s="59">
        <f t="shared" si="38"/>
        <v>298.29439200198652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15.698649652932072</v>
      </c>
      <c r="BR38" s="21">
        <f>EXP(-LN(2)/2)*BR37+(1-EXP(-LN(2)/2))/(LN(2)/2)*BL38*BO38*VLOOKUP('Données projet'!$B$11,Paramètres!$A$1:$I$89,3,0)*0.475*44/12</f>
        <v>5.0700387383038334</v>
      </c>
      <c r="BS38" s="22">
        <f t="shared" si="9"/>
        <v>20.768688391235905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24.3</v>
      </c>
      <c r="N39" s="13">
        <f>IF('Données projet'!$A$36&gt;35,N38+M39-V38,IF(A39&lt;'Données projet'!$A$36,$K$205^A39,IF(A39='Données projet'!$A$36,'Données projet'!$B$36,N38+M39-V38)))</f>
        <v>379.8</v>
      </c>
      <c r="O39" s="13">
        <f>N39*VLOOKUP('Données projet'!$B$9,Paramètres!$A$1:$I$89,3,0)*VLOOKUP('Données projet'!$B$9,Paramètres!$A$1:$I$89,5,0)</f>
        <v>212.3082</v>
      </c>
      <c r="P39" s="13">
        <f t="shared" si="33"/>
        <v>52.439664118821788</v>
      </c>
      <c r="Q39" s="20">
        <f t="shared" si="53"/>
        <v>461.10253000694792</v>
      </c>
      <c r="R39" s="59">
        <f t="shared" si="0"/>
        <v>754.43586334028123</v>
      </c>
      <c r="S39" s="59">
        <f ca="1">AVERAGE(OFFSET($R$3,0,0,'Données projet'!$E$9+1,1))-AVERAGE(OFFSET($H$3,0,0,'Données projet'!$E$9+1,1))</f>
        <v>394.9953131332565</v>
      </c>
      <c r="T39" s="59">
        <f t="shared" si="34"/>
        <v>399.58193819355591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9.1263737949082877</v>
      </c>
      <c r="AA39" s="21">
        <f>EXP(-LN(2)/25)*AA38+(1-EXP(-LN(2)/25))/(LN(2)/25)*Calculateur!V39*Calculateur!X39*VLOOKUP('Données projet'!$B$9,Paramètres!$A$1:$I$89,3,0)*0.475*44/12</f>
        <v>28.286084859249019</v>
      </c>
      <c r="AB39" s="21">
        <f>EXP(-LN(2)/2)*AB38+(1-EXP(-LN(2)/2))/(LN(2)/2)*V39*Y39*VLOOKUP('Données projet'!$B$9,Paramètres!$A$1:$I$89,3,0)*0.475*44/12</f>
        <v>4.0912205676728872</v>
      </c>
      <c r="AC39" s="22">
        <f t="shared" si="3"/>
        <v>41.50367922183019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25.3</v>
      </c>
      <c r="AI39" s="13">
        <f>IF('Données projet'!$A$62&gt;35,AI38+AH39-AQ38,IF(A39&lt;'Données projet'!$A$62,$AF$205^A39,IF(A39='Données projet'!$A$62,'Données projet'!$B$62,AI38+AH39-AQ38)))</f>
        <v>397.79999999999995</v>
      </c>
      <c r="AJ39" s="13">
        <f>AI39*VLOOKUP('Données projet'!$B$10,Paramètres!$A$1:$I$89,3,0)*VLOOKUP('Données projet'!$B$10,Paramètres!$A$1:$I$89,5,0)</f>
        <v>191.34179999999998</v>
      </c>
      <c r="AK39" s="13">
        <f t="shared" si="35"/>
        <v>47.836484170643416</v>
      </c>
      <c r="AL39" s="20">
        <f t="shared" si="4"/>
        <v>416.56884493053718</v>
      </c>
      <c r="AM39" s="59">
        <f t="shared" si="5"/>
        <v>709.9021782638705</v>
      </c>
      <c r="AN39" s="59">
        <f ca="1">AVERAGE(OFFSET($AM$3,0,0,'Données projet'!$E$10+1,1))-AVERAGE(OFFSET($H$3,0,0,'Données projet'!$E$10+1,1))</f>
        <v>364.67510777943329</v>
      </c>
      <c r="AO39" s="59">
        <f t="shared" si="36"/>
        <v>352.13878061387169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7.8529262886420144</v>
      </c>
      <c r="AV39" s="21">
        <f>EXP(-LN(2)/25)*AV38+(1-EXP(-LN(2)/25))/(LN(2)/25)*Calculateur!AQ39*Calculateur!AS39*VLOOKUP('Données projet'!$B$10,Paramètres!$A$1:$I$89,3,0)*0.475*44/12</f>
        <v>15.254321954115703</v>
      </c>
      <c r="AW39" s="21">
        <f>EXP(-LN(2)/2)*AW38+(1-EXP(-LN(2)/2))/(LN(2)/2)*AQ39*AT39*VLOOKUP('Données projet'!$B$10,Paramètres!$A$1:$I$89,3,0)*0.475*44/12</f>
        <v>3.4341945687048634</v>
      </c>
      <c r="AX39" s="21">
        <f t="shared" si="6"/>
        <v>26.541442811462581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12.4</v>
      </c>
      <c r="BD39" s="12">
        <f>IF('Données projet'!$A$88&gt;35,BD38+BC39-BL38,IF(A39&lt;'Données projet'!$A$88,$BA$205^A39,IF(A39='Données projet'!$A$88,'Données projet'!$B$88,BD38+BC39-BL38)))</f>
        <v>247.40000000000012</v>
      </c>
      <c r="BE39" s="13">
        <f>BD39*VLOOKUP('Données projet'!$B$11,Paramètres!$A$1:$I$89,3,0)*VLOOKUP('Données projet'!$B$11,Paramètres!$A$1:$I$89,5,0)</f>
        <v>147.94520000000009</v>
      </c>
      <c r="BF39" s="13">
        <f t="shared" si="37"/>
        <v>38.11125074558732</v>
      </c>
      <c r="BG39" s="20">
        <f t="shared" si="7"/>
        <v>324.04831838189801</v>
      </c>
      <c r="BH39" s="59">
        <f t="shared" si="8"/>
        <v>617.38165171523133</v>
      </c>
      <c r="BI39" s="59">
        <f ca="1">AVERAGE(OFFSET($BH$3,0,0,'Données projet'!$E$11+1,1))-AVERAGE(OFFSET($H$3,0,0,'Données projet'!$E$11+1,1))</f>
        <v>289.66713787052475</v>
      </c>
      <c r="BJ39" s="59">
        <f t="shared" si="38"/>
        <v>298.29439200198652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15.26936925261654</v>
      </c>
      <c r="BR39" s="21">
        <f>EXP(-LN(2)/2)*BR38+(1-EXP(-LN(2)/2))/(LN(2)/2)*BL39*BO39*VLOOKUP('Données projet'!$B$11,Paramètres!$A$1:$I$89,3,0)*0.475*44/12</f>
        <v>3.5850587727331287</v>
      </c>
      <c r="BS39" s="22">
        <f t="shared" si="9"/>
        <v>18.854428025349669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24.3</v>
      </c>
      <c r="N40" s="13">
        <f>IF('Données projet'!$A$36&gt;35,N39+M40-V39,IF(A40&lt;'Données projet'!$A$36,$K$205^A40,IF(A40='Données projet'!$A$36,'Données projet'!$B$36,N39+M40-V39)))</f>
        <v>404.1</v>
      </c>
      <c r="O40" s="13">
        <f>N40*VLOOKUP('Données projet'!$B$9,Paramètres!$A$1:$I$89,3,0)*VLOOKUP('Données projet'!$B$9,Paramètres!$A$1:$I$89,5,0)</f>
        <v>225.89190000000002</v>
      </c>
      <c r="P40" s="13">
        <f t="shared" si="33"/>
        <v>55.393484688971533</v>
      </c>
      <c r="Q40" s="20">
        <f t="shared" si="53"/>
        <v>489.90537833329205</v>
      </c>
      <c r="R40" s="59">
        <f t="shared" si="0"/>
        <v>783.23871166662536</v>
      </c>
      <c r="S40" s="59">
        <f ca="1">AVERAGE(OFFSET($R$3,0,0,'Données projet'!$E$9+1,1))-AVERAGE(OFFSET($H$3,0,0,'Données projet'!$E$9+1,1))</f>
        <v>394.9953131332565</v>
      </c>
      <c r="T40" s="59">
        <f t="shared" si="34"/>
        <v>399.58193819355591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8.9474111713285005</v>
      </c>
      <c r="AA40" s="21">
        <f>EXP(-LN(2)/25)*AA39+(1-EXP(-LN(2)/25))/(LN(2)/25)*Calculateur!V40*Calculateur!X40*VLOOKUP('Données projet'!$B$9,Paramètres!$A$1:$I$89,3,0)*0.475*44/12</f>
        <v>27.5126003812723</v>
      </c>
      <c r="AB40" s="21">
        <f>EXP(-LN(2)/2)*AB39+(1-EXP(-LN(2)/2))/(LN(2)/2)*V40*Y40*VLOOKUP('Données projet'!$B$9,Paramètres!$A$1:$I$89,3,0)*0.475*44/12</f>
        <v>2.8929298067313751</v>
      </c>
      <c r="AC40" s="22">
        <f t="shared" si="3"/>
        <v>39.352941359332178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25.3</v>
      </c>
      <c r="AI40" s="13">
        <f>IF('Données projet'!$A$62&gt;35,AI39+AH40-AQ39,IF(A40&lt;'Données projet'!$A$62,$AF$205^A40,IF(A40='Données projet'!$A$62,'Données projet'!$B$62,AI39+AH40-AQ39)))</f>
        <v>423.09999999999997</v>
      </c>
      <c r="AJ40" s="13">
        <f>AI40*VLOOKUP('Données projet'!$B$10,Paramètres!$A$1:$I$89,3,0)*VLOOKUP('Données projet'!$B$10,Paramètres!$A$1:$I$89,5,0)</f>
        <v>203.5111</v>
      </c>
      <c r="AK40" s="13">
        <f t="shared" si="35"/>
        <v>50.515017937063924</v>
      </c>
      <c r="AL40" s="20">
        <f t="shared" si="4"/>
        <v>442.42882207371969</v>
      </c>
      <c r="AM40" s="59">
        <f t="shared" si="5"/>
        <v>735.762155407053</v>
      </c>
      <c r="AN40" s="59">
        <f ca="1">AVERAGE(OFFSET($AM$3,0,0,'Données projet'!$E$10+1,1))-AVERAGE(OFFSET($H$3,0,0,'Données projet'!$E$10+1,1))</f>
        <v>364.67510777943329</v>
      </c>
      <c r="AO40" s="59">
        <f t="shared" si="36"/>
        <v>352.13878061387169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7.698935193933826</v>
      </c>
      <c r="AV40" s="21">
        <f>EXP(-LN(2)/25)*AV39+(1-EXP(-LN(2)/25))/(LN(2)/25)*Calculateur!AQ40*Calculateur!AS40*VLOOKUP('Données projet'!$B$10,Paramètres!$A$1:$I$89,3,0)*0.475*44/12</f>
        <v>14.837191718090482</v>
      </c>
      <c r="AW40" s="21">
        <f>EXP(-LN(2)/2)*AW39+(1-EXP(-LN(2)/2))/(LN(2)/2)*AQ40*AT40*VLOOKUP('Données projet'!$B$10,Paramètres!$A$1:$I$89,3,0)*0.475*44/12</f>
        <v>2.42834226744522</v>
      </c>
      <c r="AX40" s="21">
        <f t="shared" si="6"/>
        <v>24.964469179469528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12.4</v>
      </c>
      <c r="BD40" s="12">
        <f>IF('Données projet'!$A$88&gt;35,BD39+BC40-BL39,IF(A40&lt;'Données projet'!$A$88,$BA$205^A40,IF(A40='Données projet'!$A$88,'Données projet'!$B$88,BD39+BC40-BL39)))</f>
        <v>259.80000000000013</v>
      </c>
      <c r="BE40" s="13">
        <f>BD40*VLOOKUP('Données projet'!$B$11,Paramètres!$A$1:$I$89,3,0)*VLOOKUP('Données projet'!$B$11,Paramètres!$A$1:$I$89,5,0)</f>
        <v>155.36040000000008</v>
      </c>
      <c r="BF40" s="13">
        <f t="shared" si="37"/>
        <v>39.79425523270892</v>
      </c>
      <c r="BG40" s="20">
        <f t="shared" si="7"/>
        <v>339.89435786363481</v>
      </c>
      <c r="BH40" s="59">
        <f t="shared" si="8"/>
        <v>633.22769119696818</v>
      </c>
      <c r="BI40" s="59">
        <f ca="1">AVERAGE(OFFSET($BH$3,0,0,'Données projet'!$E$11+1,1))-AVERAGE(OFFSET($H$3,0,0,'Données projet'!$E$11+1,1))</f>
        <v>289.66713787052475</v>
      </c>
      <c r="BJ40" s="59">
        <f t="shared" si="38"/>
        <v>298.29439200198652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14.851827547422511</v>
      </c>
      <c r="BR40" s="21">
        <f>EXP(-LN(2)/2)*BR39+(1-EXP(-LN(2)/2))/(LN(2)/2)*BL40*BO40*VLOOKUP('Données projet'!$B$11,Paramètres!$A$1:$I$89,3,0)*0.475*44/12</f>
        <v>2.5350193691519172</v>
      </c>
      <c r="BS40" s="22">
        <f t="shared" si="9"/>
        <v>17.386846916574427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24.3</v>
      </c>
      <c r="N41" s="13">
        <f>IF('Données projet'!$A$36&gt;35,N40+M41-V40,IF(A41&lt;'Données projet'!$A$36,$K$205^A41,IF(A41='Données projet'!$A$36,'Données projet'!$B$36,N40+M41-V40)))</f>
        <v>428.40000000000003</v>
      </c>
      <c r="O41" s="13">
        <f>N41*VLOOKUP('Données projet'!$B$9,Paramètres!$A$1:$I$89,3,0)*VLOOKUP('Données projet'!$B$9,Paramètres!$A$1:$I$89,5,0)</f>
        <v>239.47560000000004</v>
      </c>
      <c r="P41" s="13">
        <f t="shared" si="33"/>
        <v>58.326688908078204</v>
      </c>
      <c r="Q41" s="20">
        <f t="shared" si="53"/>
        <v>518.67231984823627</v>
      </c>
      <c r="R41" s="59">
        <f t="shared" si="0"/>
        <v>812.00565318156964</v>
      </c>
      <c r="S41" s="59">
        <f ca="1">AVERAGE(OFFSET($R$3,0,0,'Données projet'!$E$9+1,1))-AVERAGE(OFFSET($H$3,0,0,'Données projet'!$E$9+1,1))</f>
        <v>394.9953131332565</v>
      </c>
      <c r="T41" s="59">
        <f t="shared" si="34"/>
        <v>399.58193819355591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8.7719578956406909</v>
      </c>
      <c r="AA41" s="21">
        <f>EXP(-LN(2)/25)*AA40+(1-EXP(-LN(2)/25))/(LN(2)/25)*Calculateur!V41*Calculateur!X41*VLOOKUP('Données projet'!$B$9,Paramètres!$A$1:$I$89,3,0)*0.475*44/12</f>
        <v>26.760266877021635</v>
      </c>
      <c r="AB41" s="21">
        <f>EXP(-LN(2)/2)*AB40+(1-EXP(-LN(2)/2))/(LN(2)/2)*V41*Y41*VLOOKUP('Données projet'!$B$9,Paramètres!$A$1:$I$89,3,0)*0.475*44/12</f>
        <v>2.0456102838364436</v>
      </c>
      <c r="AC41" s="22">
        <f t="shared" si="3"/>
        <v>37.57783505649877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25.3</v>
      </c>
      <c r="AI41" s="13">
        <f>IF('Données projet'!$A$62&gt;35,AI40+AH41-AQ40,IF(A41&lt;'Données projet'!$A$62,$AF$205^A41,IF(A41='Données projet'!$A$62,'Données projet'!$B$62,AI40+AH41-AQ40)))</f>
        <v>448.4</v>
      </c>
      <c r="AJ41" s="13">
        <f>AI41*VLOOKUP('Données projet'!$B$10,Paramètres!$A$1:$I$89,3,0)*VLOOKUP('Données projet'!$B$10,Paramètres!$A$1:$I$89,5,0)</f>
        <v>215.68039999999999</v>
      </c>
      <c r="AK41" s="13">
        <f t="shared" si="35"/>
        <v>53.174961236135232</v>
      </c>
      <c r="AL41" s="20">
        <f t="shared" si="4"/>
        <v>468.25642081960217</v>
      </c>
      <c r="AM41" s="59">
        <f t="shared" si="5"/>
        <v>761.58975415293548</v>
      </c>
      <c r="AN41" s="59">
        <f ca="1">AVERAGE(OFFSET($AM$3,0,0,'Données projet'!$E$10+1,1))-AVERAGE(OFFSET($H$3,0,0,'Données projet'!$E$10+1,1))</f>
        <v>364.67510777943329</v>
      </c>
      <c r="AO41" s="59">
        <f t="shared" si="36"/>
        <v>352.13878061387169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7.5479637706675717</v>
      </c>
      <c r="AV41" s="21">
        <f>EXP(-LN(2)/25)*AV40+(1-EXP(-LN(2)/25))/(LN(2)/25)*Calculateur!AQ41*Calculateur!AS41*VLOOKUP('Données projet'!$B$10,Paramètres!$A$1:$I$89,3,0)*0.475*44/12</f>
        <v>14.431467930305296</v>
      </c>
      <c r="AW41" s="21">
        <f>EXP(-LN(2)/2)*AW40+(1-EXP(-LN(2)/2))/(LN(2)/2)*AQ41*AT41*VLOOKUP('Données projet'!$B$10,Paramètres!$A$1:$I$89,3,0)*0.475*44/12</f>
        <v>1.7170972843524319</v>
      </c>
      <c r="AX41" s="21">
        <f t="shared" si="6"/>
        <v>23.696528985325298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12.4</v>
      </c>
      <c r="BD41" s="12">
        <f>IF('Données projet'!$A$88&gt;35,BD40+BC41-BL40,IF(A41&lt;'Données projet'!$A$88,$BA$205^A41,IF(A41='Données projet'!$A$88,'Données projet'!$B$88,BD40+BC41-BL40)))</f>
        <v>272.2000000000001</v>
      </c>
      <c r="BE41" s="13">
        <f>BD41*VLOOKUP('Données projet'!$B$11,Paramètres!$A$1:$I$89,3,0)*VLOOKUP('Données projet'!$B$11,Paramètres!$A$1:$I$89,5,0)</f>
        <v>162.77560000000005</v>
      </c>
      <c r="BF41" s="13">
        <f t="shared" si="37"/>
        <v>41.467931707956311</v>
      </c>
      <c r="BG41" s="20">
        <f t="shared" si="7"/>
        <v>355.72415105802401</v>
      </c>
      <c r="BH41" s="59">
        <f t="shared" si="8"/>
        <v>649.05748439135732</v>
      </c>
      <c r="BI41" s="59">
        <f ca="1">AVERAGE(OFFSET($BH$3,0,0,'Données projet'!$E$11+1,1))-AVERAGE(OFFSET($H$3,0,0,'Données projet'!$E$11+1,1))</f>
        <v>289.66713787052475</v>
      </c>
      <c r="BJ41" s="59">
        <f t="shared" si="38"/>
        <v>298.29439200198652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14.445703542114575</v>
      </c>
      <c r="BR41" s="21">
        <f>EXP(-LN(2)/2)*BR40+(1-EXP(-LN(2)/2))/(LN(2)/2)*BL41*BO41*VLOOKUP('Données projet'!$B$11,Paramètres!$A$1:$I$89,3,0)*0.475*44/12</f>
        <v>1.7925293863665646</v>
      </c>
      <c r="BS41" s="22">
        <f t="shared" si="9"/>
        <v>16.238232928481139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24.3</v>
      </c>
      <c r="N42" s="13">
        <f>IF('Données projet'!$A$36&gt;35,N41+M42-V41,IF(A42&lt;'Données projet'!$A$36,$K$205^A42,IF(A42='Données projet'!$A$36,'Données projet'!$B$36,N41+M42-V41)))</f>
        <v>452.70000000000005</v>
      </c>
      <c r="O42" s="13">
        <f>N42*VLOOKUP('Données projet'!$B$9,Paramètres!$A$1:$I$89,3,0)*VLOOKUP('Données projet'!$B$9,Paramètres!$A$1:$I$89,5,0)</f>
        <v>253.05930000000004</v>
      </c>
      <c r="P42" s="13">
        <f t="shared" si="33"/>
        <v>61.240579446228374</v>
      </c>
      <c r="Q42" s="20">
        <f t="shared" si="53"/>
        <v>547.40562336884784</v>
      </c>
      <c r="R42" s="59">
        <f t="shared" si="0"/>
        <v>840.73895670218121</v>
      </c>
      <c r="S42" s="59">
        <f ca="1">AVERAGE(OFFSET($R$3,0,0,'Données projet'!$E$9+1,1))-AVERAGE(OFFSET($H$3,0,0,'Données projet'!$E$9+1,1))</f>
        <v>394.9953131332565</v>
      </c>
      <c r="T42" s="59">
        <f t="shared" si="34"/>
        <v>399.58193819355591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8.5999451516731877</v>
      </c>
      <c r="AA42" s="21">
        <f>EXP(-LN(2)/25)*AA41+(1-EXP(-LN(2)/25))/(LN(2)/25)*Calculateur!V42*Calculateur!X42*VLOOKUP('Données projet'!$B$9,Paramètres!$A$1:$I$89,3,0)*0.475*44/12</f>
        <v>26.028505972008205</v>
      </c>
      <c r="AB42" s="21">
        <f>EXP(-LN(2)/2)*AB41+(1-EXP(-LN(2)/2))/(LN(2)/2)*V42*Y42*VLOOKUP('Données projet'!$B$9,Paramètres!$A$1:$I$89,3,0)*0.475*44/12</f>
        <v>1.4464649033656876</v>
      </c>
      <c r="AC42" s="22">
        <f t="shared" si="3"/>
        <v>36.074916027047081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25.3</v>
      </c>
      <c r="AI42" s="13">
        <f>IF('Données projet'!$A$62&gt;35,AI41+AH42-AQ41,IF(A42&lt;'Données projet'!$A$62,$AF$205^A42,IF(A42='Données projet'!$A$62,'Données projet'!$B$62,AI41+AH42-AQ41)))</f>
        <v>473.7</v>
      </c>
      <c r="AJ42" s="13">
        <f>AI42*VLOOKUP('Données projet'!$B$10,Paramètres!$A$1:$I$89,3,0)*VLOOKUP('Données projet'!$B$10,Paramètres!$A$1:$I$89,5,0)</f>
        <v>227.84970000000001</v>
      </c>
      <c r="AK42" s="13">
        <f t="shared" si="35"/>
        <v>55.817482526907483</v>
      </c>
      <c r="AL42" s="20">
        <f t="shared" si="4"/>
        <v>494.05367623436382</v>
      </c>
      <c r="AM42" s="59">
        <f t="shared" si="5"/>
        <v>787.38700956769708</v>
      </c>
      <c r="AN42" s="59">
        <f ca="1">AVERAGE(OFFSET($AM$3,0,0,'Données projet'!$E$10+1,1))-AVERAGE(OFFSET($H$3,0,0,'Données projet'!$E$10+1,1))</f>
        <v>364.67510777943329</v>
      </c>
      <c r="AO42" s="59">
        <f t="shared" si="36"/>
        <v>352.13878061387169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7.3999528049280929</v>
      </c>
      <c r="AV42" s="21">
        <f>EXP(-LN(2)/25)*AV41+(1-EXP(-LN(2)/25))/(LN(2)/25)*Calculateur!AQ42*Calculateur!AS42*VLOOKUP('Données projet'!$B$10,Paramètres!$A$1:$I$89,3,0)*0.475*44/12</f>
        <v>14.036838680833183</v>
      </c>
      <c r="AW42" s="21">
        <f>EXP(-LN(2)/2)*AW41+(1-EXP(-LN(2)/2))/(LN(2)/2)*AQ42*AT42*VLOOKUP('Données projet'!$B$10,Paramètres!$A$1:$I$89,3,0)*0.475*44/12</f>
        <v>1.2141711337226102</v>
      </c>
      <c r="AX42" s="21">
        <f t="shared" si="6"/>
        <v>22.650962619483884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12.4</v>
      </c>
      <c r="BD42" s="12">
        <f>IF('Données projet'!$A$88&gt;35,BD41+BC42-BL41,IF(A42&lt;'Données projet'!$A$88,$BA$205^A42,IF(A42='Données projet'!$A$88,'Données projet'!$B$88,BD41+BC42-BL41)))</f>
        <v>284.60000000000008</v>
      </c>
      <c r="BE42" s="13">
        <f>BD42*VLOOKUP('Données projet'!$B$11,Paramètres!$A$1:$I$89,3,0)*VLOOKUP('Données projet'!$B$11,Paramètres!$A$1:$I$89,5,0)</f>
        <v>170.19080000000008</v>
      </c>
      <c r="BF42" s="13">
        <f t="shared" si="37"/>
        <v>43.132753648041643</v>
      </c>
      <c r="BG42" s="20">
        <f t="shared" si="7"/>
        <v>371.53852260367267</v>
      </c>
      <c r="BH42" s="59">
        <f t="shared" si="8"/>
        <v>664.87185593700599</v>
      </c>
      <c r="BI42" s="59">
        <f ca="1">AVERAGE(OFFSET($BH$3,0,0,'Données projet'!$E$11+1,1))-AVERAGE(OFFSET($H$3,0,0,'Données projet'!$E$11+1,1))</f>
        <v>289.66713787052475</v>
      </c>
      <c r="BJ42" s="59">
        <f t="shared" si="38"/>
        <v>298.29439200198652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14.050685019088919</v>
      </c>
      <c r="BR42" s="21">
        <f>EXP(-LN(2)/2)*BR41+(1-EXP(-LN(2)/2))/(LN(2)/2)*BL42*BO42*VLOOKUP('Données projet'!$B$11,Paramètres!$A$1:$I$89,3,0)*0.475*44/12</f>
        <v>1.2675096845759588</v>
      </c>
      <c r="BS42" s="22">
        <f t="shared" si="9"/>
        <v>15.318194703664878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477</v>
      </c>
      <c r="L43" s="12">
        <f>VLOOKUP(A43,'Données projet'!$A$35:$I$55,9,0)</f>
        <v>24.3</v>
      </c>
      <c r="M43" s="12">
        <f t="array" ref="M43">INDEX(L:L,MIN(IF(ISNUMBER(L43:L239),ROW(L43:L239),"")))</f>
        <v>24.3</v>
      </c>
      <c r="N43" s="13">
        <f>IF('Données projet'!$A$36&gt;35,N42+M43-V42,IF(A43&lt;'Données projet'!$A$36,$K$205^A43,IF(A43='Données projet'!$A$36,'Données projet'!$B$36,N42+M43-V42)))</f>
        <v>477.00000000000006</v>
      </c>
      <c r="O43" s="13">
        <f>N43*VLOOKUP('Données projet'!$B$9,Paramètres!$A$1:$I$89,3,0)*VLOOKUP('Données projet'!$B$9,Paramètres!$A$1:$I$89,5,0)</f>
        <v>266.64300000000003</v>
      </c>
      <c r="P43" s="13">
        <f t="shared" si="33"/>
        <v>64.136311225795083</v>
      </c>
      <c r="Q43" s="20">
        <f t="shared" si="53"/>
        <v>576.10730038492648</v>
      </c>
      <c r="R43" s="59">
        <f t="shared" si="0"/>
        <v>869.44063371825973</v>
      </c>
      <c r="S43" s="59">
        <f ca="1">AVERAGE(OFFSET($R$3,0,0,'Données projet'!$E$9+1,1))-AVERAGE(OFFSET($H$3,0,0,'Données projet'!$E$9+1,1))</f>
        <v>394.9953131332565</v>
      </c>
      <c r="T43" s="59">
        <f t="shared" si="34"/>
        <v>399.58193819355591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126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8.4313054726974741</v>
      </c>
      <c r="AA43" s="21">
        <f>EXP(-LN(2)/25)*AA42+(1-EXP(-LN(2)/25))/(LN(2)/25)*Calculateur!V43*Calculateur!X43*VLOOKUP('Données projet'!$B$9,Paramètres!$A$1:$I$89,3,0)*0.475*44/12</f>
        <v>25.316755107424001</v>
      </c>
      <c r="AB43" s="21">
        <f>EXP(-LN(2)/2)*AB42+(1-EXP(-LN(2)/2))/(LN(2)/2)*V43*Y43*VLOOKUP('Données projet'!$B$9,Paramètres!$A$1:$I$89,3,0)*0.475*44/12</f>
        <v>1.0228051419182218</v>
      </c>
      <c r="AC43" s="22">
        <f t="shared" si="3"/>
        <v>34.770865722039694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499</v>
      </c>
      <c r="AG43" s="12">
        <f>VLOOKUP(A43,'Données projet'!$A$61:$I$81,9,0)</f>
        <v>25.3</v>
      </c>
      <c r="AH43" s="12">
        <f t="array" ref="AH43">INDEX(AG:AG,MIN(IF(ISNUMBER(AG43:AG239),ROW(AG43:AG239),"")))</f>
        <v>25.3</v>
      </c>
      <c r="AI43" s="13">
        <f>IF('Données projet'!$A$62&gt;35,AI42+AH43-AQ42,IF(A43&lt;'Données projet'!$A$62,$AF$205^A43,IF(A43='Données projet'!$A$62,'Données projet'!$B$62,AI42+AH43-AQ42)))</f>
        <v>499</v>
      </c>
      <c r="AJ43" s="13">
        <f>AI43*VLOOKUP('Données projet'!$B$10,Paramètres!$A$1:$I$89,3,0)*VLOOKUP('Données projet'!$B$10,Paramètres!$A$1:$I$89,5,0)</f>
        <v>240.01900000000001</v>
      </c>
      <c r="AK43" s="13">
        <f t="shared" si="35"/>
        <v>58.443618405936363</v>
      </c>
      <c r="AL43" s="20">
        <f t="shared" si="4"/>
        <v>519.82239372367246</v>
      </c>
      <c r="AM43" s="59">
        <f t="shared" si="5"/>
        <v>813.15572705700583</v>
      </c>
      <c r="AN43" s="59">
        <f ca="1">AVERAGE(OFFSET($AM$3,0,0,'Données projet'!$E$10+1,1))-AVERAGE(OFFSET($H$3,0,0,'Données projet'!$E$10+1,1))</f>
        <v>364.67510777943329</v>
      </c>
      <c r="AO43" s="59">
        <f t="shared" si="36"/>
        <v>352.13878061387169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126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7.2548442439489902</v>
      </c>
      <c r="AV43" s="21">
        <f>EXP(-LN(2)/25)*AV42+(1-EXP(-LN(2)/25))/(LN(2)/25)*Calculateur!AQ43*Calculateur!AS43*VLOOKUP('Données projet'!$B$10,Paramètres!$A$1:$I$89,3,0)*0.475*44/12</f>
        <v>13.653000588940536</v>
      </c>
      <c r="AW43" s="21">
        <f>EXP(-LN(2)/2)*AW42+(1-EXP(-LN(2)/2))/(LN(2)/2)*AQ43*AT43*VLOOKUP('Données projet'!$B$10,Paramètres!$A$1:$I$89,3,0)*0.475*44/12</f>
        <v>0.85854864217621618</v>
      </c>
      <c r="AX43" s="21">
        <f t="shared" si="6"/>
        <v>21.766393475065744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297</v>
      </c>
      <c r="BB43" s="12">
        <f>VLOOKUP(A43,'Données projet'!$A$87:$I$107,9,0)</f>
        <v>12.4</v>
      </c>
      <c r="BC43" s="12">
        <f t="array" ref="BC43">INDEX(BB:BB,MIN(IF(ISNUMBER(BB43:BB239),ROW(BB43:BB239),"")))</f>
        <v>12.4</v>
      </c>
      <c r="BD43" s="12">
        <f>IF('Données projet'!$A$88&gt;35,BD42+BC43-BL42,IF(A43&lt;'Données projet'!$A$88,$BA$205^A43,IF(A43='Données projet'!$A$88,'Données projet'!$B$88,BD42+BC43-BL42)))</f>
        <v>297.00000000000006</v>
      </c>
      <c r="BE43" s="13">
        <f>BD43*VLOOKUP('Données projet'!$B$11,Paramètres!$A$1:$I$89,3,0)*VLOOKUP('Données projet'!$B$11,Paramètres!$A$1:$I$89,5,0)</f>
        <v>177.60600000000005</v>
      </c>
      <c r="BF43" s="13">
        <f t="shared" si="37"/>
        <v>44.789150937858665</v>
      </c>
      <c r="BG43" s="20">
        <f t="shared" si="7"/>
        <v>387.33822121677059</v>
      </c>
      <c r="BH43" s="59">
        <f t="shared" si="8"/>
        <v>680.67155455010391</v>
      </c>
      <c r="BI43" s="59">
        <f ca="1">AVERAGE(OFFSET($BH$3,0,0,'Données projet'!$E$11+1,1))-AVERAGE(OFFSET($H$3,0,0,'Données projet'!$E$11+1,1))</f>
        <v>289.66713787052475</v>
      </c>
      <c r="BJ43" s="59">
        <f t="shared" si="38"/>
        <v>298.29439200198652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84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13.666468298348521</v>
      </c>
      <c r="BR43" s="21">
        <f>EXP(-LN(2)/2)*BR42+(1-EXP(-LN(2)/2))/(LN(2)/2)*BL43*BO43*VLOOKUP('Données projet'!$B$11,Paramètres!$A$1:$I$89,3,0)*0.475*44/12</f>
        <v>0.89626469318328239</v>
      </c>
      <c r="BS43" s="22">
        <f t="shared" si="9"/>
        <v>14.562732991531803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21</v>
      </c>
      <c r="N44" s="13">
        <f>IF('Données projet'!$A$36&gt;35,N43+M44-V43,IF(A44&lt;'Données projet'!$A$36,$K$205^A44,IF(A44='Données projet'!$A$36,'Données projet'!$B$36,N43+M44-V43)))</f>
        <v>372.00000000000006</v>
      </c>
      <c r="O44" s="13">
        <f>N44*VLOOKUP('Données projet'!$B$9,Paramètres!$A$1:$I$89,3,0)*VLOOKUP('Données projet'!$B$9,Paramètres!$A$1:$I$89,5,0)</f>
        <v>207.94800000000001</v>
      </c>
      <c r="P44" s="13">
        <f t="shared" si="33"/>
        <v>51.486916127068838</v>
      </c>
      <c r="Q44" s="20">
        <f t="shared" si="53"/>
        <v>451.84914558797823</v>
      </c>
      <c r="R44" s="59">
        <f t="shared" si="0"/>
        <v>745.18247892131149</v>
      </c>
      <c r="S44" s="59">
        <f ca="1">AVERAGE(OFFSET($R$3,0,0,'Données projet'!$E$9+1,1))-AVERAGE(OFFSET($H$3,0,0,'Données projet'!$E$9+1,1))</f>
        <v>394.9953131332565</v>
      </c>
      <c r="T44" s="59">
        <f t="shared" si="34"/>
        <v>399.58193819355591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8.265972714966427</v>
      </c>
      <c r="AA44" s="21">
        <f>EXP(-LN(2)/25)*AA43+(1-EXP(-LN(2)/25))/(LN(2)/25)*Calculateur!V44*Calculateur!X44*VLOOKUP('Données projet'!$B$9,Paramètres!$A$1:$I$89,3,0)*0.475*44/12</f>
        <v>24.624467107661204</v>
      </c>
      <c r="AB44" s="21">
        <f>EXP(-LN(2)/2)*AB43+(1-EXP(-LN(2)/2))/(LN(2)/2)*V44*Y44*VLOOKUP('Données projet'!$B$9,Paramètres!$A$1:$I$89,3,0)*0.475*44/12</f>
        <v>0.72323245168284378</v>
      </c>
      <c r="AC44" s="22">
        <f t="shared" si="3"/>
        <v>33.613672274310474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23.5</v>
      </c>
      <c r="AI44" s="13">
        <f>IF('Données projet'!$A$62&gt;35,AI43+AH44-AQ43,IF(A44&lt;'Données projet'!$A$62,$AF$205^A44,IF(A44='Données projet'!$A$62,'Données projet'!$B$62,AI43+AH44-AQ43)))</f>
        <v>396.5</v>
      </c>
      <c r="AJ44" s="13">
        <f>AI44*VLOOKUP('Données projet'!$B$10,Paramètres!$A$1:$I$89,3,0)*VLOOKUP('Données projet'!$B$10,Paramètres!$A$1:$I$89,5,0)</f>
        <v>190.7165</v>
      </c>
      <c r="AK44" s="13">
        <f t="shared" si="35"/>
        <v>47.698326110267381</v>
      </c>
      <c r="AL44" s="20">
        <f t="shared" si="4"/>
        <v>415.23915547538235</v>
      </c>
      <c r="AM44" s="59">
        <f t="shared" si="5"/>
        <v>708.57248880871566</v>
      </c>
      <c r="AN44" s="59">
        <f ca="1">AVERAGE(OFFSET($AM$3,0,0,'Données projet'!$E$10+1,1))-AVERAGE(OFFSET($H$3,0,0,'Données projet'!$E$10+1,1))</f>
        <v>364.67510777943329</v>
      </c>
      <c r="AO44" s="59">
        <f t="shared" si="36"/>
        <v>352.13878061387169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7.1125811733432052</v>
      </c>
      <c r="AV44" s="21">
        <f>EXP(-LN(2)/25)*AV43+(1-EXP(-LN(2)/25))/(LN(2)/25)*Calculateur!AQ44*Calculateur!AS44*VLOOKUP('Données projet'!$B$10,Paramètres!$A$1:$I$89,3,0)*0.475*44/12</f>
        <v>13.27965856985586</v>
      </c>
      <c r="AW44" s="21">
        <f>EXP(-LN(2)/2)*AW43+(1-EXP(-LN(2)/2))/(LN(2)/2)*AQ44*AT44*VLOOKUP('Données projet'!$B$10,Paramètres!$A$1:$I$89,3,0)*0.475*44/12</f>
        <v>0.60708556686130521</v>
      </c>
      <c r="AX44" s="21">
        <f t="shared" si="6"/>
        <v>20.999325310060367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18.8</v>
      </c>
      <c r="BD44" s="12">
        <f>IF('Données projet'!$A$88&gt;35,BD43+BC44-BL43,IF(A44&lt;'Données projet'!$A$88,$BA$205^A44,IF(A44='Données projet'!$A$88,'Données projet'!$B$88,BD43+BC44-BL43)))</f>
        <v>231.80000000000007</v>
      </c>
      <c r="BE44" s="13">
        <f>BD44*VLOOKUP('Données projet'!$B$11,Paramètres!$A$1:$I$89,3,0)*VLOOKUP('Données projet'!$B$11,Paramètres!$A$1:$I$89,5,0)</f>
        <v>138.61640000000006</v>
      </c>
      <c r="BF44" s="13">
        <f t="shared" si="37"/>
        <v>35.97985917844175</v>
      </c>
      <c r="BG44" s="20">
        <f t="shared" si="7"/>
        <v>304.08848473578615</v>
      </c>
      <c r="BH44" s="59">
        <f t="shared" si="8"/>
        <v>597.42181806911947</v>
      </c>
      <c r="BI44" s="59">
        <f ca="1">AVERAGE(OFFSET($BH$3,0,0,'Données projet'!$E$11+1,1))-AVERAGE(OFFSET($H$3,0,0,'Données projet'!$E$11+1,1))</f>
        <v>289.66713787052475</v>
      </c>
      <c r="BJ44" s="59">
        <f t="shared" si="38"/>
        <v>298.29439200198652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13.292758004041849</v>
      </c>
      <c r="BR44" s="21">
        <f>EXP(-LN(2)/2)*BR43+(1-EXP(-LN(2)/2))/(LN(2)/2)*BL44*BO44*VLOOKUP('Données projet'!$B$11,Paramètres!$A$1:$I$89,3,0)*0.475*44/12</f>
        <v>0.6337548422879794</v>
      </c>
      <c r="BS44" s="22">
        <f t="shared" si="9"/>
        <v>13.926512846329828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21</v>
      </c>
      <c r="N45" s="13">
        <f>IF('Données projet'!$A$36&gt;35,N44+M45-V44,IF(A45&lt;'Données projet'!$A$36,$K$205^A45,IF(A45='Données projet'!$A$36,'Données projet'!$B$36,N44+M45-V44)))</f>
        <v>393.00000000000006</v>
      </c>
      <c r="O45" s="13">
        <f>N45*VLOOKUP('Données projet'!$B$9,Paramètres!$A$1:$I$89,3,0)*VLOOKUP('Données projet'!$B$9,Paramètres!$A$1:$I$89,5,0)</f>
        <v>219.68700000000001</v>
      </c>
      <c r="P45" s="13">
        <f t="shared" si="33"/>
        <v>54.046851081096591</v>
      </c>
      <c r="Q45" s="20">
        <f t="shared" si="53"/>
        <v>476.75312396624321</v>
      </c>
      <c r="R45" s="59">
        <f t="shared" si="0"/>
        <v>770.08645729957652</v>
      </c>
      <c r="S45" s="59">
        <f ca="1">AVERAGE(OFFSET($R$3,0,0,'Données projet'!$E$9+1,1))-AVERAGE(OFFSET($H$3,0,0,'Données projet'!$E$9+1,1))</f>
        <v>394.9953131332565</v>
      </c>
      <c r="T45" s="59">
        <f t="shared" si="34"/>
        <v>399.58193819355591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8.1038820317714606</v>
      </c>
      <c r="AA45" s="21">
        <f>EXP(-LN(2)/25)*AA44+(1-EXP(-LN(2)/25))/(LN(2)/25)*Calculateur!V45*Calculateur!X45*VLOOKUP('Données projet'!$B$9,Paramètres!$A$1:$I$89,3,0)*0.475*44/12</f>
        <v>23.951109759657761</v>
      </c>
      <c r="AB45" s="21">
        <f>EXP(-LN(2)/2)*AB44+(1-EXP(-LN(2)/2))/(LN(2)/2)*V45*Y45*VLOOKUP('Données projet'!$B$9,Paramètres!$A$1:$I$89,3,0)*0.475*44/12</f>
        <v>0.5114025709591109</v>
      </c>
      <c r="AC45" s="22">
        <f t="shared" si="3"/>
        <v>32.566394362388337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23.5</v>
      </c>
      <c r="AI45" s="13">
        <f>IF('Données projet'!$A$62&gt;35,AI44+AH45-AQ44,IF(A45&lt;'Données projet'!$A$62,$AF$205^A45,IF(A45='Données projet'!$A$62,'Données projet'!$B$62,AI44+AH45-AQ44)))</f>
        <v>420</v>
      </c>
      <c r="AJ45" s="13">
        <f>AI45*VLOOKUP('Données projet'!$B$10,Paramètres!$A$1:$I$89,3,0)*VLOOKUP('Données projet'!$B$10,Paramètres!$A$1:$I$89,5,0)</f>
        <v>202.02</v>
      </c>
      <c r="AK45" s="13">
        <f t="shared" si="35"/>
        <v>50.187842607873506</v>
      </c>
      <c r="AL45" s="20">
        <f t="shared" si="4"/>
        <v>439.26199254204636</v>
      </c>
      <c r="AM45" s="59">
        <f t="shared" si="5"/>
        <v>732.59532587537967</v>
      </c>
      <c r="AN45" s="59">
        <f ca="1">AVERAGE(OFFSET($AM$3,0,0,'Données projet'!$E$10+1,1))-AVERAGE(OFFSET($H$3,0,0,'Données projet'!$E$10+1,1))</f>
        <v>364.67510777943329</v>
      </c>
      <c r="AO45" s="59">
        <f t="shared" si="36"/>
        <v>352.13878061387169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6.9731077947800948</v>
      </c>
      <c r="AV45" s="21">
        <f>EXP(-LN(2)/25)*AV44+(1-EXP(-LN(2)/25))/(LN(2)/25)*Calculateur!AQ45*Calculateur!AS45*VLOOKUP('Données projet'!$B$10,Paramètres!$A$1:$I$89,3,0)*0.475*44/12</f>
        <v>12.916525607916258</v>
      </c>
      <c r="AW45" s="21">
        <f>EXP(-LN(2)/2)*AW44+(1-EXP(-LN(2)/2))/(LN(2)/2)*AQ45*AT45*VLOOKUP('Données projet'!$B$10,Paramètres!$A$1:$I$89,3,0)*0.475*44/12</f>
        <v>0.42927432108810815</v>
      </c>
      <c r="AX45" s="21">
        <f t="shared" si="6"/>
        <v>20.318907723784463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18.8</v>
      </c>
      <c r="BD45" s="12">
        <f>IF('Données projet'!$A$88&gt;35,BD44+BC45-BL44,IF(A45&lt;'Données projet'!$A$88,$BA$205^A45,IF(A45='Données projet'!$A$88,'Données projet'!$B$88,BD44+BC45-BL44)))</f>
        <v>250.60000000000008</v>
      </c>
      <c r="BE45" s="13">
        <f>BD45*VLOOKUP('Données projet'!$B$11,Paramètres!$A$1:$I$89,3,0)*VLOOKUP('Données projet'!$B$11,Paramètres!$A$1:$I$89,5,0)</f>
        <v>149.85880000000006</v>
      </c>
      <c r="BF45" s="13">
        <f t="shared" si="37"/>
        <v>38.546495655588949</v>
      </c>
      <c r="BG45" s="20">
        <f t="shared" si="7"/>
        <v>328.13922326681751</v>
      </c>
      <c r="BH45" s="59">
        <f t="shared" si="8"/>
        <v>621.47255660015082</v>
      </c>
      <c r="BI45" s="59">
        <f ca="1">AVERAGE(OFFSET($BH$3,0,0,'Données projet'!$E$11+1,1))-AVERAGE(OFFSET($H$3,0,0,'Données projet'!$E$11+1,1))</f>
        <v>289.66713787052475</v>
      </c>
      <c r="BJ45" s="59">
        <f t="shared" si="38"/>
        <v>298.29439200198652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12.929266837385562</v>
      </c>
      <c r="BR45" s="21">
        <f>EXP(-LN(2)/2)*BR44+(1-EXP(-LN(2)/2))/(LN(2)/2)*BL45*BO45*VLOOKUP('Données projet'!$B$11,Paramètres!$A$1:$I$89,3,0)*0.475*44/12</f>
        <v>0.4481323465916412</v>
      </c>
      <c r="BS45" s="22">
        <f t="shared" si="9"/>
        <v>13.377399183977204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</v>
      </c>
      <c r="N46" s="13">
        <f>IF('Données projet'!$A$36&gt;35,N45+M46-V45,IF(A46&lt;'Données projet'!$A$36,$K$205^A46,IF(A46='Données projet'!$A$36,'Données projet'!$B$36,N45+M46-V45)))</f>
        <v>414.00000000000006</v>
      </c>
      <c r="O46" s="13">
        <f>N46*VLOOKUP('Données projet'!$B$9,Paramètres!$A$1:$I$89,3,0)*VLOOKUP('Données projet'!$B$9,Paramètres!$A$1:$I$89,5,0)</f>
        <v>231.42600000000002</v>
      </c>
      <c r="P46" s="13">
        <f t="shared" si="33"/>
        <v>56.590905067453221</v>
      </c>
      <c r="Q46" s="20">
        <f t="shared" si="53"/>
        <v>501.62944299248107</v>
      </c>
      <c r="R46" s="59">
        <f t="shared" si="0"/>
        <v>794.96277632581439</v>
      </c>
      <c r="S46" s="59">
        <f ca="1">AVERAGE(OFFSET($R$3,0,0,'Données projet'!$E$9+1,1))-AVERAGE(OFFSET($H$3,0,0,'Données projet'!$E$9+1,1))</f>
        <v>394.9953131332565</v>
      </c>
      <c r="T46" s="59">
        <f t="shared" si="34"/>
        <v>399.58193819355591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7.9449698480083928</v>
      </c>
      <c r="AA46" s="21">
        <f>EXP(-LN(2)/25)*AA45+(1-EXP(-LN(2)/25))/(LN(2)/25)*Calculateur!V46*Calculateur!X46*VLOOKUP('Données projet'!$B$9,Paramètres!$A$1:$I$89,3,0)*0.475*44/12</f>
        <v>23.2961654037458</v>
      </c>
      <c r="AB46" s="21">
        <f>EXP(-LN(2)/2)*AB45+(1-EXP(-LN(2)/2))/(LN(2)/2)*V46*Y46*VLOOKUP('Données projet'!$B$9,Paramètres!$A$1:$I$89,3,0)*0.475*44/12</f>
        <v>0.36161622584142189</v>
      </c>
      <c r="AC46" s="22">
        <f t="shared" si="3"/>
        <v>31.602751477595618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23.5</v>
      </c>
      <c r="AI46" s="13">
        <f>IF('Données projet'!$A$62&gt;35,AI45+AH46-AQ45,IF(A46&lt;'Données projet'!$A$62,$AF$205^A46,IF(A46='Données projet'!$A$62,'Données projet'!$B$62,AI45+AH46-AQ45)))</f>
        <v>443.5</v>
      </c>
      <c r="AJ46" s="13">
        <f>AI46*VLOOKUP('Données projet'!$B$10,Paramètres!$A$1:$I$89,3,0)*VLOOKUP('Données projet'!$B$10,Paramètres!$A$1:$I$89,5,0)</f>
        <v>213.3235</v>
      </c>
      <c r="AK46" s="13">
        <f t="shared" si="35"/>
        <v>52.661189019068658</v>
      </c>
      <c r="AL46" s="20">
        <f t="shared" si="4"/>
        <v>463.25666670821124</v>
      </c>
      <c r="AM46" s="59">
        <f t="shared" si="5"/>
        <v>756.5900000415445</v>
      </c>
      <c r="AN46" s="59">
        <f ca="1">AVERAGE(OFFSET($AM$3,0,0,'Données projet'!$E$10+1,1))-AVERAGE(OFFSET($H$3,0,0,'Données projet'!$E$10+1,1))</f>
        <v>364.67510777943329</v>
      </c>
      <c r="AO46" s="59">
        <f t="shared" si="36"/>
        <v>352.13878061387169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6.8363694041002461</v>
      </c>
      <c r="AV46" s="21">
        <f>EXP(-LN(2)/25)*AV45+(1-EXP(-LN(2)/25))/(LN(2)/25)*Calculateur!AQ46*Calculateur!AS46*VLOOKUP('Données projet'!$B$10,Paramètres!$A$1:$I$89,3,0)*0.475*44/12</f>
        <v>12.563322535917226</v>
      </c>
      <c r="AW46" s="21">
        <f>EXP(-LN(2)/2)*AW45+(1-EXP(-LN(2)/2))/(LN(2)/2)*AQ46*AT46*VLOOKUP('Données projet'!$B$10,Paramètres!$A$1:$I$89,3,0)*0.475*44/12</f>
        <v>0.30354278343065266</v>
      </c>
      <c r="AX46" s="21">
        <f t="shared" si="6"/>
        <v>19.703234723448126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18.8</v>
      </c>
      <c r="BD46" s="12">
        <f>IF('Données projet'!$A$88&gt;35,BD45+BC46-BL45,IF(A46&lt;'Données projet'!$A$88,$BA$205^A46,IF(A46='Données projet'!$A$88,'Données projet'!$B$88,BD45+BC46-BL45)))</f>
        <v>269.40000000000009</v>
      </c>
      <c r="BE46" s="13">
        <f>BD46*VLOOKUP('Données projet'!$B$11,Paramètres!$A$1:$I$89,3,0)*VLOOKUP('Données projet'!$B$11,Paramètres!$A$1:$I$89,5,0)</f>
        <v>161.10120000000006</v>
      </c>
      <c r="BF46" s="13">
        <f t="shared" si="37"/>
        <v>41.090794903447133</v>
      </c>
      <c r="BG46" s="20">
        <f t="shared" si="7"/>
        <v>352.15105779017057</v>
      </c>
      <c r="BH46" s="59">
        <f t="shared" si="8"/>
        <v>645.48439112350388</v>
      </c>
      <c r="BI46" s="59">
        <f ca="1">AVERAGE(OFFSET($BH$3,0,0,'Données projet'!$E$11+1,1))-AVERAGE(OFFSET($H$3,0,0,'Données projet'!$E$11+1,1))</f>
        <v>289.66713787052475</v>
      </c>
      <c r="BJ46" s="59">
        <f t="shared" si="38"/>
        <v>298.29439200198652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12.57571535579666</v>
      </c>
      <c r="BR46" s="21">
        <f>EXP(-LN(2)/2)*BR45+(1-EXP(-LN(2)/2))/(LN(2)/2)*BL46*BO46*VLOOKUP('Données projet'!$B$11,Paramètres!$A$1:$I$89,3,0)*0.475*44/12</f>
        <v>0.3168774211439897</v>
      </c>
      <c r="BS46" s="22">
        <f t="shared" si="9"/>
        <v>12.892592776940649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</v>
      </c>
      <c r="N47" s="13">
        <f>IF('Données projet'!$A$36&gt;35,N46+M47-V46,IF(A47&lt;'Données projet'!$A$36,$K$205^A47,IF(A47='Données projet'!$A$36,'Données projet'!$B$36,N46+M47-V46)))</f>
        <v>435.00000000000006</v>
      </c>
      <c r="O47" s="13">
        <f>N47*VLOOKUP('Données projet'!$B$9,Paramètres!$A$1:$I$89,3,0)*VLOOKUP('Données projet'!$B$9,Paramètres!$A$1:$I$89,5,0)</f>
        <v>243.16500000000002</v>
      </c>
      <c r="P47" s="13">
        <f t="shared" si="33"/>
        <v>59.119975548046618</v>
      </c>
      <c r="Q47" s="20">
        <f t="shared" si="53"/>
        <v>526.47966574618124</v>
      </c>
      <c r="R47" s="59">
        <f t="shared" si="0"/>
        <v>819.81299907951461</v>
      </c>
      <c r="S47" s="59">
        <f ca="1">AVERAGE(OFFSET($R$3,0,0,'Données projet'!$E$9+1,1))-AVERAGE(OFFSET($H$3,0,0,'Données projet'!$E$9+1,1))</f>
        <v>394.9953131332565</v>
      </c>
      <c r="T47" s="59">
        <f t="shared" si="34"/>
        <v>399.58193819355591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7.7891738352420576</v>
      </c>
      <c r="AA47" s="21">
        <f>EXP(-LN(2)/25)*AA46+(1-EXP(-LN(2)/25))/(LN(2)/25)*Calculateur!V47*Calculateur!X47*VLOOKUP('Données projet'!$B$9,Paramètres!$A$1:$I$89,3,0)*0.475*44/12</f>
        <v>22.659130535688277</v>
      </c>
      <c r="AB47" s="21">
        <f>EXP(-LN(2)/2)*AB46+(1-EXP(-LN(2)/2))/(LN(2)/2)*V47*Y47*VLOOKUP('Données projet'!$B$9,Paramètres!$A$1:$I$89,3,0)*0.475*44/12</f>
        <v>0.25570128547955545</v>
      </c>
      <c r="AC47" s="22">
        <f t="shared" si="3"/>
        <v>30.70400565640989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23.5</v>
      </c>
      <c r="AI47" s="13">
        <f>IF('Données projet'!$A$62&gt;35,AI46+AH47-AQ46,IF(A47&lt;'Données projet'!$A$62,$AF$205^A47,IF(A47='Données projet'!$A$62,'Données projet'!$B$62,AI46+AH47-AQ46)))</f>
        <v>467</v>
      </c>
      <c r="AJ47" s="13">
        <f>AI47*VLOOKUP('Données projet'!$B$10,Paramètres!$A$1:$I$89,3,0)*VLOOKUP('Données projet'!$B$10,Paramètres!$A$1:$I$89,5,0)</f>
        <v>224.62700000000001</v>
      </c>
      <c r="AK47" s="13">
        <f t="shared" si="35"/>
        <v>55.119319863505318</v>
      </c>
      <c r="AL47" s="20">
        <f t="shared" si="4"/>
        <v>487.22484042893842</v>
      </c>
      <c r="AM47" s="59">
        <f t="shared" si="5"/>
        <v>780.55817376227174</v>
      </c>
      <c r="AN47" s="59">
        <f ca="1">AVERAGE(OFFSET($AM$3,0,0,'Données projet'!$E$10+1,1))-AVERAGE(OFFSET($H$3,0,0,'Données projet'!$E$10+1,1))</f>
        <v>364.67510777943329</v>
      </c>
      <c r="AO47" s="59">
        <f t="shared" si="36"/>
        <v>352.13878061387169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6.7023123698594462</v>
      </c>
      <c r="AV47" s="21">
        <f>EXP(-LN(2)/25)*AV46+(1-EXP(-LN(2)/25))/(LN(2)/25)*Calculateur!AQ47*Calculateur!AS47*VLOOKUP('Données projet'!$B$10,Paramètres!$A$1:$I$89,3,0)*0.475*44/12</f>
        <v>12.219777820496152</v>
      </c>
      <c r="AW47" s="21">
        <f>EXP(-LN(2)/2)*AW46+(1-EXP(-LN(2)/2))/(LN(2)/2)*AQ47*AT47*VLOOKUP('Données projet'!$B$10,Paramètres!$A$1:$I$89,3,0)*0.475*44/12</f>
        <v>0.2146371605440541</v>
      </c>
      <c r="AX47" s="21">
        <f t="shared" si="6"/>
        <v>19.136727350899651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18.8</v>
      </c>
      <c r="BD47" s="12">
        <f>IF('Données projet'!$A$88&gt;35,BD46+BC47-BL46,IF(A47&lt;'Données projet'!$A$88,$BA$205^A47,IF(A47='Données projet'!$A$88,'Données projet'!$B$88,BD46+BC47-BL46)))</f>
        <v>288.2000000000001</v>
      </c>
      <c r="BE47" s="13">
        <f>BD47*VLOOKUP('Données projet'!$B$11,Paramètres!$A$1:$I$89,3,0)*VLOOKUP('Données projet'!$B$11,Paramètres!$A$1:$I$89,5,0)</f>
        <v>172.34360000000009</v>
      </c>
      <c r="BF47" s="13">
        <f t="shared" si="37"/>
        <v>43.614493030708267</v>
      </c>
      <c r="BG47" s="20">
        <f t="shared" si="7"/>
        <v>376.12701202848376</v>
      </c>
      <c r="BH47" s="59">
        <f t="shared" si="8"/>
        <v>669.46034536181708</v>
      </c>
      <c r="BI47" s="59">
        <f ca="1">AVERAGE(OFFSET($BH$3,0,0,'Données projet'!$E$11+1,1))-AVERAGE(OFFSET($H$3,0,0,'Données projet'!$E$11+1,1))</f>
        <v>289.66713787052475</v>
      </c>
      <c r="BJ47" s="59">
        <f t="shared" si="38"/>
        <v>298.29439200198652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12.231831758064272</v>
      </c>
      <c r="BR47" s="21">
        <f>EXP(-LN(2)/2)*BR46+(1-EXP(-LN(2)/2))/(LN(2)/2)*BL47*BO47*VLOOKUP('Données projet'!$B$11,Paramètres!$A$1:$I$89,3,0)*0.475*44/12</f>
        <v>0.2240661732958206</v>
      </c>
      <c r="BS47" s="22">
        <f t="shared" si="9"/>
        <v>12.455897931360093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</v>
      </c>
      <c r="N48" s="13">
        <f>IF('Données projet'!$A$36&gt;35,N47+M48-V47,IF(A48&lt;'Données projet'!$A$36,$K$205^A48,IF(A48='Données projet'!$A$36,'Données projet'!$B$36,N47+M48-V47)))</f>
        <v>456.00000000000006</v>
      </c>
      <c r="O48" s="13">
        <f>N48*VLOOKUP('Données projet'!$B$9,Paramètres!$A$1:$I$89,3,0)*VLOOKUP('Données projet'!$B$9,Paramètres!$A$1:$I$89,5,0)</f>
        <v>254.90400000000002</v>
      </c>
      <c r="P48" s="13">
        <f t="shared" si="33"/>
        <v>61.634868437438257</v>
      </c>
      <c r="Q48" s="20">
        <f t="shared" si="53"/>
        <v>551.30519586187165</v>
      </c>
      <c r="R48" s="59">
        <f t="shared" si="0"/>
        <v>844.63852919520491</v>
      </c>
      <c r="S48" s="59">
        <f ca="1">AVERAGE(OFFSET($R$3,0,0,'Données projet'!$E$9+1,1))-AVERAGE(OFFSET($H$3,0,0,'Données projet'!$E$9+1,1))</f>
        <v>394.9953131332565</v>
      </c>
      <c r="T48" s="59">
        <f t="shared" si="34"/>
        <v>399.58193819355591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7.6364328872598852</v>
      </c>
      <c r="AA48" s="21">
        <f>EXP(-LN(2)/25)*AA47+(1-EXP(-LN(2)/25))/(LN(2)/25)*Calculateur!V48*Calculateur!X48*VLOOKUP('Données projet'!$B$9,Paramètres!$A$1:$I$89,3,0)*0.475*44/12</f>
        <v>22.039515419597993</v>
      </c>
      <c r="AB48" s="21">
        <f>EXP(-LN(2)/2)*AB47+(1-EXP(-LN(2)/2))/(LN(2)/2)*V48*Y48*VLOOKUP('Données projet'!$B$9,Paramètres!$A$1:$I$89,3,0)*0.475*44/12</f>
        <v>0.18080811292071094</v>
      </c>
      <c r="AC48" s="22">
        <f t="shared" si="3"/>
        <v>29.856756419778591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23.5</v>
      </c>
      <c r="AI48" s="13">
        <f>IF('Données projet'!$A$62&gt;35,AI47+AH48-AQ47,IF(A48&lt;'Données projet'!$A$62,$AF$205^A48,IF(A48='Données projet'!$A$62,'Données projet'!$B$62,AI47+AH48-AQ47)))</f>
        <v>490.5</v>
      </c>
      <c r="AJ48" s="13">
        <f>AI48*VLOOKUP('Données projet'!$B$10,Paramètres!$A$1:$I$89,3,0)*VLOOKUP('Données projet'!$B$10,Paramètres!$A$1:$I$89,5,0)</f>
        <v>235.93049999999999</v>
      </c>
      <c r="AK48" s="13">
        <f t="shared" si="35"/>
        <v>57.563088169175288</v>
      </c>
      <c r="AL48" s="20">
        <f t="shared" si="4"/>
        <v>511.16799939464698</v>
      </c>
      <c r="AM48" s="59">
        <f t="shared" si="5"/>
        <v>804.5013327279803</v>
      </c>
      <c r="AN48" s="59">
        <f ca="1">AVERAGE(OFFSET($AM$3,0,0,'Données projet'!$E$10+1,1))-AVERAGE(OFFSET($H$3,0,0,'Données projet'!$E$10+1,1))</f>
        <v>364.67510777943329</v>
      </c>
      <c r="AO48" s="59">
        <f t="shared" si="36"/>
        <v>352.13878061387169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6.570884112293391</v>
      </c>
      <c r="AV48" s="21">
        <f>EXP(-LN(2)/25)*AV47+(1-EXP(-LN(2)/25))/(LN(2)/25)*Calculateur!AQ48*Calculateur!AS48*VLOOKUP('Données projet'!$B$10,Paramètres!$A$1:$I$89,3,0)*0.475*44/12</f>
        <v>11.885627353384498</v>
      </c>
      <c r="AW48" s="21">
        <f>EXP(-LN(2)/2)*AW47+(1-EXP(-LN(2)/2))/(LN(2)/2)*AQ48*AT48*VLOOKUP('Données projet'!$B$10,Paramètres!$A$1:$I$89,3,0)*0.475*44/12</f>
        <v>0.15177139171532633</v>
      </c>
      <c r="AX48" s="21">
        <f t="shared" si="6"/>
        <v>18.608282857393213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18.8</v>
      </c>
      <c r="BD48" s="12">
        <f>IF('Données projet'!$A$88&gt;35,BD47+BC48-BL47,IF(A48&lt;'Données projet'!$A$88,$BA$205^A48,IF(A48='Données projet'!$A$88,'Données projet'!$B$88,BD47+BC48-BL47)))</f>
        <v>307.00000000000011</v>
      </c>
      <c r="BE48" s="13">
        <f>BD48*VLOOKUP('Données projet'!$B$11,Paramètres!$A$1:$I$89,3,0)*VLOOKUP('Données projet'!$B$11,Paramètres!$A$1:$I$89,5,0)</f>
        <v>183.58600000000007</v>
      </c>
      <c r="BF48" s="13">
        <f t="shared" si="37"/>
        <v>46.119086835316438</v>
      </c>
      <c r="BG48" s="20">
        <f t="shared" si="7"/>
        <v>400.0696929048429</v>
      </c>
      <c r="BH48" s="59">
        <f t="shared" si="8"/>
        <v>693.40302623817615</v>
      </c>
      <c r="BI48" s="59">
        <f ca="1">AVERAGE(OFFSET($BH$3,0,0,'Données projet'!$E$11+1,1))-AVERAGE(OFFSET($H$3,0,0,'Données projet'!$E$11+1,1))</f>
        <v>289.66713787052475</v>
      </c>
      <c r="BJ48" s="59">
        <f t="shared" si="38"/>
        <v>298.29439200198652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11.897351675395928</v>
      </c>
      <c r="BR48" s="21">
        <f>EXP(-LN(2)/2)*BR47+(1-EXP(-LN(2)/2))/(LN(2)/2)*BL48*BO48*VLOOKUP('Données projet'!$B$11,Paramètres!$A$1:$I$89,3,0)*0.475*44/12</f>
        <v>0.15843871057199485</v>
      </c>
      <c r="BS48" s="22">
        <f t="shared" si="9"/>
        <v>12.055790385967923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</v>
      </c>
      <c r="N49" s="13">
        <f>IF('Données projet'!$A$36&gt;35,N48+M49-V48,IF(A49&lt;'Données projet'!$A$36,$K$205^A49,IF(A49='Données projet'!$A$36,'Données projet'!$B$36,N48+M49-V48)))</f>
        <v>477.00000000000006</v>
      </c>
      <c r="O49" s="13">
        <f>N49*VLOOKUP('Données projet'!$B$9,Paramètres!$A$1:$I$89,3,0)*VLOOKUP('Données projet'!$B$9,Paramètres!$A$1:$I$89,5,0)</f>
        <v>266.64300000000003</v>
      </c>
      <c r="P49" s="13">
        <f t="shared" si="33"/>
        <v>64.136311225795083</v>
      </c>
      <c r="Q49" s="20">
        <f t="shared" si="53"/>
        <v>576.10730038492648</v>
      </c>
      <c r="R49" s="59">
        <f t="shared" si="0"/>
        <v>869.44063371825973</v>
      </c>
      <c r="S49" s="59">
        <f ca="1">AVERAGE(OFFSET($R$3,0,0,'Données projet'!$E$9+1,1))-AVERAGE(OFFSET($H$3,0,0,'Données projet'!$E$9+1,1))</f>
        <v>394.9953131332565</v>
      </c>
      <c r="T49" s="59">
        <f t="shared" si="34"/>
        <v>399.58193819355591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7.4866870961048644</v>
      </c>
      <c r="AA49" s="21">
        <f>EXP(-LN(2)/25)*AA48+(1-EXP(-LN(2)/25))/(LN(2)/25)*Calculateur!V49*Calculateur!X49*VLOOKUP('Données projet'!$B$9,Paramètres!$A$1:$I$89,3,0)*0.475*44/12</f>
        <v>21.436843711441341</v>
      </c>
      <c r="AB49" s="21">
        <f>EXP(-LN(2)/2)*AB48+(1-EXP(-LN(2)/2))/(LN(2)/2)*V49*Y49*VLOOKUP('Données projet'!$B$9,Paramètres!$A$1:$I$89,3,0)*0.475*44/12</f>
        <v>0.12785064273977773</v>
      </c>
      <c r="AC49" s="22">
        <f t="shared" si="3"/>
        <v>29.051381450285984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23.5</v>
      </c>
      <c r="AI49" s="13">
        <f>IF('Données projet'!$A$62&gt;35,AI48+AH49-AQ48,IF(A49&lt;'Données projet'!$A$62,$AF$205^A49,IF(A49='Données projet'!$A$62,'Données projet'!$B$62,AI48+AH49-AQ48)))</f>
        <v>514</v>
      </c>
      <c r="AJ49" s="13">
        <f>AI49*VLOOKUP('Données projet'!$B$10,Paramètres!$A$1:$I$89,3,0)*VLOOKUP('Données projet'!$B$10,Paramètres!$A$1:$I$89,5,0)</f>
        <v>247.23400000000001</v>
      </c>
      <c r="AK49" s="13">
        <f t="shared" si="35"/>
        <v>59.993260607978399</v>
      </c>
      <c r="AL49" s="20">
        <f t="shared" si="4"/>
        <v>535.087478892229</v>
      </c>
      <c r="AM49" s="59">
        <f t="shared" si="5"/>
        <v>828.42081222556226</v>
      </c>
      <c r="AN49" s="59">
        <f ca="1">AVERAGE(OFFSET($AM$3,0,0,'Données projet'!$E$10+1,1))-AVERAGE(OFFSET($H$3,0,0,'Données projet'!$E$10+1,1))</f>
        <v>364.67510777943329</v>
      </c>
      <c r="AO49" s="59">
        <f t="shared" si="36"/>
        <v>352.13878061387169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6.4420330826948842</v>
      </c>
      <c r="AV49" s="21">
        <f>EXP(-LN(2)/25)*AV48+(1-EXP(-LN(2)/25))/(LN(2)/25)*Calculateur!AQ49*Calculateur!AS49*VLOOKUP('Données projet'!$B$10,Paramètres!$A$1:$I$89,3,0)*0.475*44/12</f>
        <v>11.560614248368221</v>
      </c>
      <c r="AW49" s="21">
        <f>EXP(-LN(2)/2)*AW48+(1-EXP(-LN(2)/2))/(LN(2)/2)*AQ49*AT49*VLOOKUP('Données projet'!$B$10,Paramètres!$A$1:$I$89,3,0)*0.475*44/12</f>
        <v>0.10731858027202705</v>
      </c>
      <c r="AX49" s="21">
        <f t="shared" si="6"/>
        <v>18.109965911335131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18.8</v>
      </c>
      <c r="BD49" s="12">
        <f>IF('Données projet'!$A$88&gt;35,BD48+BC49-BL48,IF(A49&lt;'Données projet'!$A$88,$BA$205^A49,IF(A49='Données projet'!$A$88,'Données projet'!$B$88,BD48+BC49-BL48)))</f>
        <v>325.80000000000013</v>
      </c>
      <c r="BE49" s="13">
        <f>BD49*VLOOKUP('Données projet'!$B$11,Paramètres!$A$1:$I$89,3,0)*VLOOKUP('Données projet'!$B$11,Paramètres!$A$1:$I$89,5,0)</f>
        <v>194.82840000000007</v>
      </c>
      <c r="BF49" s="13">
        <f t="shared" si="37"/>
        <v>48.605879434898576</v>
      </c>
      <c r="BG49" s="20">
        <f t="shared" si="7"/>
        <v>423.98137001578181</v>
      </c>
      <c r="BH49" s="59">
        <f t="shared" si="8"/>
        <v>717.31470334911512</v>
      </c>
      <c r="BI49" s="59">
        <f ca="1">AVERAGE(OFFSET($BH$3,0,0,'Données projet'!$E$11+1,1))-AVERAGE(OFFSET($H$3,0,0,'Données projet'!$E$11+1,1))</f>
        <v>289.66713787052475</v>
      </c>
      <c r="BJ49" s="59">
        <f t="shared" si="38"/>
        <v>298.29439200198652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11.572017968177693</v>
      </c>
      <c r="BR49" s="21">
        <f>EXP(-LN(2)/2)*BR48+(1-EXP(-LN(2)/2))/(LN(2)/2)*BL49*BO49*VLOOKUP('Données projet'!$B$11,Paramètres!$A$1:$I$89,3,0)*0.475*44/12</f>
        <v>0.1120330866479103</v>
      </c>
      <c r="BS49" s="22">
        <f t="shared" si="9"/>
        <v>11.684051054825604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</v>
      </c>
      <c r="N50" s="13">
        <f>IF('Données projet'!$A$36&gt;35,N49+M50-V49,IF(A50&lt;'Données projet'!$A$36,$K$205^A50,IF(A50='Données projet'!$A$36,'Données projet'!$B$36,N49+M50-V49)))</f>
        <v>498.00000000000006</v>
      </c>
      <c r="O50" s="13">
        <f>N50*VLOOKUP('Données projet'!$B$9,Paramètres!$A$1:$I$89,3,0)*VLOOKUP('Données projet'!$B$9,Paramètres!$A$1:$I$89,5,0)</f>
        <v>278.38200000000001</v>
      </c>
      <c r="P50" s="13">
        <f t="shared" si="33"/>
        <v>66.624963725642488</v>
      </c>
      <c r="Q50" s="20">
        <f t="shared" si="53"/>
        <v>600.88712848882722</v>
      </c>
      <c r="R50" s="59">
        <f t="shared" si="0"/>
        <v>894.22046182216059</v>
      </c>
      <c r="S50" s="59">
        <f ca="1">AVERAGE(OFFSET($R$3,0,0,'Données projet'!$E$9+1,1))-AVERAGE(OFFSET($H$3,0,0,'Données projet'!$E$9+1,1))</f>
        <v>394.9953131332565</v>
      </c>
      <c r="T50" s="59">
        <f t="shared" si="34"/>
        <v>399.58193819355591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7.3398777285784789</v>
      </c>
      <c r="AA50" s="21">
        <f>EXP(-LN(2)/25)*AA49+(1-EXP(-LN(2)/25))/(LN(2)/25)*Calculateur!V50*Calculateur!X50*VLOOKUP('Données projet'!$B$9,Paramètres!$A$1:$I$89,3,0)*0.475*44/12</f>
        <v>20.850652092837361</v>
      </c>
      <c r="AB50" s="21">
        <f>EXP(-LN(2)/2)*AB49+(1-EXP(-LN(2)/2))/(LN(2)/2)*V50*Y50*VLOOKUP('Données projet'!$B$9,Paramètres!$A$1:$I$89,3,0)*0.475*44/12</f>
        <v>9.0404056460355472E-2</v>
      </c>
      <c r="AC50" s="22">
        <f t="shared" si="3"/>
        <v>28.280933877876194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23.5</v>
      </c>
      <c r="AI50" s="13">
        <f>IF('Données projet'!$A$62&gt;35,AI49+AH50-AQ49,IF(A50&lt;'Données projet'!$A$62,$AF$205^A50,IF(A50='Données projet'!$A$62,'Données projet'!$B$62,AI49+AH50-AQ49)))</f>
        <v>537.5</v>
      </c>
      <c r="AJ50" s="13">
        <f>AI50*VLOOKUP('Données projet'!$B$10,Paramètres!$A$1:$I$89,3,0)*VLOOKUP('Données projet'!$B$10,Paramètres!$A$1:$I$89,5,0)</f>
        <v>258.53750000000002</v>
      </c>
      <c r="AK50" s="13">
        <f t="shared" si="35"/>
        <v>62.410529785041774</v>
      </c>
      <c r="AL50" s="20">
        <f t="shared" si="4"/>
        <v>558.98448520894783</v>
      </c>
      <c r="AM50" s="59">
        <f t="shared" si="5"/>
        <v>852.3178185422812</v>
      </c>
      <c r="AN50" s="59">
        <f ca="1">AVERAGE(OFFSET($AM$3,0,0,'Données projet'!$E$10+1,1))-AVERAGE(OFFSET($H$3,0,0,'Données projet'!$E$10+1,1))</f>
        <v>364.67510777943329</v>
      </c>
      <c r="AO50" s="59">
        <f t="shared" si="36"/>
        <v>352.13878061387169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6.3157087431954366</v>
      </c>
      <c r="AV50" s="21">
        <f>EXP(-LN(2)/25)*AV49+(1-EXP(-LN(2)/25))/(LN(2)/25)*Calculateur!AQ50*Calculateur!AS50*VLOOKUP('Données projet'!$B$10,Paramètres!$A$1:$I$89,3,0)*0.475*44/12</f>
        <v>11.244488643800311</v>
      </c>
      <c r="AW50" s="21">
        <f>EXP(-LN(2)/2)*AW49+(1-EXP(-LN(2)/2))/(LN(2)/2)*AQ50*AT50*VLOOKUP('Données projet'!$B$10,Paramètres!$A$1:$I$89,3,0)*0.475*44/12</f>
        <v>7.5885695857663166E-2</v>
      </c>
      <c r="AX50" s="21">
        <f t="shared" si="6"/>
        <v>17.636083082853411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18.8</v>
      </c>
      <c r="BD50" s="12">
        <f>IF('Données projet'!$A$88&gt;35,BD49+BC50-BL49,IF(A50&lt;'Données projet'!$A$88,$BA$205^A50,IF(A50='Données projet'!$A$88,'Données projet'!$B$88,BD49+BC50-BL49)))</f>
        <v>344.60000000000014</v>
      </c>
      <c r="BE50" s="13">
        <f>BD50*VLOOKUP('Données projet'!$B$11,Paramètres!$A$1:$I$89,3,0)*VLOOKUP('Données projet'!$B$11,Paramètres!$A$1:$I$89,5,0)</f>
        <v>206.07080000000011</v>
      </c>
      <c r="BF50" s="13">
        <f t="shared" si="37"/>
        <v>51.076015061754575</v>
      </c>
      <c r="BG50" s="20">
        <f t="shared" si="7"/>
        <v>447.86403623255609</v>
      </c>
      <c r="BH50" s="59">
        <f t="shared" si="8"/>
        <v>741.1973695658894</v>
      </c>
      <c r="BI50" s="59">
        <f ca="1">AVERAGE(OFFSET($BH$3,0,0,'Données projet'!$E$11+1,1))-AVERAGE(OFFSET($H$3,0,0,'Données projet'!$E$11+1,1))</f>
        <v>289.66713787052475</v>
      </c>
      <c r="BJ50" s="59">
        <f t="shared" si="38"/>
        <v>298.29439200198652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11.255580528291897</v>
      </c>
      <c r="BR50" s="21">
        <f>EXP(-LN(2)/2)*BR49+(1-EXP(-LN(2)/2))/(LN(2)/2)*BL50*BO50*VLOOKUP('Données projet'!$B$11,Paramètres!$A$1:$I$89,3,0)*0.475*44/12</f>
        <v>7.9219355285997425E-2</v>
      </c>
      <c r="BS50" s="22">
        <f t="shared" si="9"/>
        <v>11.334799883577896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</v>
      </c>
      <c r="N51" s="13">
        <f>IF('Données projet'!$A$36&gt;35,N50+M51-V50,IF(A51&lt;'Données projet'!$A$36,$K$205^A51,IF(A51='Données projet'!$A$36,'Données projet'!$B$36,N50+M51-V50)))</f>
        <v>519</v>
      </c>
      <c r="O51" s="13">
        <f>N51*VLOOKUP('Données projet'!$B$9,Paramètres!$A$1:$I$89,3,0)*VLOOKUP('Données projet'!$B$9,Paramètres!$A$1:$I$89,5,0)</f>
        <v>290.12099999999998</v>
      </c>
      <c r="P51" s="13">
        <f t="shared" si="33"/>
        <v>69.101426954815722</v>
      </c>
      <c r="Q51" s="20">
        <f t="shared" si="53"/>
        <v>625.64572694630408</v>
      </c>
      <c r="R51" s="59">
        <f t="shared" si="0"/>
        <v>918.97906027963745</v>
      </c>
      <c r="S51" s="59">
        <f ca="1">AVERAGE(OFFSET($R$3,0,0,'Données projet'!$E$9+1,1))-AVERAGE(OFFSET($H$3,0,0,'Données projet'!$E$9+1,1))</f>
        <v>394.9953131332565</v>
      </c>
      <c r="T51" s="59">
        <f t="shared" si="34"/>
        <v>399.58193819355591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7.1959472032044136</v>
      </c>
      <c r="AA51" s="21">
        <f>EXP(-LN(2)/25)*AA50+(1-EXP(-LN(2)/25))/(LN(2)/25)*Calculateur!V51*Calculateur!X51*VLOOKUP('Données projet'!$B$9,Paramètres!$A$1:$I$89,3,0)*0.475*44/12</f>
        <v>20.280489914870586</v>
      </c>
      <c r="AB51" s="21">
        <f>EXP(-LN(2)/2)*AB50+(1-EXP(-LN(2)/2))/(LN(2)/2)*V51*Y51*VLOOKUP('Données projet'!$B$9,Paramètres!$A$1:$I$89,3,0)*0.475*44/12</f>
        <v>6.3925321369888863E-2</v>
      </c>
      <c r="AC51" s="22">
        <f t="shared" si="3"/>
        <v>27.540362439444888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23.5</v>
      </c>
      <c r="AI51" s="13">
        <f>IF('Données projet'!$A$62&gt;35,AI50+AH51-AQ50,IF(A51&lt;'Données projet'!$A$62,$AF$205^A51,IF(A51='Données projet'!$A$62,'Données projet'!$B$62,AI50+AH51-AQ50)))</f>
        <v>561</v>
      </c>
      <c r="AJ51" s="13">
        <f>AI51*VLOOKUP('Données projet'!$B$10,Paramètres!$A$1:$I$89,3,0)*VLOOKUP('Données projet'!$B$10,Paramètres!$A$1:$I$89,5,0)</f>
        <v>269.84100000000001</v>
      </c>
      <c r="AK51" s="13">
        <f t="shared" si="35"/>
        <v>64.815524318181517</v>
      </c>
      <c r="AL51" s="20">
        <f t="shared" si="4"/>
        <v>582.86011318749945</v>
      </c>
      <c r="AM51" s="59">
        <f t="shared" si="5"/>
        <v>876.19344652083282</v>
      </c>
      <c r="AN51" s="59">
        <f ca="1">AVERAGE(OFFSET($AM$3,0,0,'Données projet'!$E$10+1,1))-AVERAGE(OFFSET($H$3,0,0,'Données projet'!$E$10+1,1))</f>
        <v>364.67510777943329</v>
      </c>
      <c r="AO51" s="59">
        <f t="shared" si="36"/>
        <v>352.13878061387169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6.1918615469433345</v>
      </c>
      <c r="AV51" s="21">
        <f>EXP(-LN(2)/25)*AV50+(1-EXP(-LN(2)/25))/(LN(2)/25)*Calculateur!AQ51*Calculateur!AS51*VLOOKUP('Données projet'!$B$10,Paramètres!$A$1:$I$89,3,0)*0.475*44/12</f>
        <v>10.937007510513634</v>
      </c>
      <c r="AW51" s="21">
        <f>EXP(-LN(2)/2)*AW50+(1-EXP(-LN(2)/2))/(LN(2)/2)*AQ51*AT51*VLOOKUP('Données projet'!$B$10,Paramètres!$A$1:$I$89,3,0)*0.475*44/12</f>
        <v>5.3659290136013525E-2</v>
      </c>
      <c r="AX51" s="21">
        <f t="shared" si="6"/>
        <v>17.182528347592982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18.8</v>
      </c>
      <c r="BD51" s="12">
        <f>IF('Données projet'!$A$88&gt;35,BD50+BC51-BL50,IF(A51&lt;'Données projet'!$A$88,$BA$205^A51,IF(A51='Données projet'!$A$88,'Données projet'!$B$88,BD50+BC51-BL50)))</f>
        <v>363.40000000000015</v>
      </c>
      <c r="BE51" s="13">
        <f>BD51*VLOOKUP('Données projet'!$B$11,Paramètres!$A$1:$I$89,3,0)*VLOOKUP('Données projet'!$B$11,Paramètres!$A$1:$I$89,5,0)</f>
        <v>217.31320000000011</v>
      </c>
      <c r="BF51" s="13">
        <f t="shared" si="37"/>
        <v>53.530506047441797</v>
      </c>
      <c r="BG51" s="20">
        <f t="shared" si="7"/>
        <v>471.71945469929466</v>
      </c>
      <c r="BH51" s="59">
        <f t="shared" si="8"/>
        <v>765.05278803262797</v>
      </c>
      <c r="BI51" s="59">
        <f ca="1">AVERAGE(OFFSET($BH$3,0,0,'Données projet'!$E$11+1,1))-AVERAGE(OFFSET($H$3,0,0,'Données projet'!$E$11+1,1))</f>
        <v>289.66713787052475</v>
      </c>
      <c r="BJ51" s="59">
        <f t="shared" si="38"/>
        <v>298.29439200198652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10.947796086840501</v>
      </c>
      <c r="BR51" s="21">
        <f>EXP(-LN(2)/2)*BR50+(1-EXP(-LN(2)/2))/(LN(2)/2)*BL51*BO51*VLOOKUP('Données projet'!$B$11,Paramètres!$A$1:$I$89,3,0)*0.475*44/12</f>
        <v>5.6016543323955149E-2</v>
      </c>
      <c r="BS51" s="22">
        <f t="shared" si="9"/>
        <v>11.003812630164456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21</v>
      </c>
      <c r="N52" s="13">
        <f>IF('Données projet'!$A$36&gt;35,N51+M52-V51,IF(A52&lt;'Données projet'!$A$36,$K$205^A52,IF(A52='Données projet'!$A$36,'Données projet'!$B$36,N51+M52-V51)))</f>
        <v>540</v>
      </c>
      <c r="O52" s="13">
        <f>N52*VLOOKUP('Données projet'!$B$9,Paramètres!$A$1:$I$89,3,0)*VLOOKUP('Données projet'!$B$9,Paramètres!$A$1:$I$89,5,0)</f>
        <v>301.86</v>
      </c>
      <c r="P52" s="13">
        <f t="shared" si="33"/>
        <v>71.566250541226992</v>
      </c>
      <c r="Q52" s="20">
        <f t="shared" si="53"/>
        <v>650.38405302597027</v>
      </c>
      <c r="R52" s="59">
        <f t="shared" si="0"/>
        <v>943.71738635930365</v>
      </c>
      <c r="S52" s="59">
        <f ca="1">AVERAGE(OFFSET($R$3,0,0,'Données projet'!$E$9+1,1))-AVERAGE(OFFSET($H$3,0,0,'Données projet'!$E$9+1,1))</f>
        <v>394.9953131332565</v>
      </c>
      <c r="T52" s="59">
        <f t="shared" si="34"/>
        <v>399.58193819355591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7.0548390676439823</v>
      </c>
      <c r="AA52" s="21">
        <f>EXP(-LN(2)/25)*AA51+(1-EXP(-LN(2)/25))/(LN(2)/25)*Calculateur!V52*Calculateur!X52*VLOOKUP('Données projet'!$B$9,Paramètres!$A$1:$I$89,3,0)*0.475*44/12</f>
        <v>19.725918851643836</v>
      </c>
      <c r="AB52" s="21">
        <f>EXP(-LN(2)/2)*AB51+(1-EXP(-LN(2)/2))/(LN(2)/2)*V52*Y52*VLOOKUP('Données projet'!$B$9,Paramètres!$A$1:$I$89,3,0)*0.475*44/12</f>
        <v>4.5202028230177736E-2</v>
      </c>
      <c r="AC52" s="22">
        <f t="shared" si="3"/>
        <v>26.825959947517998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23.5</v>
      </c>
      <c r="AI52" s="13">
        <f>IF('Données projet'!$A$62&gt;35,AI51+AH52-AQ51,IF(A52&lt;'Données projet'!$A$62,$AF$205^A52,IF(A52='Données projet'!$A$62,'Données projet'!$B$62,AI51+AH52-AQ51)))</f>
        <v>584.5</v>
      </c>
      <c r="AJ52" s="13">
        <f>AI52*VLOOKUP('Données projet'!$B$10,Paramètres!$A$1:$I$89,3,0)*VLOOKUP('Données projet'!$B$10,Paramètres!$A$1:$I$89,5,0)</f>
        <v>281.14449999999999</v>
      </c>
      <c r="AK52" s="13">
        <f t="shared" si="35"/>
        <v>67.208817180872998</v>
      </c>
      <c r="AL52" s="20">
        <f t="shared" si="4"/>
        <v>606.71536075668712</v>
      </c>
      <c r="AM52" s="59">
        <f t="shared" si="5"/>
        <v>900.04869409002049</v>
      </c>
      <c r="AN52" s="59">
        <f ca="1">AVERAGE(OFFSET($AM$3,0,0,'Données projet'!$E$10+1,1))-AVERAGE(OFFSET($H$3,0,0,'Données projet'!$E$10+1,1))</f>
        <v>364.67510777943329</v>
      </c>
      <c r="AO52" s="59">
        <f t="shared" si="36"/>
        <v>352.13878061387169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6.0704429186704045</v>
      </c>
      <c r="AV52" s="21">
        <f>EXP(-LN(2)/25)*AV51+(1-EXP(-LN(2)/25))/(LN(2)/25)*Calculateur!AQ52*Calculateur!AS52*VLOOKUP('Données projet'!$B$10,Paramètres!$A$1:$I$89,3,0)*0.475*44/12</f>
        <v>10.637934464986412</v>
      </c>
      <c r="AW52" s="21">
        <f>EXP(-LN(2)/2)*AW51+(1-EXP(-LN(2)/2))/(LN(2)/2)*AQ52*AT52*VLOOKUP('Données projet'!$B$10,Paramètres!$A$1:$I$89,3,0)*0.475*44/12</f>
        <v>3.7942847928831583E-2</v>
      </c>
      <c r="AX52" s="21">
        <f t="shared" si="6"/>
        <v>16.746320231585649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18.8</v>
      </c>
      <c r="BD52" s="12">
        <f>IF('Données projet'!$A$88&gt;35,BD51+BC52-BL51,IF(A52&lt;'Données projet'!$A$88,$BA$205^A52,IF(A52='Données projet'!$A$88,'Données projet'!$B$88,BD51+BC52-BL51)))</f>
        <v>382.20000000000016</v>
      </c>
      <c r="BE52" s="13">
        <f>BD52*VLOOKUP('Données projet'!$B$11,Paramètres!$A$1:$I$89,3,0)*VLOOKUP('Données projet'!$B$11,Paramètres!$A$1:$I$89,5,0)</f>
        <v>228.55560000000008</v>
      </c>
      <c r="BF52" s="13">
        <f t="shared" si="37"/>
        <v>55.97025406423657</v>
      </c>
      <c r="BG52" s="20">
        <f t="shared" si="7"/>
        <v>495.54919582854546</v>
      </c>
      <c r="BH52" s="59">
        <f t="shared" si="8"/>
        <v>788.88252916187878</v>
      </c>
      <c r="BI52" s="59">
        <f ca="1">AVERAGE(OFFSET($BH$3,0,0,'Données projet'!$E$11+1,1))-AVERAGE(OFFSET($H$3,0,0,'Données projet'!$E$11+1,1))</f>
        <v>289.66713787052475</v>
      </c>
      <c r="BJ52" s="59">
        <f t="shared" si="38"/>
        <v>298.29439200198652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10.648428027126274</v>
      </c>
      <c r="BR52" s="21">
        <f>EXP(-LN(2)/2)*BR51+(1-EXP(-LN(2)/2))/(LN(2)/2)*BL52*BO52*VLOOKUP('Données projet'!$B$11,Paramètres!$A$1:$I$89,3,0)*0.475*44/12</f>
        <v>3.9609677642998713E-2</v>
      </c>
      <c r="BS52" s="22">
        <f t="shared" si="9"/>
        <v>10.688037704769272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561</v>
      </c>
      <c r="L53" s="12">
        <f>VLOOKUP(A53,'Données projet'!$A$35:$I$55,9,0)</f>
        <v>21</v>
      </c>
      <c r="M53" s="12">
        <f t="array" ref="M53">INDEX(L:L,MIN(IF(ISNUMBER(L53:L249),ROW(L53:L249),"")))</f>
        <v>21</v>
      </c>
      <c r="N53" s="13">
        <f>IF('Données projet'!$A$36&gt;35,N52+M53-V52,IF(A53&lt;'Données projet'!$A$36,$K$205^A53,IF(A53='Données projet'!$A$36,'Données projet'!$B$36,N52+M53-V52)))</f>
        <v>561</v>
      </c>
      <c r="O53" s="13">
        <f>N53*VLOOKUP('Données projet'!$B$9,Paramètres!$A$1:$I$89,3,0)*VLOOKUP('Données projet'!$B$9,Paramètres!$A$1:$I$89,5,0)</f>
        <v>313.59899999999999</v>
      </c>
      <c r="P53" s="13">
        <f t="shared" si="33"/>
        <v>74.019938943375337</v>
      </c>
      <c r="Q53" s="20">
        <f t="shared" si="53"/>
        <v>675.10298532637864</v>
      </c>
      <c r="R53" s="59">
        <f t="shared" si="0"/>
        <v>968.43631865971201</v>
      </c>
      <c r="S53" s="59">
        <f ca="1">AVERAGE(OFFSET($R$3,0,0,'Données projet'!$E$9+1,1))-AVERAGE(OFFSET($H$3,0,0,'Données projet'!$E$9+1,1))</f>
        <v>394.9953131332565</v>
      </c>
      <c r="T53" s="59">
        <f t="shared" si="34"/>
        <v>399.58193819355591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119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6.9164979765544263</v>
      </c>
      <c r="AA53" s="21">
        <f>EXP(-LN(2)/25)*AA52+(1-EXP(-LN(2)/25))/(LN(2)/25)*Calculateur!V53*Calculateur!X53*VLOOKUP('Données projet'!$B$9,Paramètres!$A$1:$I$89,3,0)*0.475*44/12</f>
        <v>19.186512563304646</v>
      </c>
      <c r="AB53" s="21">
        <f>EXP(-LN(2)/2)*AB52+(1-EXP(-LN(2)/2))/(LN(2)/2)*V53*Y53*VLOOKUP('Données projet'!$B$9,Paramètres!$A$1:$I$89,3,0)*0.475*44/12</f>
        <v>3.1962660684944431E-2</v>
      </c>
      <c r="AC53" s="22">
        <f t="shared" si="3"/>
        <v>26.134973200544014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608</v>
      </c>
      <c r="AG53" s="12">
        <f>VLOOKUP(A53,'Données projet'!$A$61:$I$81,9,0)</f>
        <v>23.5</v>
      </c>
      <c r="AH53" s="12">
        <f t="array" ref="AH53">INDEX(AG:AG,MIN(IF(ISNUMBER(AG53:AG249),ROW(AG53:AG249),"")))</f>
        <v>23.5</v>
      </c>
      <c r="AI53" s="13">
        <f>IF('Données projet'!$A$62&gt;35,AI52+AH53-AQ52,IF(A53&lt;'Données projet'!$A$62,$AF$205^A53,IF(A53='Données projet'!$A$62,'Données projet'!$B$62,AI52+AH53-AQ52)))</f>
        <v>608</v>
      </c>
      <c r="AJ53" s="13">
        <f>AI53*VLOOKUP('Données projet'!$B$10,Paramètres!$A$1:$I$89,3,0)*VLOOKUP('Données projet'!$B$10,Paramètres!$A$1:$I$89,5,0)</f>
        <v>292.44800000000004</v>
      </c>
      <c r="AK53" s="13">
        <f t="shared" si="35"/>
        <v>69.590932665722335</v>
      </c>
      <c r="AL53" s="20">
        <f t="shared" si="4"/>
        <v>630.55114105946643</v>
      </c>
      <c r="AM53" s="59">
        <f t="shared" si="5"/>
        <v>923.8844743927998</v>
      </c>
      <c r="AN53" s="59">
        <f ca="1">AVERAGE(OFFSET($AM$3,0,0,'Données projet'!$E$10+1,1))-AVERAGE(OFFSET($H$3,0,0,'Données projet'!$E$10+1,1))</f>
        <v>364.67510777943329</v>
      </c>
      <c r="AO53" s="59">
        <f t="shared" si="36"/>
        <v>352.13878061387169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126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5.9514052356398564</v>
      </c>
      <c r="AV53" s="21">
        <f>EXP(-LN(2)/25)*AV52+(1-EXP(-LN(2)/25))/(LN(2)/25)*Calculateur!AQ53*Calculateur!AS53*VLOOKUP('Données projet'!$B$10,Paramètres!$A$1:$I$89,3,0)*0.475*44/12</f>
        <v>10.347039587616697</v>
      </c>
      <c r="AW53" s="21">
        <f>EXP(-LN(2)/2)*AW52+(1-EXP(-LN(2)/2))/(LN(2)/2)*AQ53*AT53*VLOOKUP('Données projet'!$B$10,Paramètres!$A$1:$I$89,3,0)*0.475*44/12</f>
        <v>2.6829645068006763E-2</v>
      </c>
      <c r="AX53" s="21">
        <f t="shared" si="6"/>
        <v>16.325274468324558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401</v>
      </c>
      <c r="BB53" s="12">
        <f>VLOOKUP(A53,'Données projet'!$A$87:$I$107,9,0)</f>
        <v>18.8</v>
      </c>
      <c r="BC53" s="12">
        <f t="array" ref="BC53">INDEX(BB:BB,MIN(IF(ISNUMBER(BB53:BB249),ROW(BB53:BB249),"")))</f>
        <v>18.8</v>
      </c>
      <c r="BD53" s="12">
        <f>IF('Données projet'!$A$88&gt;35,BD52+BC53-BL52,IF(A53&lt;'Données projet'!$A$88,$BA$205^A53,IF(A53='Données projet'!$A$88,'Données projet'!$B$88,BD52+BC53-BL52)))</f>
        <v>401.00000000000017</v>
      </c>
      <c r="BE53" s="13">
        <f>BD53*VLOOKUP('Données projet'!$B$11,Paramètres!$A$1:$I$89,3,0)*VLOOKUP('Données projet'!$B$11,Paramètres!$A$1:$I$89,5,0)</f>
        <v>239.79800000000012</v>
      </c>
      <c r="BF53" s="13">
        <f t="shared" si="37"/>
        <v>58.396067068575292</v>
      </c>
      <c r="BG53" s="20">
        <f t="shared" si="7"/>
        <v>519.35466681110222</v>
      </c>
      <c r="BH53" s="59">
        <f t="shared" si="8"/>
        <v>812.68800014443559</v>
      </c>
      <c r="BI53" s="59">
        <f ca="1">AVERAGE(OFFSET($BH$3,0,0,'Données projet'!$E$11+1,1))-AVERAGE(OFFSET($H$3,0,0,'Données projet'!$E$11+1,1))</f>
        <v>289.66713787052475</v>
      </c>
      <c r="BJ53" s="59">
        <f t="shared" si="38"/>
        <v>298.29439200198652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82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10.357246202748014</v>
      </c>
      <c r="BR53" s="21">
        <f>EXP(-LN(2)/2)*BR52+(1-EXP(-LN(2)/2))/(LN(2)/2)*BL53*BO53*VLOOKUP('Données projet'!$B$11,Paramètres!$A$1:$I$89,3,0)*0.475*44/12</f>
        <v>2.8008271661977575E-2</v>
      </c>
      <c r="BS53" s="22">
        <f t="shared" si="9"/>
        <v>10.385254474409992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18</v>
      </c>
      <c r="N54" s="13">
        <f>IF('Données projet'!$A$36&gt;35,N53+M54-V53,IF(A54&lt;'Données projet'!$A$36,$K$205^A54,IF(A54='Données projet'!$A$36,'Données projet'!$B$36,N53+M54-V53)))</f>
        <v>460</v>
      </c>
      <c r="O54" s="13">
        <f>N54*VLOOKUP('Données projet'!$B$9,Paramètres!$A$1:$I$89,3,0)*VLOOKUP('Données projet'!$B$9,Paramètres!$A$1:$I$89,5,0)</f>
        <v>257.14</v>
      </c>
      <c r="P54" s="13">
        <f t="shared" si="33"/>
        <v>62.112349635142181</v>
      </c>
      <c r="Q54" s="20">
        <f t="shared" si="53"/>
        <v>556.03117561453928</v>
      </c>
      <c r="R54" s="59">
        <f t="shared" si="0"/>
        <v>849.36450894787254</v>
      </c>
      <c r="S54" s="59">
        <f ca="1">AVERAGE(OFFSET($R$3,0,0,'Données projet'!$E$9+1,1))-AVERAGE(OFFSET($H$3,0,0,'Données projet'!$E$9+1,1))</f>
        <v>394.9953131332565</v>
      </c>
      <c r="T54" s="59">
        <f t="shared" si="34"/>
        <v>399.58193819355591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6.7808696698814028</v>
      </c>
      <c r="AA54" s="21">
        <f>EXP(-LN(2)/25)*AA53+(1-EXP(-LN(2)/25))/(LN(2)/25)*Calculateur!V54*Calculateur!X54*VLOOKUP('Données projet'!$B$9,Paramètres!$A$1:$I$89,3,0)*0.475*44/12</f>
        <v>18.661856368286237</v>
      </c>
      <c r="AB54" s="21">
        <f>EXP(-LN(2)/2)*AB53+(1-EXP(-LN(2)/2))/(LN(2)/2)*V54*Y54*VLOOKUP('Données projet'!$B$9,Paramètres!$A$1:$I$89,3,0)*0.475*44/12</f>
        <v>2.2601014115088868E-2</v>
      </c>
      <c r="AC54" s="22">
        <f t="shared" si="3"/>
        <v>25.465327052282731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20</v>
      </c>
      <c r="AI54" s="13">
        <f>IF('Données projet'!$A$62&gt;35,AI53+AH54-AQ53,IF(A54&lt;'Données projet'!$A$62,$AF$205^A54,IF(A54='Données projet'!$A$62,'Données projet'!$B$62,AI53+AH54-AQ53)))</f>
        <v>502</v>
      </c>
      <c r="AJ54" s="13">
        <f>AI54*VLOOKUP('Données projet'!$B$10,Paramètres!$A$1:$I$89,3,0)*VLOOKUP('Données projet'!$B$10,Paramètres!$A$1:$I$89,5,0)</f>
        <v>241.46200000000002</v>
      </c>
      <c r="AK54" s="13">
        <f t="shared" si="35"/>
        <v>58.753975634925723</v>
      </c>
      <c r="AL54" s="20">
        <f t="shared" si="4"/>
        <v>522.87615756416233</v>
      </c>
      <c r="AM54" s="59">
        <f t="shared" si="5"/>
        <v>816.2094908974957</v>
      </c>
      <c r="AN54" s="59">
        <f ca="1">AVERAGE(OFFSET($AM$3,0,0,'Données projet'!$E$10+1,1))-AVERAGE(OFFSET($H$3,0,0,'Données projet'!$E$10+1,1))</f>
        <v>364.67510777943329</v>
      </c>
      <c r="AO54" s="59">
        <f t="shared" si="36"/>
        <v>352.13878061387169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5.8347018089677203</v>
      </c>
      <c r="AV54" s="21">
        <f>EXP(-LN(2)/25)*AV53+(1-EXP(-LN(2)/25))/(LN(2)/25)*Calculateur!AQ54*Calculateur!AS54*VLOOKUP('Données projet'!$B$10,Paramètres!$A$1:$I$89,3,0)*0.475*44/12</f>
        <v>10.064099245966155</v>
      </c>
      <c r="AW54" s="21">
        <f>EXP(-LN(2)/2)*AW53+(1-EXP(-LN(2)/2))/(LN(2)/2)*AQ54*AT54*VLOOKUP('Données projet'!$B$10,Paramètres!$A$1:$I$89,3,0)*0.475*44/12</f>
        <v>1.8971423964415791E-2</v>
      </c>
      <c r="AX54" s="21">
        <f t="shared" si="6"/>
        <v>15.917772478898291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12.8</v>
      </c>
      <c r="BD54" s="12">
        <f>IF('Données projet'!$A$88&gt;35,BD53+BC54-BL53,IF(A54&lt;'Données projet'!$A$88,$BA$205^A54,IF(A54='Données projet'!$A$88,'Données projet'!$B$88,BD53+BC54-BL53)))</f>
        <v>331.80000000000018</v>
      </c>
      <c r="BE54" s="13">
        <f>BD54*VLOOKUP('Données projet'!$B$11,Paramètres!$A$1:$I$89,3,0)*VLOOKUP('Données projet'!$B$11,Paramètres!$A$1:$I$89,5,0)</f>
        <v>198.41640000000012</v>
      </c>
      <c r="BF54" s="13">
        <f t="shared" si="37"/>
        <v>49.395979521019925</v>
      </c>
      <c r="BG54" s="20">
        <f t="shared" si="7"/>
        <v>431.60656099910989</v>
      </c>
      <c r="BH54" s="59">
        <f t="shared" si="8"/>
        <v>724.93989433244315</v>
      </c>
      <c r="BI54" s="59">
        <f ca="1">AVERAGE(OFFSET($BH$3,0,0,'Données projet'!$E$11+1,1))-AVERAGE(OFFSET($H$3,0,0,'Données projet'!$E$11+1,1))</f>
        <v>289.66713787052475</v>
      </c>
      <c r="BJ54" s="59">
        <f t="shared" si="38"/>
        <v>298.29439200198652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10.074026760669964</v>
      </c>
      <c r="BR54" s="21">
        <f>EXP(-LN(2)/2)*BR53+(1-EXP(-LN(2)/2))/(LN(2)/2)*BL54*BO54*VLOOKUP('Données projet'!$B$11,Paramètres!$A$1:$I$89,3,0)*0.475*44/12</f>
        <v>1.9804838821499356E-2</v>
      </c>
      <c r="BS54" s="22">
        <f t="shared" si="9"/>
        <v>10.093831599491464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18</v>
      </c>
      <c r="N55" s="13">
        <f>IF('Données projet'!$A$36&gt;35,N54+M55-V54,IF(A55&lt;'Données projet'!$A$36,$K$205^A55,IF(A55='Données projet'!$A$36,'Données projet'!$B$36,N54+M55-V54)))</f>
        <v>478</v>
      </c>
      <c r="O55" s="13">
        <f>N55*VLOOKUP('Données projet'!$B$9,Paramètres!$A$1:$I$89,3,0)*VLOOKUP('Données projet'!$B$9,Paramètres!$A$1:$I$89,5,0)</f>
        <v>267.202</v>
      </c>
      <c r="P55" s="13">
        <f t="shared" si="33"/>
        <v>64.255103543261868</v>
      </c>
      <c r="Q55" s="20">
        <f t="shared" si="53"/>
        <v>577.28778867118103</v>
      </c>
      <c r="R55" s="59">
        <f t="shared" si="0"/>
        <v>870.62112200451429</v>
      </c>
      <c r="S55" s="59">
        <f ca="1">AVERAGE(OFFSET($R$3,0,0,'Données projet'!$E$9+1,1))-AVERAGE(OFFSET($H$3,0,0,'Données projet'!$E$9+1,1))</f>
        <v>394.9953131332565</v>
      </c>
      <c r="T55" s="59">
        <f t="shared" si="34"/>
        <v>399.58193819355591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6.6479009515771388</v>
      </c>
      <c r="AA55" s="21">
        <f>EXP(-LN(2)/25)*AA54+(1-EXP(-LN(2)/25))/(LN(2)/25)*Calculateur!V55*Calculateur!X55*VLOOKUP('Données projet'!$B$9,Paramètres!$A$1:$I$89,3,0)*0.475*44/12</f>
        <v>18.151546924511077</v>
      </c>
      <c r="AB55" s="21">
        <f>EXP(-LN(2)/2)*AB54+(1-EXP(-LN(2)/2))/(LN(2)/2)*V55*Y55*VLOOKUP('Données projet'!$B$9,Paramètres!$A$1:$I$89,3,0)*0.475*44/12</f>
        <v>1.5981330342472216E-2</v>
      </c>
      <c r="AC55" s="22">
        <f t="shared" si="3"/>
        <v>24.815429206430689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20</v>
      </c>
      <c r="AI55" s="13">
        <f>IF('Données projet'!$A$62&gt;35,AI54+AH55-AQ54,IF(A55&lt;'Données projet'!$A$62,$AF$205^A55,IF(A55='Données projet'!$A$62,'Données projet'!$B$62,AI54+AH55-AQ54)))</f>
        <v>522</v>
      </c>
      <c r="AJ55" s="13">
        <f>AI55*VLOOKUP('Données projet'!$B$10,Paramètres!$A$1:$I$89,3,0)*VLOOKUP('Données projet'!$B$10,Paramètres!$A$1:$I$89,5,0)</f>
        <v>251.08199999999999</v>
      </c>
      <c r="AK55" s="13">
        <f t="shared" si="35"/>
        <v>60.817576600008699</v>
      </c>
      <c r="AL55" s="20">
        <f t="shared" si="4"/>
        <v>543.22509591168171</v>
      </c>
      <c r="AM55" s="59">
        <f t="shared" si="5"/>
        <v>836.55842924501508</v>
      </c>
      <c r="AN55" s="59">
        <f ca="1">AVERAGE(OFFSET($AM$3,0,0,'Données projet'!$E$10+1,1))-AVERAGE(OFFSET($H$3,0,0,'Données projet'!$E$10+1,1))</f>
        <v>364.67510777943329</v>
      </c>
      <c r="AO55" s="59">
        <f t="shared" si="36"/>
        <v>352.13878061387169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5.7202868653105625</v>
      </c>
      <c r="AV55" s="21">
        <f>EXP(-LN(2)/25)*AV54+(1-EXP(-LN(2)/25))/(LN(2)/25)*Calculateur!AQ55*Calculateur!AS55*VLOOKUP('Données projet'!$B$10,Paramètres!$A$1:$I$89,3,0)*0.475*44/12</f>
        <v>9.7888959228372325</v>
      </c>
      <c r="AW55" s="21">
        <f>EXP(-LN(2)/2)*AW54+(1-EXP(-LN(2)/2))/(LN(2)/2)*AQ55*AT55*VLOOKUP('Données projet'!$B$10,Paramètres!$A$1:$I$89,3,0)*0.475*44/12</f>
        <v>1.3414822534003381E-2</v>
      </c>
      <c r="AX55" s="21">
        <f t="shared" si="6"/>
        <v>15.522597610681798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12.8</v>
      </c>
      <c r="BD55" s="12">
        <f>IF('Données projet'!$A$88&gt;35,BD54+BC55-BL54,IF(A55&lt;'Données projet'!$A$88,$BA$205^A55,IF(A55='Données projet'!$A$88,'Données projet'!$B$88,BD54+BC55-BL54)))</f>
        <v>344.60000000000019</v>
      </c>
      <c r="BE55" s="13">
        <f>BD55*VLOOKUP('Données projet'!$B$11,Paramètres!$A$1:$I$89,3,0)*VLOOKUP('Données projet'!$B$11,Paramètres!$A$1:$I$89,5,0)</f>
        <v>206.07080000000013</v>
      </c>
      <c r="BF55" s="13">
        <f t="shared" si="37"/>
        <v>51.076015061754575</v>
      </c>
      <c r="BG55" s="20">
        <f t="shared" si="7"/>
        <v>447.86403623255609</v>
      </c>
      <c r="BH55" s="59">
        <f t="shared" si="8"/>
        <v>741.1973695658894</v>
      </c>
      <c r="BI55" s="59">
        <f ca="1">AVERAGE(OFFSET($BH$3,0,0,'Données projet'!$E$11+1,1))-AVERAGE(OFFSET($H$3,0,0,'Données projet'!$E$11+1,1))</f>
        <v>289.66713787052475</v>
      </c>
      <c r="BJ55" s="59">
        <f t="shared" si="38"/>
        <v>298.29439200198652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9.7985519691294005</v>
      </c>
      <c r="BR55" s="21">
        <f>EXP(-LN(2)/2)*BR54+(1-EXP(-LN(2)/2))/(LN(2)/2)*BL55*BO55*VLOOKUP('Données projet'!$B$11,Paramètres!$A$1:$I$89,3,0)*0.475*44/12</f>
        <v>1.4004135830988787E-2</v>
      </c>
      <c r="BS55" s="22">
        <f t="shared" si="9"/>
        <v>9.8125561049603895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18</v>
      </c>
      <c r="N56" s="13">
        <f>IF('Données projet'!$A$36&gt;35,N55+M56-V55,IF(A56&lt;'Données projet'!$A$36,$K$205^A56,IF(A56='Données projet'!$A$36,'Données projet'!$B$36,N55+M56-V55)))</f>
        <v>496</v>
      </c>
      <c r="O56" s="13">
        <f>N56*VLOOKUP('Données projet'!$B$9,Paramètres!$A$1:$I$89,3,0)*VLOOKUP('Données projet'!$B$9,Paramètres!$A$1:$I$89,5,0)</f>
        <v>277.26400000000001</v>
      </c>
      <c r="P56" s="13">
        <f t="shared" si="33"/>
        <v>66.388483410423504</v>
      </c>
      <c r="Q56" s="20">
        <f t="shared" si="53"/>
        <v>598.52807527315429</v>
      </c>
      <c r="R56" s="59">
        <f t="shared" si="0"/>
        <v>891.86140860648766</v>
      </c>
      <c r="S56" s="59">
        <f ca="1">AVERAGE(OFFSET($R$3,0,0,'Données projet'!$E$9+1,1))-AVERAGE(OFFSET($H$3,0,0,'Données projet'!$E$9+1,1))</f>
        <v>394.9953131332565</v>
      </c>
      <c r="T56" s="59">
        <f t="shared" si="34"/>
        <v>399.58193819355591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6.5175396687359113</v>
      </c>
      <c r="AA56" s="21">
        <f>EXP(-LN(2)/25)*AA55+(1-EXP(-LN(2)/25))/(LN(2)/25)*Calculateur!V56*Calculateur!X56*VLOOKUP('Données projet'!$B$9,Paramètres!$A$1:$I$89,3,0)*0.475*44/12</f>
        <v>17.655191919311957</v>
      </c>
      <c r="AB56" s="21">
        <f>EXP(-LN(2)/2)*AB55+(1-EXP(-LN(2)/2))/(LN(2)/2)*V56*Y56*VLOOKUP('Données projet'!$B$9,Paramètres!$A$1:$I$89,3,0)*0.475*44/12</f>
        <v>1.1300507057544434E-2</v>
      </c>
      <c r="AC56" s="22">
        <f t="shared" si="3"/>
        <v>24.184032095105412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20</v>
      </c>
      <c r="AI56" s="13">
        <f>IF('Données projet'!$A$62&gt;35,AI55+AH56-AQ55,IF(A56&lt;'Données projet'!$A$62,$AF$205^A56,IF(A56='Données projet'!$A$62,'Données projet'!$B$62,AI55+AH56-AQ55)))</f>
        <v>542</v>
      </c>
      <c r="AJ56" s="13">
        <f>AI56*VLOOKUP('Données projet'!$B$10,Paramètres!$A$1:$I$89,3,0)*VLOOKUP('Données projet'!$B$10,Paramètres!$A$1:$I$89,5,0)</f>
        <v>260.702</v>
      </c>
      <c r="AK56" s="13">
        <f t="shared" si="35"/>
        <v>62.871992497172378</v>
      </c>
      <c r="AL56" s="20">
        <f t="shared" si="4"/>
        <v>563.55803693257519</v>
      </c>
      <c r="AM56" s="59">
        <f t="shared" si="5"/>
        <v>856.89137026590856</v>
      </c>
      <c r="AN56" s="59">
        <f ca="1">AVERAGE(OFFSET($AM$3,0,0,'Données projet'!$E$10+1,1))-AVERAGE(OFFSET($H$3,0,0,'Données projet'!$E$10+1,1))</f>
        <v>364.67510777943329</v>
      </c>
      <c r="AO56" s="59">
        <f t="shared" si="36"/>
        <v>352.13878061387169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5.6081155289122968</v>
      </c>
      <c r="AV56" s="21">
        <f>EXP(-LN(2)/25)*AV55+(1-EXP(-LN(2)/25))/(LN(2)/25)*Calculateur!AQ56*Calculateur!AS56*VLOOKUP('Données projet'!$B$10,Paramètres!$A$1:$I$89,3,0)*0.475*44/12</f>
        <v>9.5212180490515852</v>
      </c>
      <c r="AW56" s="21">
        <f>EXP(-LN(2)/2)*AW55+(1-EXP(-LN(2)/2))/(LN(2)/2)*AQ56*AT56*VLOOKUP('Données projet'!$B$10,Paramètres!$A$1:$I$89,3,0)*0.475*44/12</f>
        <v>9.4857119822078957E-3</v>
      </c>
      <c r="AX56" s="21">
        <f t="shared" si="6"/>
        <v>15.13881928994609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12.8</v>
      </c>
      <c r="BD56" s="12">
        <f>IF('Données projet'!$A$88&gt;35,BD55+BC56-BL55,IF(A56&lt;'Données projet'!$A$88,$BA$205^A56,IF(A56='Données projet'!$A$88,'Données projet'!$B$88,BD55+BC56-BL55)))</f>
        <v>357.4000000000002</v>
      </c>
      <c r="BE56" s="13">
        <f>BD56*VLOOKUP('Données projet'!$B$11,Paramètres!$A$1:$I$89,3,0)*VLOOKUP('Données projet'!$B$11,Paramètres!$A$1:$I$89,5,0)</f>
        <v>213.72520000000014</v>
      </c>
      <c r="BF56" s="13">
        <f t="shared" si="37"/>
        <v>52.748800684046955</v>
      </c>
      <c r="BG56" s="20">
        <f t="shared" si="7"/>
        <v>464.10888452471528</v>
      </c>
      <c r="BH56" s="59">
        <f t="shared" si="8"/>
        <v>757.44221785804859</v>
      </c>
      <c r="BI56" s="59">
        <f ca="1">AVERAGE(OFFSET($BH$3,0,0,'Données projet'!$E$11+1,1))-AVERAGE(OFFSET($H$3,0,0,'Données projet'!$E$11+1,1))</f>
        <v>289.66713787052475</v>
      </c>
      <c r="BJ56" s="59">
        <f t="shared" si="38"/>
        <v>298.29439200198652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9.5306100502501039</v>
      </c>
      <c r="BR56" s="21">
        <f>EXP(-LN(2)/2)*BR55+(1-EXP(-LN(2)/2))/(LN(2)/2)*BL56*BO56*VLOOKUP('Données projet'!$B$11,Paramètres!$A$1:$I$89,3,0)*0.475*44/12</f>
        <v>9.9024194107496782E-3</v>
      </c>
      <c r="BS56" s="22">
        <f t="shared" si="9"/>
        <v>9.5405124696608539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18</v>
      </c>
      <c r="N57" s="13">
        <f>IF('Données projet'!$A$36&gt;35,N56+M57-V56,IF(A57&lt;'Données projet'!$A$36,$K$205^A57,IF(A57='Données projet'!$A$36,'Données projet'!$B$36,N56+M57-V56)))</f>
        <v>514</v>
      </c>
      <c r="O57" s="13">
        <f>N57*VLOOKUP('Données projet'!$B$9,Paramètres!$A$1:$I$89,3,0)*VLOOKUP('Données projet'!$B$9,Paramètres!$A$1:$I$89,5,0)</f>
        <v>287.32600000000002</v>
      </c>
      <c r="P57" s="13">
        <f t="shared" si="33"/>
        <v>68.512868389632061</v>
      </c>
      <c r="Q57" s="20">
        <f t="shared" si="53"/>
        <v>619.75269577860911</v>
      </c>
      <c r="R57" s="59">
        <f t="shared" si="0"/>
        <v>913.08602911194248</v>
      </c>
      <c r="S57" s="59">
        <f ca="1">AVERAGE(OFFSET($R$3,0,0,'Données projet'!$E$9+1,1))-AVERAGE(OFFSET($H$3,0,0,'Données projet'!$E$9+1,1))</f>
        <v>394.9953131332565</v>
      </c>
      <c r="T57" s="59">
        <f t="shared" si="34"/>
        <v>399.58193819355591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6.3897346911386688</v>
      </c>
      <c r="AA57" s="21">
        <f>EXP(-LN(2)/25)*AA56+(1-EXP(-LN(2)/25))/(LN(2)/25)*Calculateur!V57*Calculateur!X57*VLOOKUP('Données projet'!$B$9,Paramètres!$A$1:$I$89,3,0)*0.475*44/12</f>
        <v>17.172409767832178</v>
      </c>
      <c r="AB57" s="21">
        <f>EXP(-LN(2)/2)*AB56+(1-EXP(-LN(2)/2))/(LN(2)/2)*V57*Y57*VLOOKUP('Données projet'!$B$9,Paramètres!$A$1:$I$89,3,0)*0.475*44/12</f>
        <v>7.9906651712361079E-3</v>
      </c>
      <c r="AC57" s="22">
        <f t="shared" si="3"/>
        <v>23.570135124142084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20</v>
      </c>
      <c r="AI57" s="13">
        <f>IF('Données projet'!$A$62&gt;35,AI56+AH57-AQ56,IF(A57&lt;'Données projet'!$A$62,$AF$205^A57,IF(A57='Données projet'!$A$62,'Données projet'!$B$62,AI56+AH57-AQ56)))</f>
        <v>562</v>
      </c>
      <c r="AJ57" s="13">
        <f>AI57*VLOOKUP('Données projet'!$B$10,Paramètres!$A$1:$I$89,3,0)*VLOOKUP('Données projet'!$B$10,Paramètres!$A$1:$I$89,5,0)</f>
        <v>270.322</v>
      </c>
      <c r="AK57" s="13">
        <f t="shared" si="35"/>
        <v>64.917601073514717</v>
      </c>
      <c r="AL57" s="20">
        <f t="shared" si="4"/>
        <v>583.87563853637141</v>
      </c>
      <c r="AM57" s="59">
        <f t="shared" si="5"/>
        <v>877.20897186970478</v>
      </c>
      <c r="AN57" s="59">
        <f ca="1">AVERAGE(OFFSET($AM$3,0,0,'Données projet'!$E$10+1,1))-AVERAGE(OFFSET($H$3,0,0,'Données projet'!$E$10+1,1))</f>
        <v>364.67510777943329</v>
      </c>
      <c r="AO57" s="59">
        <f t="shared" si="36"/>
        <v>352.13878061387169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5.4981438040030417</v>
      </c>
      <c r="AV57" s="21">
        <f>EXP(-LN(2)/25)*AV56+(1-EXP(-LN(2)/25))/(LN(2)/25)*Calculateur!AQ57*Calculateur!AS57*VLOOKUP('Données projet'!$B$10,Paramètres!$A$1:$I$89,3,0)*0.475*44/12</f>
        <v>9.2608598408011726</v>
      </c>
      <c r="AW57" s="21">
        <f>EXP(-LN(2)/2)*AW56+(1-EXP(-LN(2)/2))/(LN(2)/2)*AQ57*AT57*VLOOKUP('Données projet'!$B$10,Paramètres!$A$1:$I$89,3,0)*0.475*44/12</f>
        <v>6.7074112670016907E-3</v>
      </c>
      <c r="AX57" s="21">
        <f t="shared" si="6"/>
        <v>14.765711056071215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12.8</v>
      </c>
      <c r="BD57" s="12">
        <f>IF('Données projet'!$A$88&gt;35,BD56+BC57-BL56,IF(A57&lt;'Données projet'!$A$88,$BA$205^A57,IF(A57='Données projet'!$A$88,'Données projet'!$B$88,BD56+BC57-BL56)))</f>
        <v>370.20000000000022</v>
      </c>
      <c r="BE57" s="13">
        <f>BD57*VLOOKUP('Données projet'!$B$11,Paramètres!$A$1:$I$89,3,0)*VLOOKUP('Données projet'!$B$11,Paramètres!$A$1:$I$89,5,0)</f>
        <v>221.37960000000015</v>
      </c>
      <c r="BF57" s="13">
        <f t="shared" si="37"/>
        <v>54.414625783743794</v>
      </c>
      <c r="BG57" s="20">
        <f t="shared" si="7"/>
        <v>480.34160990668738</v>
      </c>
      <c r="BH57" s="59">
        <f t="shared" si="8"/>
        <v>773.67494324002064</v>
      </c>
      <c r="BI57" s="59">
        <f ca="1">AVERAGE(OFFSET($BH$3,0,0,'Données projet'!$E$11+1,1))-AVERAGE(OFFSET($H$3,0,0,'Données projet'!$E$11+1,1))</f>
        <v>289.66713787052475</v>
      </c>
      <c r="BJ57" s="59">
        <f t="shared" si="38"/>
        <v>298.29439200198652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9.2699950172330148</v>
      </c>
      <c r="BR57" s="21">
        <f>EXP(-LN(2)/2)*BR56+(1-EXP(-LN(2)/2))/(LN(2)/2)*BL57*BO57*VLOOKUP('Données projet'!$B$11,Paramètres!$A$1:$I$89,3,0)*0.475*44/12</f>
        <v>7.0020679154943937E-3</v>
      </c>
      <c r="BS57" s="22">
        <f t="shared" si="9"/>
        <v>9.2769970851485084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18</v>
      </c>
      <c r="N58" s="13">
        <f>IF('Données projet'!$A$36&gt;35,N57+M58-V57,IF(A58&lt;'Données projet'!$A$36,$K$205^A58,IF(A58='Données projet'!$A$36,'Données projet'!$B$36,N57+M58-V57)))</f>
        <v>532</v>
      </c>
      <c r="O58" s="13">
        <f>N58*VLOOKUP('Données projet'!$B$9,Paramètres!$A$1:$I$89,3,0)*VLOOKUP('Données projet'!$B$9,Paramètres!$A$1:$I$89,5,0)</f>
        <v>297.38799999999998</v>
      </c>
      <c r="P58" s="13">
        <f t="shared" si="33"/>
        <v>70.628609572625066</v>
      </c>
      <c r="Q58" s="20">
        <f t="shared" si="53"/>
        <v>640.96226167232192</v>
      </c>
      <c r="R58" s="59">
        <f t="shared" si="0"/>
        <v>934.29559500565529</v>
      </c>
      <c r="S58" s="59">
        <f ca="1">AVERAGE(OFFSET($R$3,0,0,'Données projet'!$E$9+1,1))-AVERAGE(OFFSET($H$3,0,0,'Données projet'!$E$9+1,1))</f>
        <v>394.9953131332565</v>
      </c>
      <c r="T58" s="59">
        <f t="shared" si="34"/>
        <v>399.58193819355591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6.2644358911987696</v>
      </c>
      <c r="AA58" s="21">
        <f>EXP(-LN(2)/25)*AA57+(1-EXP(-LN(2)/25))/(LN(2)/25)*Calculateur!V58*Calculateur!X58*VLOOKUP('Données projet'!$B$9,Paramètres!$A$1:$I$89,3,0)*0.475*44/12</f>
        <v>16.702829319673025</v>
      </c>
      <c r="AB58" s="21">
        <f>EXP(-LN(2)/2)*AB57+(1-EXP(-LN(2)/2))/(LN(2)/2)*V58*Y58*VLOOKUP('Données projet'!$B$9,Paramètres!$A$1:$I$89,3,0)*0.475*44/12</f>
        <v>5.650253528772217E-3</v>
      </c>
      <c r="AC58" s="22">
        <f t="shared" si="3"/>
        <v>22.972915464400565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20</v>
      </c>
      <c r="AI58" s="13">
        <f>IF('Données projet'!$A$62&gt;35,AI57+AH58-AQ57,IF(A58&lt;'Données projet'!$A$62,$AF$205^A58,IF(A58='Données projet'!$A$62,'Données projet'!$B$62,AI57+AH58-AQ57)))</f>
        <v>582</v>
      </c>
      <c r="AJ58" s="13">
        <f>AI58*VLOOKUP('Données projet'!$B$10,Paramètres!$A$1:$I$89,3,0)*VLOOKUP('Données projet'!$B$10,Paramètres!$A$1:$I$89,5,0)</f>
        <v>279.94200000000001</v>
      </c>
      <c r="AK58" s="13">
        <f t="shared" si="35"/>
        <v>66.954751666026226</v>
      </c>
      <c r="AL58" s="20">
        <f t="shared" si="4"/>
        <v>604.1785091516623</v>
      </c>
      <c r="AM58" s="59">
        <f t="shared" si="5"/>
        <v>897.51184248499567</v>
      </c>
      <c r="AN58" s="59">
        <f ca="1">AVERAGE(OFFSET($AM$3,0,0,'Données projet'!$E$10+1,1))-AVERAGE(OFFSET($H$3,0,0,'Données projet'!$E$10+1,1))</f>
        <v>364.67510777943329</v>
      </c>
      <c r="AO58" s="59">
        <f t="shared" si="36"/>
        <v>352.13878061387169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5.3903285575431283</v>
      </c>
      <c r="AV58" s="21">
        <f>EXP(-LN(2)/25)*AV57+(1-EXP(-LN(2)/25))/(LN(2)/25)*Calculateur!AQ58*Calculateur!AS58*VLOOKUP('Données projet'!$B$10,Paramètres!$A$1:$I$89,3,0)*0.475*44/12</f>
        <v>9.0076211414470109</v>
      </c>
      <c r="AW58" s="21">
        <f>EXP(-LN(2)/2)*AW57+(1-EXP(-LN(2)/2))/(LN(2)/2)*AQ58*AT58*VLOOKUP('Données projet'!$B$10,Paramètres!$A$1:$I$89,3,0)*0.475*44/12</f>
        <v>4.7428559911039479E-3</v>
      </c>
      <c r="AX58" s="21">
        <f t="shared" si="6"/>
        <v>14.402692554981243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12.8</v>
      </c>
      <c r="BD58" s="12">
        <f>IF('Données projet'!$A$88&gt;35,BD57+BC58-BL57,IF(A58&lt;'Données projet'!$A$88,$BA$205^A58,IF(A58='Données projet'!$A$88,'Données projet'!$B$88,BD57+BC58-BL57)))</f>
        <v>383.00000000000023</v>
      </c>
      <c r="BE58" s="13">
        <f>BD58*VLOOKUP('Données projet'!$B$11,Paramètres!$A$1:$I$89,3,0)*VLOOKUP('Données projet'!$B$11,Paramètres!$A$1:$I$89,5,0)</f>
        <v>229.03400000000016</v>
      </c>
      <c r="BF58" s="13">
        <f t="shared" si="37"/>
        <v>56.073758609460775</v>
      </c>
      <c r="BG58" s="20">
        <f t="shared" si="7"/>
        <v>496.56267957814447</v>
      </c>
      <c r="BH58" s="59">
        <f t="shared" si="8"/>
        <v>789.89601291147778</v>
      </c>
      <c r="BI58" s="59">
        <f ca="1">AVERAGE(OFFSET($BH$3,0,0,'Données projet'!$E$11+1,1))-AVERAGE(OFFSET($H$3,0,0,'Données projet'!$E$11+1,1))</f>
        <v>289.66713787052475</v>
      </c>
      <c r="BJ58" s="59">
        <f t="shared" si="38"/>
        <v>298.29439200198652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9.0165065159989268</v>
      </c>
      <c r="BR58" s="21">
        <f>EXP(-LN(2)/2)*BR57+(1-EXP(-LN(2)/2))/(LN(2)/2)*BL58*BO58*VLOOKUP('Données projet'!$B$11,Paramètres!$A$1:$I$89,3,0)*0.475*44/12</f>
        <v>4.9512097053748391E-3</v>
      </c>
      <c r="BS58" s="22">
        <f t="shared" si="9"/>
        <v>9.0214577257043018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18</v>
      </c>
      <c r="N59" s="13">
        <f>IF('Données projet'!$A$36&gt;35,N58+M59-V58,IF(A59&lt;'Données projet'!$A$36,$K$205^A59,IF(A59='Données projet'!$A$36,'Données projet'!$B$36,N58+M59-V58)))</f>
        <v>550</v>
      </c>
      <c r="O59" s="13">
        <f>N59*VLOOKUP('Données projet'!$B$9,Paramètres!$A$1:$I$89,3,0)*VLOOKUP('Données projet'!$B$9,Paramètres!$A$1:$I$89,5,0)</f>
        <v>307.45</v>
      </c>
      <c r="P59" s="13">
        <f t="shared" si="33"/>
        <v>72.736032945200179</v>
      </c>
      <c r="Q59" s="20">
        <f t="shared" si="53"/>
        <v>662.15734071289023</v>
      </c>
      <c r="R59" s="59">
        <f t="shared" si="0"/>
        <v>955.4906740462236</v>
      </c>
      <c r="S59" s="59">
        <f ca="1">AVERAGE(OFFSET($R$3,0,0,'Données projet'!$E$9+1,1))-AVERAGE(OFFSET($H$3,0,0,'Données projet'!$E$9+1,1))</f>
        <v>394.9953131332565</v>
      </c>
      <c r="T59" s="59">
        <f t="shared" si="34"/>
        <v>399.58193819355591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6.14159412430097</v>
      </c>
      <c r="AA59" s="21">
        <f>EXP(-LN(2)/25)*AA58+(1-EXP(-LN(2)/25))/(LN(2)/25)*Calculateur!V59*Calculateur!X59*VLOOKUP('Données projet'!$B$9,Paramètres!$A$1:$I$89,3,0)*0.475*44/12</f>
        <v>16.246089573562948</v>
      </c>
      <c r="AB59" s="21">
        <f>EXP(-LN(2)/2)*AB58+(1-EXP(-LN(2)/2))/(LN(2)/2)*V59*Y59*VLOOKUP('Données projet'!$B$9,Paramètres!$A$1:$I$89,3,0)*0.475*44/12</f>
        <v>3.9953325856180539E-3</v>
      </c>
      <c r="AC59" s="22">
        <f t="shared" si="3"/>
        <v>22.391679030449534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20</v>
      </c>
      <c r="AI59" s="13">
        <f>IF('Données projet'!$A$62&gt;35,AI58+AH59-AQ58,IF(A59&lt;'Données projet'!$A$62,$AF$205^A59,IF(A59='Données projet'!$A$62,'Données projet'!$B$62,AI58+AH59-AQ58)))</f>
        <v>602</v>
      </c>
      <c r="AJ59" s="13">
        <f>AI59*VLOOKUP('Données projet'!$B$10,Paramètres!$A$1:$I$89,3,0)*VLOOKUP('Données projet'!$B$10,Paramètres!$A$1:$I$89,5,0)</f>
        <v>289.56200000000001</v>
      </c>
      <c r="AK59" s="13">
        <f t="shared" si="35"/>
        <v>68.983768240479478</v>
      </c>
      <c r="AL59" s="20">
        <f t="shared" si="4"/>
        <v>624.46721301883508</v>
      </c>
      <c r="AM59" s="59">
        <f t="shared" si="5"/>
        <v>917.80054635216834</v>
      </c>
      <c r="AN59" s="59">
        <f ca="1">AVERAGE(OFFSET($AM$3,0,0,'Données projet'!$E$10+1,1))-AVERAGE(OFFSET($H$3,0,0,'Données projet'!$E$10+1,1))</f>
        <v>364.67510777943329</v>
      </c>
      <c r="AO59" s="59">
        <f t="shared" si="36"/>
        <v>352.13878061387169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5.2846275023054865</v>
      </c>
      <c r="AV59" s="21">
        <f>EXP(-LN(2)/25)*AV58+(1-EXP(-LN(2)/25))/(LN(2)/25)*Calculateur!AQ59*Calculateur!AS59*VLOOKUP('Données projet'!$B$10,Paramètres!$A$1:$I$89,3,0)*0.475*44/12</f>
        <v>8.7613072676439341</v>
      </c>
      <c r="AW59" s="21">
        <f>EXP(-LN(2)/2)*AW58+(1-EXP(-LN(2)/2))/(LN(2)/2)*AQ59*AT59*VLOOKUP('Données projet'!$B$10,Paramètres!$A$1:$I$89,3,0)*0.475*44/12</f>
        <v>3.3537056335008453E-3</v>
      </c>
      <c r="AX59" s="21">
        <f t="shared" si="6"/>
        <v>14.049288475582921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12.8</v>
      </c>
      <c r="BD59" s="12">
        <f>IF('Données projet'!$A$88&gt;35,BD58+BC59-BL58,IF(A59&lt;'Données projet'!$A$88,$BA$205^A59,IF(A59='Données projet'!$A$88,'Données projet'!$B$88,BD58+BC59-BL58)))</f>
        <v>395.80000000000024</v>
      </c>
      <c r="BE59" s="13">
        <f>BD59*VLOOKUP('Données projet'!$B$11,Paramètres!$A$1:$I$89,3,0)*VLOOKUP('Données projet'!$B$11,Paramètres!$A$1:$I$89,5,0)</f>
        <v>236.68840000000017</v>
      </c>
      <c r="BF59" s="13">
        <f t="shared" si="37"/>
        <v>57.726448462488456</v>
      </c>
      <c r="BG59" s="20">
        <f t="shared" si="7"/>
        <v>512.77252773883436</v>
      </c>
      <c r="BH59" s="59">
        <f t="shared" si="8"/>
        <v>806.10586107216773</v>
      </c>
      <c r="BI59" s="59">
        <f ca="1">AVERAGE(OFFSET($BH$3,0,0,'Données projet'!$E$11+1,1))-AVERAGE(OFFSET($H$3,0,0,'Données projet'!$E$11+1,1))</f>
        <v>289.66713787052475</v>
      </c>
      <c r="BJ59" s="59">
        <f t="shared" si="38"/>
        <v>298.29439200198652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8.7699496711614664</v>
      </c>
      <c r="BR59" s="21">
        <f>EXP(-LN(2)/2)*BR58+(1-EXP(-LN(2)/2))/(LN(2)/2)*BL59*BO59*VLOOKUP('Données projet'!$B$11,Paramètres!$A$1:$I$89,3,0)*0.475*44/12</f>
        <v>3.5010339577471968E-3</v>
      </c>
      <c r="BS59" s="22">
        <f t="shared" si="9"/>
        <v>8.7734507051192132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</v>
      </c>
      <c r="N60" s="13">
        <f>IF('Données projet'!$A$36&gt;35,N59+M60-V59,IF(A60&lt;'Données projet'!$A$36,$K$205^A60,IF(A60='Données projet'!$A$36,'Données projet'!$B$36,N59+M60-V59)))</f>
        <v>568</v>
      </c>
      <c r="O60" s="13">
        <f>N60*VLOOKUP('Données projet'!$B$9,Paramètres!$A$1:$I$89,3,0)*VLOOKUP('Données projet'!$B$9,Paramètres!$A$1:$I$89,5,0)</f>
        <v>317.512</v>
      </c>
      <c r="P60" s="13">
        <f t="shared" si="33"/>
        <v>74.835441944795136</v>
      </c>
      <c r="Q60" s="20">
        <f t="shared" si="53"/>
        <v>683.33846138718491</v>
      </c>
      <c r="R60" s="59">
        <f t="shared" si="0"/>
        <v>976.67179472051816</v>
      </c>
      <c r="S60" s="59">
        <f ca="1">AVERAGE(OFFSET($R$3,0,0,'Données projet'!$E$9+1,1))-AVERAGE(OFFSET($H$3,0,0,'Données projet'!$E$9+1,1))</f>
        <v>394.9953131332565</v>
      </c>
      <c r="T60" s="59">
        <f t="shared" si="34"/>
        <v>399.58193819355591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6.0211612095259568</v>
      </c>
      <c r="AA60" s="21">
        <f>EXP(-LN(2)/25)*AA59+(1-EXP(-LN(2)/25))/(LN(2)/25)*Calculateur!V60*Calculateur!X60*VLOOKUP('Données projet'!$B$9,Paramètres!$A$1:$I$89,3,0)*0.475*44/12</f>
        <v>15.801839399829149</v>
      </c>
      <c r="AB60" s="21">
        <f>EXP(-LN(2)/2)*AB59+(1-EXP(-LN(2)/2))/(LN(2)/2)*V60*Y60*VLOOKUP('Données projet'!$B$9,Paramètres!$A$1:$I$89,3,0)*0.475*44/12</f>
        <v>2.8251267643861085E-3</v>
      </c>
      <c r="AC60" s="22">
        <f t="shared" si="3"/>
        <v>21.825825736119491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20</v>
      </c>
      <c r="AI60" s="13">
        <f>IF('Données projet'!$A$62&gt;35,AI59+AH60-AQ59,IF(A60&lt;'Données projet'!$A$62,$AF$205^A60,IF(A60='Données projet'!$A$62,'Données projet'!$B$62,AI59+AH60-AQ59)))</f>
        <v>622</v>
      </c>
      <c r="AJ60" s="13">
        <f>AI60*VLOOKUP('Données projet'!$B$10,Paramètres!$A$1:$I$89,3,0)*VLOOKUP('Données projet'!$B$10,Paramètres!$A$1:$I$89,5,0)</f>
        <v>299.18200000000002</v>
      </c>
      <c r="AK60" s="13">
        <f t="shared" si="35"/>
        <v>71.004952015135231</v>
      </c>
      <c r="AL60" s="20">
        <f t="shared" si="4"/>
        <v>644.74227475969394</v>
      </c>
      <c r="AM60" s="59">
        <f t="shared" si="5"/>
        <v>938.07560809302731</v>
      </c>
      <c r="AN60" s="59">
        <f ca="1">AVERAGE(OFFSET($AM$3,0,0,'Données projet'!$E$10+1,1))-AVERAGE(OFFSET($H$3,0,0,'Données projet'!$E$10+1,1))</f>
        <v>364.67510777943329</v>
      </c>
      <c r="AO60" s="59">
        <f t="shared" si="36"/>
        <v>352.13878061387169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5.1809991802897777</v>
      </c>
      <c r="AV60" s="21">
        <f>EXP(-LN(2)/25)*AV59+(1-EXP(-LN(2)/25))/(LN(2)/25)*Calculateur!AQ60*Calculateur!AS60*VLOOKUP('Données projet'!$B$10,Paramètres!$A$1:$I$89,3,0)*0.475*44/12</f>
        <v>8.521728859673086</v>
      </c>
      <c r="AW60" s="21">
        <f>EXP(-LN(2)/2)*AW59+(1-EXP(-LN(2)/2))/(LN(2)/2)*AQ60*AT60*VLOOKUP('Données projet'!$B$10,Paramètres!$A$1:$I$89,3,0)*0.475*44/12</f>
        <v>2.3714279955519739E-3</v>
      </c>
      <c r="AX60" s="21">
        <f t="shared" si="6"/>
        <v>13.705099467958416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12.8</v>
      </c>
      <c r="BD60" s="12">
        <f>IF('Données projet'!$A$88&gt;35,BD59+BC60-BL59,IF(A60&lt;'Données projet'!$A$88,$BA$205^A60,IF(A60='Données projet'!$A$88,'Données projet'!$B$88,BD59+BC60-BL59)))</f>
        <v>408.60000000000025</v>
      </c>
      <c r="BE60" s="13">
        <f>BD60*VLOOKUP('Données projet'!$B$11,Paramètres!$A$1:$I$89,3,0)*VLOOKUP('Données projet'!$B$11,Paramètres!$A$1:$I$89,5,0)</f>
        <v>244.34280000000018</v>
      </c>
      <c r="BF60" s="13">
        <f t="shared" si="37"/>
        <v>59.372927604128122</v>
      </c>
      <c r="BG60" s="20">
        <f t="shared" si="7"/>
        <v>528.97155891052341</v>
      </c>
      <c r="BH60" s="59">
        <f t="shared" si="8"/>
        <v>822.30489224385678</v>
      </c>
      <c r="BI60" s="59">
        <f ca="1">AVERAGE(OFFSET($BH$3,0,0,'Données projet'!$E$11+1,1))-AVERAGE(OFFSET($H$3,0,0,'Données projet'!$E$11+1,1))</f>
        <v>289.66713787052475</v>
      </c>
      <c r="BJ60" s="59">
        <f t="shared" si="38"/>
        <v>298.29439200198652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8.5301349362119474</v>
      </c>
      <c r="BR60" s="21">
        <f>EXP(-LN(2)/2)*BR59+(1-EXP(-LN(2)/2))/(LN(2)/2)*BL60*BO60*VLOOKUP('Données projet'!$B$11,Paramètres!$A$1:$I$89,3,0)*0.475*44/12</f>
        <v>2.4756048526874195E-3</v>
      </c>
      <c r="BS60" s="22">
        <f t="shared" si="9"/>
        <v>8.5326105410646349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</v>
      </c>
      <c r="N61" s="13">
        <f>IF('Données projet'!$A$36&gt;35,N60+M61-V60,IF(A61&lt;'Données projet'!$A$36,$K$205^A61,IF(A61='Données projet'!$A$36,'Données projet'!$B$36,N60+M61-V60)))</f>
        <v>586</v>
      </c>
      <c r="O61" s="13">
        <f>N61*VLOOKUP('Données projet'!$B$9,Paramètres!$A$1:$I$89,3,0)*VLOOKUP('Données projet'!$B$9,Paramètres!$A$1:$I$89,5,0)</f>
        <v>327.57400000000001</v>
      </c>
      <c r="P61" s="13">
        <f t="shared" si="33"/>
        <v>76.927119684760811</v>
      </c>
      <c r="Q61" s="20">
        <f t="shared" si="53"/>
        <v>704.50611678429186</v>
      </c>
      <c r="R61" s="59">
        <f t="shared" si="0"/>
        <v>997.83945011762512</v>
      </c>
      <c r="S61" s="59">
        <f ca="1">AVERAGE(OFFSET($R$3,0,0,'Données projet'!$E$9+1,1))-AVERAGE(OFFSET($H$3,0,0,'Données projet'!$E$9+1,1))</f>
        <v>394.9953131332565</v>
      </c>
      <c r="T61" s="59">
        <f t="shared" si="34"/>
        <v>399.58193819355591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5.9030899107528567</v>
      </c>
      <c r="AA61" s="21">
        <f>EXP(-LN(2)/25)*AA60+(1-EXP(-LN(2)/25))/(LN(2)/25)*Calculateur!V61*Calculateur!X61*VLOOKUP('Données projet'!$B$9,Paramètres!$A$1:$I$89,3,0)*0.475*44/12</f>
        <v>15.369737270458202</v>
      </c>
      <c r="AB61" s="21">
        <f>EXP(-LN(2)/2)*AB60+(1-EXP(-LN(2)/2))/(LN(2)/2)*V61*Y61*VLOOKUP('Données projet'!$B$9,Paramètres!$A$1:$I$89,3,0)*0.475*44/12</f>
        <v>1.997666292809027E-3</v>
      </c>
      <c r="AC61" s="22">
        <f t="shared" si="3"/>
        <v>21.274824847503869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20</v>
      </c>
      <c r="AI61" s="13">
        <f>IF('Données projet'!$A$62&gt;35,AI60+AH61-AQ60,IF(A61&lt;'Données projet'!$A$62,$AF$205^A61,IF(A61='Données projet'!$A$62,'Données projet'!$B$62,AI60+AH61-AQ60)))</f>
        <v>642</v>
      </c>
      <c r="AJ61" s="13">
        <f>AI61*VLOOKUP('Données projet'!$B$10,Paramètres!$A$1:$I$89,3,0)*VLOOKUP('Données projet'!$B$10,Paramètres!$A$1:$I$89,5,0)</f>
        <v>308.80200000000002</v>
      </c>
      <c r="AK61" s="13">
        <f t="shared" si="35"/>
        <v>73.018583737515101</v>
      </c>
      <c r="AL61" s="20">
        <f t="shared" si="4"/>
        <v>665.00418334283881</v>
      </c>
      <c r="AM61" s="59">
        <f t="shared" si="5"/>
        <v>958.33751667617207</v>
      </c>
      <c r="AN61" s="59">
        <f ca="1">AVERAGE(OFFSET($AM$3,0,0,'Données projet'!$E$10+1,1))-AVERAGE(OFFSET($H$3,0,0,'Données projet'!$E$10+1,1))</f>
        <v>364.67510777943329</v>
      </c>
      <c r="AO61" s="59">
        <f t="shared" si="36"/>
        <v>352.13878061387169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5.0794029464617614</v>
      </c>
      <c r="AV61" s="21">
        <f>EXP(-LN(2)/25)*AV60+(1-EXP(-LN(2)/25))/(LN(2)/25)*Calculateur!AQ61*Calculateur!AS61*VLOOKUP('Données projet'!$B$10,Paramètres!$A$1:$I$89,3,0)*0.475*44/12</f>
        <v>8.2887017358670807</v>
      </c>
      <c r="AW61" s="21">
        <f>EXP(-LN(2)/2)*AW60+(1-EXP(-LN(2)/2))/(LN(2)/2)*AQ61*AT61*VLOOKUP('Données projet'!$B$10,Paramètres!$A$1:$I$89,3,0)*0.475*44/12</f>
        <v>1.6768528167504227E-3</v>
      </c>
      <c r="AX61" s="21">
        <f t="shared" si="6"/>
        <v>13.369781535145592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12.8</v>
      </c>
      <c r="BD61" s="12">
        <f>IF('Données projet'!$A$88&gt;35,BD60+BC61-BL60,IF(A61&lt;'Données projet'!$A$88,$BA$205^A61,IF(A61='Données projet'!$A$88,'Données projet'!$B$88,BD60+BC61-BL60)))</f>
        <v>421.40000000000026</v>
      </c>
      <c r="BE61" s="13">
        <f>BD61*VLOOKUP('Données projet'!$B$11,Paramètres!$A$1:$I$89,3,0)*VLOOKUP('Données projet'!$B$11,Paramètres!$A$1:$I$89,5,0)</f>
        <v>251.99720000000019</v>
      </c>
      <c r="BF61" s="13">
        <f t="shared" si="37"/>
        <v>61.013412917313239</v>
      </c>
      <c r="BG61" s="20">
        <f t="shared" si="7"/>
        <v>545.16015083098762</v>
      </c>
      <c r="BH61" s="59">
        <f t="shared" si="8"/>
        <v>838.49348416432099</v>
      </c>
      <c r="BI61" s="59">
        <f ca="1">AVERAGE(OFFSET($BH$3,0,0,'Données projet'!$E$11+1,1))-AVERAGE(OFFSET($H$3,0,0,'Données projet'!$E$11+1,1))</f>
        <v>289.66713787052475</v>
      </c>
      <c r="BJ61" s="59">
        <f t="shared" si="38"/>
        <v>298.29439200198652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8.2968779478009314</v>
      </c>
      <c r="BR61" s="21">
        <f>EXP(-LN(2)/2)*BR60+(1-EXP(-LN(2)/2))/(LN(2)/2)*BL61*BO61*VLOOKUP('Données projet'!$B$11,Paramètres!$A$1:$I$89,3,0)*0.475*44/12</f>
        <v>1.7505169788735984E-3</v>
      </c>
      <c r="BS61" s="22">
        <f t="shared" si="9"/>
        <v>8.2986284647798048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</v>
      </c>
      <c r="N62" s="13">
        <f>IF('Données projet'!$A$36&gt;35,N61+M62-V61,IF(A62&lt;'Données projet'!$A$36,$K$205^A62,IF(A62='Données projet'!$A$36,'Données projet'!$B$36,N61+M62-V61)))</f>
        <v>604</v>
      </c>
      <c r="O62" s="13">
        <f>N62*VLOOKUP('Données projet'!$B$9,Paramètres!$A$1:$I$89,3,0)*VLOOKUP('Données projet'!$B$9,Paramètres!$A$1:$I$89,5,0)</f>
        <v>337.63599999999997</v>
      </c>
      <c r="P62" s="13">
        <f t="shared" si="33"/>
        <v>79.0113308976659</v>
      </c>
      <c r="Q62" s="20">
        <f t="shared" si="53"/>
        <v>725.66076798010135</v>
      </c>
      <c r="R62" s="59">
        <f t="shared" si="0"/>
        <v>1018.9941013134346</v>
      </c>
      <c r="S62" s="59">
        <f ca="1">AVERAGE(OFFSET($R$3,0,0,'Données projet'!$E$9+1,1))-AVERAGE(OFFSET($H$3,0,0,'Données projet'!$E$9+1,1))</f>
        <v>394.9953131332565</v>
      </c>
      <c r="T62" s="59">
        <f t="shared" si="34"/>
        <v>399.58193819355591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5.7873339181323162</v>
      </c>
      <c r="AA62" s="21">
        <f>EXP(-LN(2)/25)*AA61+(1-EXP(-LN(2)/25))/(LN(2)/25)*Calculateur!V62*Calculateur!X62*VLOOKUP('Données projet'!$B$9,Paramètres!$A$1:$I$89,3,0)*0.475*44/12</f>
        <v>14.949450996538168</v>
      </c>
      <c r="AB62" s="21">
        <f>EXP(-LN(2)/2)*AB61+(1-EXP(-LN(2)/2))/(LN(2)/2)*V62*Y62*VLOOKUP('Données projet'!$B$9,Paramètres!$A$1:$I$89,3,0)*0.475*44/12</f>
        <v>1.4125633821930543E-3</v>
      </c>
      <c r="AC62" s="22">
        <f t="shared" si="3"/>
        <v>20.738197478052676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20</v>
      </c>
      <c r="AI62" s="13">
        <f>IF('Données projet'!$A$62&gt;35,AI61+AH62-AQ61,IF(A62&lt;'Données projet'!$A$62,$AF$205^A62,IF(A62='Données projet'!$A$62,'Données projet'!$B$62,AI61+AH62-AQ61)))</f>
        <v>662</v>
      </c>
      <c r="AJ62" s="13">
        <f>AI62*VLOOKUP('Données projet'!$B$10,Paramètres!$A$1:$I$89,3,0)*VLOOKUP('Données projet'!$B$10,Paramètres!$A$1:$I$89,5,0)</f>
        <v>318.42200000000003</v>
      </c>
      <c r="AK62" s="13">
        <f t="shared" si="35"/>
        <v>75.024925669494053</v>
      </c>
      <c r="AL62" s="20">
        <f t="shared" si="4"/>
        <v>685.2533955410355</v>
      </c>
      <c r="AM62" s="59">
        <f t="shared" si="5"/>
        <v>978.58672887436887</v>
      </c>
      <c r="AN62" s="59">
        <f ca="1">AVERAGE(OFFSET($AM$3,0,0,'Données projet'!$E$10+1,1))-AVERAGE(OFFSET($H$3,0,0,'Données projet'!$E$10+1,1))</f>
        <v>364.67510777943329</v>
      </c>
      <c r="AO62" s="59">
        <f t="shared" si="36"/>
        <v>352.13878061387169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4.979798952811529</v>
      </c>
      <c r="AV62" s="21">
        <f>EXP(-LN(2)/25)*AV61+(1-EXP(-LN(2)/25))/(LN(2)/25)*Calculateur!AQ62*Calculateur!AS62*VLOOKUP('Données projet'!$B$10,Paramètres!$A$1:$I$89,3,0)*0.475*44/12</f>
        <v>8.0620467510159148</v>
      </c>
      <c r="AW62" s="21">
        <f>EXP(-LN(2)/2)*AW61+(1-EXP(-LN(2)/2))/(LN(2)/2)*AQ62*AT62*VLOOKUP('Données projet'!$B$10,Paramètres!$A$1:$I$89,3,0)*0.475*44/12</f>
        <v>1.185713997775987E-3</v>
      </c>
      <c r="AX62" s="21">
        <f t="shared" si="6"/>
        <v>13.043031417825221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12.8</v>
      </c>
      <c r="BD62" s="12">
        <f>IF('Données projet'!$A$88&gt;35,BD61+BC62-BL61,IF(A62&lt;'Données projet'!$A$88,$BA$205^A62,IF(A62='Données projet'!$A$88,'Données projet'!$B$88,BD61+BC62-BL61)))</f>
        <v>434.20000000000027</v>
      </c>
      <c r="BE62" s="13">
        <f>BD62*VLOOKUP('Données projet'!$B$11,Paramètres!$A$1:$I$89,3,0)*VLOOKUP('Données projet'!$B$11,Paramètres!$A$1:$I$89,5,0)</f>
        <v>259.6516000000002</v>
      </c>
      <c r="BF62" s="13">
        <f t="shared" si="37"/>
        <v>62.6481073606721</v>
      </c>
      <c r="BG62" s="20">
        <f t="shared" si="7"/>
        <v>561.33865698650425</v>
      </c>
      <c r="BH62" s="59">
        <f t="shared" si="8"/>
        <v>854.67199031983751</v>
      </c>
      <c r="BI62" s="59">
        <f ca="1">AVERAGE(OFFSET($BH$3,0,0,'Données projet'!$E$11+1,1))-AVERAGE(OFFSET($H$3,0,0,'Données projet'!$E$11+1,1))</f>
        <v>289.66713787052475</v>
      </c>
      <c r="BJ62" s="59">
        <f t="shared" si="38"/>
        <v>298.29439200198652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8.0699993840044666</v>
      </c>
      <c r="BR62" s="21">
        <f>EXP(-LN(2)/2)*BR61+(1-EXP(-LN(2)/2))/(LN(2)/2)*BL62*BO62*VLOOKUP('Données projet'!$B$11,Paramètres!$A$1:$I$89,3,0)*0.475*44/12</f>
        <v>1.2378024263437098E-3</v>
      </c>
      <c r="BS62" s="22">
        <f t="shared" si="9"/>
        <v>8.0712371864308103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622</v>
      </c>
      <c r="L63" s="12">
        <f>VLOOKUP(A63,'Données projet'!$A$35:$I$55,9,0)</f>
        <v>18</v>
      </c>
      <c r="M63" s="12">
        <f t="array" ref="M63">INDEX(L:L,MIN(IF(ISNUMBER(L63:L259),ROW(L63:L259),"")))</f>
        <v>18</v>
      </c>
      <c r="N63" s="13">
        <f>IF('Données projet'!$A$36&gt;35,N62+M63-V62,IF(A63&lt;'Données projet'!$A$36,$K$205^A63,IF(A63='Données projet'!$A$36,'Données projet'!$B$36,N62+M63-V62)))</f>
        <v>622</v>
      </c>
      <c r="O63" s="13">
        <f>N63*VLOOKUP('Données projet'!$B$9,Paramètres!$A$1:$I$89,3,0)*VLOOKUP('Données projet'!$B$9,Paramètres!$A$1:$I$89,5,0)</f>
        <v>347.69799999999998</v>
      </c>
      <c r="P63" s="13">
        <f t="shared" si="33"/>
        <v>81.088323640441374</v>
      </c>
      <c r="Q63" s="20">
        <f t="shared" si="53"/>
        <v>746.80284700710206</v>
      </c>
      <c r="R63" s="59">
        <f t="shared" si="0"/>
        <v>1040.1361803404354</v>
      </c>
      <c r="S63" s="59">
        <f ca="1">AVERAGE(OFFSET($R$3,0,0,'Données projet'!$E$9+1,1))-AVERAGE(OFFSET($H$3,0,0,'Données projet'!$E$9+1,1))</f>
        <v>394.9953131332565</v>
      </c>
      <c r="T63" s="59">
        <f t="shared" si="34"/>
        <v>399.58193819355591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5.6738478299228801</v>
      </c>
      <c r="AA63" s="21">
        <f>EXP(-LN(2)/25)*AA62+(1-EXP(-LN(2)/25))/(LN(2)/25)*Calculateur!V63*Calculateur!X63*VLOOKUP('Données projet'!$B$9,Paramètres!$A$1:$I$89,3,0)*0.475*44/12</f>
        <v>14.540657472880371</v>
      </c>
      <c r="AB63" s="21">
        <f>EXP(-LN(2)/2)*AB62+(1-EXP(-LN(2)/2))/(LN(2)/2)*V63*Y63*VLOOKUP('Données projet'!$B$9,Paramètres!$A$1:$I$89,3,0)*0.475*44/12</f>
        <v>9.9883314640451348E-4</v>
      </c>
      <c r="AC63" s="22">
        <f t="shared" si="3"/>
        <v>20.215504135949654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682</v>
      </c>
      <c r="AG63" s="12">
        <f>VLOOKUP(A63,'Données projet'!$A$61:$I$81,9,0)</f>
        <v>20</v>
      </c>
      <c r="AH63" s="12">
        <f t="array" ref="AH63">INDEX(AG:AG,MIN(IF(ISNUMBER(AG63:AG259),ROW(AG63:AG259),"")))</f>
        <v>20</v>
      </c>
      <c r="AI63" s="13">
        <f>IF('Données projet'!$A$62&gt;35,AI62+AH63-AQ62,IF(A63&lt;'Données projet'!$A$62,$AF$205^A63,IF(A63='Données projet'!$A$62,'Données projet'!$B$62,AI62+AH63-AQ62)))</f>
        <v>682</v>
      </c>
      <c r="AJ63" s="13">
        <f>AI63*VLOOKUP('Données projet'!$B$10,Paramètres!$A$1:$I$89,3,0)*VLOOKUP('Données projet'!$B$10,Paramètres!$A$1:$I$89,5,0)</f>
        <v>328.04200000000003</v>
      </c>
      <c r="AK63" s="13">
        <f t="shared" si="35"/>
        <v>77.024223325762577</v>
      </c>
      <c r="AL63" s="20">
        <f t="shared" si="4"/>
        <v>705.49033895903665</v>
      </c>
      <c r="AM63" s="59">
        <f t="shared" si="5"/>
        <v>998.82367229237002</v>
      </c>
      <c r="AN63" s="59">
        <f ca="1">AVERAGE(OFFSET($AM$3,0,0,'Données projet'!$E$10+1,1))-AVERAGE(OFFSET($H$3,0,0,'Données projet'!$E$10+1,1))</f>
        <v>364.67510777943329</v>
      </c>
      <c r="AO63" s="59">
        <f t="shared" si="36"/>
        <v>352.13878061387169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107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4.8821481327243399</v>
      </c>
      <c r="AV63" s="21">
        <f>EXP(-LN(2)/25)*AV62+(1-EXP(-LN(2)/25))/(LN(2)/25)*Calculateur!AQ63*Calculateur!AS63*VLOOKUP('Données projet'!$B$10,Paramètres!$A$1:$I$89,3,0)*0.475*44/12</f>
        <v>7.8415896586447724</v>
      </c>
      <c r="AW63" s="21">
        <f>EXP(-LN(2)/2)*AW62+(1-EXP(-LN(2)/2))/(LN(2)/2)*AQ63*AT63*VLOOKUP('Données projet'!$B$10,Paramètres!$A$1:$I$89,3,0)*0.475*44/12</f>
        <v>8.3842640837521133E-4</v>
      </c>
      <c r="AX63" s="21">
        <f t="shared" si="6"/>
        <v>12.724576217777487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447</v>
      </c>
      <c r="BB63" s="12">
        <f>VLOOKUP(A63,'Données projet'!$A$87:$I$107,9,0)</f>
        <v>12.8</v>
      </c>
      <c r="BC63" s="12">
        <f t="array" ref="BC63">INDEX(BB:BB,MIN(IF(ISNUMBER(BB63:BB259),ROW(BB63:BB259),"")))</f>
        <v>12.8</v>
      </c>
      <c r="BD63" s="12">
        <f>IF('Données projet'!$A$88&gt;35,BD62+BC63-BL62,IF(A63&lt;'Données projet'!$A$88,$BA$205^A63,IF(A63='Données projet'!$A$88,'Données projet'!$B$88,BD62+BC63-BL62)))</f>
        <v>447.00000000000028</v>
      </c>
      <c r="BE63" s="13">
        <f>BD63*VLOOKUP('Données projet'!$B$11,Paramètres!$A$1:$I$89,3,0)*VLOOKUP('Données projet'!$B$11,Paramètres!$A$1:$I$89,5,0)</f>
        <v>267.30600000000021</v>
      </c>
      <c r="BF63" s="13">
        <f t="shared" si="37"/>
        <v>64.27720124631206</v>
      </c>
      <c r="BG63" s="20">
        <f t="shared" si="7"/>
        <v>577.50740883732726</v>
      </c>
      <c r="BH63" s="59">
        <f t="shared" si="8"/>
        <v>870.84074217066063</v>
      </c>
      <c r="BI63" s="59">
        <f ca="1">AVERAGE(OFFSET($BH$3,0,0,'Données projet'!$E$11+1,1))-AVERAGE(OFFSET($H$3,0,0,'Données projet'!$E$11+1,1))</f>
        <v>289.66713787052475</v>
      </c>
      <c r="BJ63" s="59">
        <f t="shared" si="38"/>
        <v>298.29439200198652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64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7.8493248264660407</v>
      </c>
      <c r="BR63" s="21">
        <f>EXP(-LN(2)/2)*BR62+(1-EXP(-LN(2)/2))/(LN(2)/2)*BL63*BO63*VLOOKUP('Données projet'!$B$11,Paramètres!$A$1:$I$89,3,0)*0.475*44/12</f>
        <v>8.7525848943679921E-4</v>
      </c>
      <c r="BS63" s="22">
        <f t="shared" si="9"/>
        <v>7.8502000849554774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14.5</v>
      </c>
      <c r="N64" s="13">
        <f>IF('Données projet'!$A$36&gt;35,N63+M64-V63,IF(A64&lt;'Données projet'!$A$36,$K$205^A64,IF(A64='Données projet'!$A$36,'Données projet'!$B$36,N63+M64-V63)))</f>
        <v>546.5</v>
      </c>
      <c r="O64" s="13">
        <f>N64*VLOOKUP('Données projet'!$B$9,Paramètres!$A$1:$I$89,3,0)*VLOOKUP('Données projet'!$B$9,Paramètres!$A$1:$I$89,5,0)</f>
        <v>305.49350000000004</v>
      </c>
      <c r="P64" s="13">
        <f t="shared" si="33"/>
        <v>72.326893010073533</v>
      </c>
      <c r="Q64" s="20">
        <f t="shared" si="53"/>
        <v>658.03718449254472</v>
      </c>
      <c r="R64" s="59">
        <f t="shared" si="0"/>
        <v>951.3705178258781</v>
      </c>
      <c r="S64" s="59">
        <f ca="1">AVERAGE(OFFSET($R$3,0,0,'Données projet'!$E$9+1,1))-AVERAGE(OFFSET($H$3,0,0,'Données projet'!$E$9+1,1))</f>
        <v>394.9953131332565</v>
      </c>
      <c r="T64" s="59">
        <f t="shared" si="34"/>
        <v>399.58193819355591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5.562587134683552</v>
      </c>
      <c r="AA64" s="21">
        <f>EXP(-LN(2)/25)*AA63+(1-EXP(-LN(2)/25))/(LN(2)/25)*Calculateur!V64*Calculateur!X64*VLOOKUP('Données projet'!$B$9,Paramètres!$A$1:$I$89,3,0)*0.475*44/12</f>
        <v>14.143042429624513</v>
      </c>
      <c r="AB64" s="21">
        <f>EXP(-LN(2)/2)*AB63+(1-EXP(-LN(2)/2))/(LN(2)/2)*V64*Y64*VLOOKUP('Données projet'!$B$9,Paramètres!$A$1:$I$89,3,0)*0.475*44/12</f>
        <v>7.0628169109652713E-4</v>
      </c>
      <c r="AC64" s="22">
        <f t="shared" si="3"/>
        <v>19.706335845999163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18.600000000000001</v>
      </c>
      <c r="AI64" s="13">
        <f>IF('Données projet'!$A$62&gt;35,AI63+AH64-AQ63,IF(A64&lt;'Données projet'!$A$62,$AF$205^A64,IF(A64='Données projet'!$A$62,'Données projet'!$B$62,AI63+AH64-AQ63)))</f>
        <v>593.6</v>
      </c>
      <c r="AJ64" s="13">
        <f>AI64*VLOOKUP('Données projet'!$B$10,Paramètres!$A$1:$I$89,3,0)*VLOOKUP('Données projet'!$B$10,Paramètres!$A$1:$I$89,5,0)</f>
        <v>285.52160000000003</v>
      </c>
      <c r="AK64" s="13">
        <f t="shared" si="35"/>
        <v>68.132552190293055</v>
      </c>
      <c r="AL64" s="20">
        <f t="shared" si="4"/>
        <v>615.94764839809375</v>
      </c>
      <c r="AM64" s="59">
        <f t="shared" si="5"/>
        <v>909.28098173142712</v>
      </c>
      <c r="AN64" s="59">
        <f ca="1">AVERAGE(OFFSET($AM$3,0,0,'Données projet'!$E$10+1,1))-AVERAGE(OFFSET($H$3,0,0,'Données projet'!$E$10+1,1))</f>
        <v>364.67510777943329</v>
      </c>
      <c r="AO64" s="59">
        <f t="shared" si="36"/>
        <v>352.13878061387169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4.7864121856579418</v>
      </c>
      <c r="AV64" s="21">
        <f>EXP(-LN(2)/25)*AV63+(1-EXP(-LN(2)/25))/(LN(2)/25)*Calculateur!AQ64*Calculateur!AS64*VLOOKUP('Données projet'!$B$10,Paramètres!$A$1:$I$89,3,0)*0.475*44/12</f>
        <v>7.6271609770578532</v>
      </c>
      <c r="AW64" s="21">
        <f>EXP(-LN(2)/2)*AW63+(1-EXP(-LN(2)/2))/(LN(2)/2)*AQ64*AT64*VLOOKUP('Données projet'!$B$10,Paramètres!$A$1:$I$89,3,0)*0.475*44/12</f>
        <v>5.9285699888799348E-4</v>
      </c>
      <c r="AX64" s="21">
        <f t="shared" si="6"/>
        <v>12.414166019714683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10.7</v>
      </c>
      <c r="BD64" s="12">
        <f>IF('Données projet'!$A$88&gt;35,BD63+BC64-BL63,IF(A64&lt;'Données projet'!$A$88,$BA$205^A64,IF(A64='Données projet'!$A$88,'Données projet'!$B$88,BD63+BC64-BL63)))</f>
        <v>393.70000000000027</v>
      </c>
      <c r="BE64" s="13">
        <f>BD64*VLOOKUP('Données projet'!$B$11,Paramètres!$A$1:$I$89,3,0)*VLOOKUP('Données projet'!$B$11,Paramètres!$A$1:$I$89,5,0)</f>
        <v>235.43260000000021</v>
      </c>
      <c r="BF64" s="13">
        <f t="shared" si="37"/>
        <v>57.455735904492705</v>
      </c>
      <c r="BG64" s="20">
        <f t="shared" si="7"/>
        <v>510.11385170032509</v>
      </c>
      <c r="BH64" s="59">
        <f t="shared" si="8"/>
        <v>803.44718503365834</v>
      </c>
      <c r="BI64" s="59">
        <f ca="1">AVERAGE(OFFSET($BH$3,0,0,'Données projet'!$E$11+1,1))-AVERAGE(OFFSET($H$3,0,0,'Données projet'!$E$11+1,1))</f>
        <v>289.66713787052475</v>
      </c>
      <c r="BJ64" s="59">
        <f t="shared" si="38"/>
        <v>298.29439200198652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7.6346846263082737</v>
      </c>
      <c r="BR64" s="21">
        <f>EXP(-LN(2)/2)*BR63+(1-EXP(-LN(2)/2))/(LN(2)/2)*BL64*BO64*VLOOKUP('Données projet'!$B$11,Paramètres!$A$1:$I$89,3,0)*0.475*44/12</f>
        <v>6.1890121317185489E-4</v>
      </c>
      <c r="BS64" s="22">
        <f t="shared" si="9"/>
        <v>7.6353035275214456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14.5</v>
      </c>
      <c r="N65" s="13">
        <f>IF('Données projet'!$A$36&gt;35,N64+M65-V64,IF(A65&lt;'Données projet'!$A$36,$K$205^A65,IF(A65='Données projet'!$A$36,'Données projet'!$B$36,N64+M65-V64)))</f>
        <v>561</v>
      </c>
      <c r="O65" s="13">
        <f>N65*VLOOKUP('Données projet'!$B$9,Paramètres!$A$1:$I$89,3,0)*VLOOKUP('Données projet'!$B$9,Paramètres!$A$1:$I$89,5,0)</f>
        <v>313.59899999999999</v>
      </c>
      <c r="P65" s="13">
        <f t="shared" si="33"/>
        <v>74.019938943375337</v>
      </c>
      <c r="Q65" s="20">
        <f t="shared" si="53"/>
        <v>675.10298532637864</v>
      </c>
      <c r="R65" s="59">
        <f t="shared" si="0"/>
        <v>968.43631865971201</v>
      </c>
      <c r="S65" s="59">
        <f ca="1">AVERAGE(OFFSET($R$3,0,0,'Données projet'!$E$9+1,1))-AVERAGE(OFFSET($H$3,0,0,'Données projet'!$E$9+1,1))</f>
        <v>394.9953131332565</v>
      </c>
      <c r="T65" s="59">
        <f t="shared" si="34"/>
        <v>399.58193819355591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5.4535081938155443</v>
      </c>
      <c r="AA65" s="21">
        <f>EXP(-LN(2)/25)*AA64+(1-EXP(-LN(2)/25))/(LN(2)/25)*Calculateur!V65*Calculateur!X65*VLOOKUP('Données projet'!$B$9,Paramètres!$A$1:$I$89,3,0)*0.475*44/12</f>
        <v>13.756300190636154</v>
      </c>
      <c r="AB65" s="21">
        <f>EXP(-LN(2)/2)*AB64+(1-EXP(-LN(2)/2))/(LN(2)/2)*V65*Y65*VLOOKUP('Données projet'!$B$9,Paramètres!$A$1:$I$89,3,0)*0.475*44/12</f>
        <v>4.9941657320225674E-4</v>
      </c>
      <c r="AC65" s="22">
        <f t="shared" si="3"/>
        <v>19.2103078010249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18.600000000000001</v>
      </c>
      <c r="AI65" s="13">
        <f>IF('Données projet'!$A$62&gt;35,AI64+AH65-AQ64,IF(A65&lt;'Données projet'!$A$62,$AF$205^A65,IF(A65='Données projet'!$A$62,'Données projet'!$B$62,AI64+AH65-AQ64)))</f>
        <v>612.20000000000005</v>
      </c>
      <c r="AJ65" s="13">
        <f>AI65*VLOOKUP('Données projet'!$B$10,Paramètres!$A$1:$I$89,3,0)*VLOOKUP('Données projet'!$B$10,Paramètres!$A$1:$I$89,5,0)</f>
        <v>294.46820000000002</v>
      </c>
      <c r="AK65" s="13">
        <f t="shared" si="35"/>
        <v>70.015532562335309</v>
      </c>
      <c r="AL65" s="20">
        <f t="shared" si="4"/>
        <v>634.80916754606733</v>
      </c>
      <c r="AM65" s="59">
        <f t="shared" si="5"/>
        <v>928.14250087940059</v>
      </c>
      <c r="AN65" s="59">
        <f ca="1">AVERAGE(OFFSET($AM$3,0,0,'Données projet'!$E$10+1,1))-AVERAGE(OFFSET($H$3,0,0,'Données projet'!$E$10+1,1))</f>
        <v>364.67510777943329</v>
      </c>
      <c r="AO65" s="59">
        <f t="shared" si="36"/>
        <v>352.13878061387169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4.692553562120354</v>
      </c>
      <c r="AV65" s="21">
        <f>EXP(-LN(2)/25)*AV64+(1-EXP(-LN(2)/25))/(LN(2)/25)*Calculateur!AQ65*Calculateur!AS65*VLOOKUP('Données projet'!$B$10,Paramètres!$A$1:$I$89,3,0)*0.475*44/12</f>
        <v>7.4185958590452428</v>
      </c>
      <c r="AW65" s="21">
        <f>EXP(-LN(2)/2)*AW64+(1-EXP(-LN(2)/2))/(LN(2)/2)*AQ65*AT65*VLOOKUP('Données projet'!$B$10,Paramètres!$A$1:$I$89,3,0)*0.475*44/12</f>
        <v>4.1921320418760567E-4</v>
      </c>
      <c r="AX65" s="21">
        <f t="shared" si="6"/>
        <v>12.111568634369783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10.7</v>
      </c>
      <c r="BD65" s="12">
        <f>IF('Données projet'!$A$88&gt;35,BD64+BC65-BL64,IF(A65&lt;'Données projet'!$A$88,$BA$205^A65,IF(A65='Données projet'!$A$88,'Données projet'!$B$88,BD64+BC65-BL64)))</f>
        <v>404.40000000000026</v>
      </c>
      <c r="BE65" s="13">
        <f>BD65*VLOOKUP('Données projet'!$B$11,Paramètres!$A$1:$I$89,3,0)*VLOOKUP('Données projet'!$B$11,Paramètres!$A$1:$I$89,5,0)</f>
        <v>241.83120000000017</v>
      </c>
      <c r="BF65" s="13">
        <f t="shared" si="37"/>
        <v>58.833347619210102</v>
      </c>
      <c r="BG65" s="20">
        <f t="shared" si="7"/>
        <v>523.65742043679131</v>
      </c>
      <c r="BH65" s="59">
        <f t="shared" si="8"/>
        <v>816.99075377012468</v>
      </c>
      <c r="BI65" s="59">
        <f ca="1">AVERAGE(OFFSET($BH$3,0,0,'Données projet'!$E$11+1,1))-AVERAGE(OFFSET($H$3,0,0,'Données projet'!$E$11+1,1))</f>
        <v>289.66713787052475</v>
      </c>
      <c r="BJ65" s="59">
        <f t="shared" si="38"/>
        <v>298.29439200198652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7.425913773711259</v>
      </c>
      <c r="BR65" s="21">
        <f>EXP(-LN(2)/2)*BR64+(1-EXP(-LN(2)/2))/(LN(2)/2)*BL65*BO65*VLOOKUP('Données projet'!$B$11,Paramètres!$A$1:$I$89,3,0)*0.475*44/12</f>
        <v>4.376292447183996E-4</v>
      </c>
      <c r="BS65" s="22">
        <f t="shared" si="9"/>
        <v>7.4263514029559774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14.5</v>
      </c>
      <c r="N66" s="13">
        <f>IF('Données projet'!$A$36&gt;35,N65+M66-V65,IF(A66&lt;'Données projet'!$A$36,$K$205^A66,IF(A66='Données projet'!$A$36,'Données projet'!$B$36,N65+M66-V65)))</f>
        <v>575.5</v>
      </c>
      <c r="O66" s="13">
        <f>N66*VLOOKUP('Données projet'!$B$9,Paramètres!$A$1:$I$89,3,0)*VLOOKUP('Données projet'!$B$9,Paramètres!$A$1:$I$89,5,0)</f>
        <v>321.7045</v>
      </c>
      <c r="P66" s="13">
        <f t="shared" si="33"/>
        <v>75.707898308964985</v>
      </c>
      <c r="Q66" s="20">
        <f t="shared" si="53"/>
        <v>692.1599270547805</v>
      </c>
      <c r="R66" s="59">
        <f t="shared" si="0"/>
        <v>985.49326038811387</v>
      </c>
      <c r="S66" s="59">
        <f ca="1">AVERAGE(OFFSET($R$3,0,0,'Données projet'!$E$9+1,1))-AVERAGE(OFFSET($H$3,0,0,'Données projet'!$E$9+1,1))</f>
        <v>394.9953131332565</v>
      </c>
      <c r="T66" s="59">
        <f t="shared" si="34"/>
        <v>399.58193819355591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5.3465682244463739</v>
      </c>
      <c r="AA66" s="21">
        <f>EXP(-LN(2)/25)*AA65+(1-EXP(-LN(2)/25))/(LN(2)/25)*Calculateur!V66*Calculateur!X66*VLOOKUP('Données projet'!$B$9,Paramètres!$A$1:$I$89,3,0)*0.475*44/12</f>
        <v>13.380133438510821</v>
      </c>
      <c r="AB66" s="21">
        <f>EXP(-LN(2)/2)*AB65+(1-EXP(-LN(2)/2))/(LN(2)/2)*V66*Y66*VLOOKUP('Données projet'!$B$9,Paramètres!$A$1:$I$89,3,0)*0.475*44/12</f>
        <v>3.5314084554826356E-4</v>
      </c>
      <c r="AC66" s="22">
        <f t="shared" si="3"/>
        <v>18.727054803802744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18.600000000000001</v>
      </c>
      <c r="AI66" s="13">
        <f>IF('Données projet'!$A$62&gt;35,AI65+AH66-AQ65,IF(A66&lt;'Données projet'!$A$62,$AF$205^A66,IF(A66='Données projet'!$A$62,'Données projet'!$B$62,AI65+AH66-AQ65)))</f>
        <v>630.80000000000007</v>
      </c>
      <c r="AJ66" s="13">
        <f>AI66*VLOOKUP('Données projet'!$B$10,Paramètres!$A$1:$I$89,3,0)*VLOOKUP('Données projet'!$B$10,Paramètres!$A$1:$I$89,5,0)</f>
        <v>303.41480000000001</v>
      </c>
      <c r="AK66" s="13">
        <f t="shared" si="35"/>
        <v>71.891864471024803</v>
      </c>
      <c r="AL66" s="20">
        <f t="shared" si="4"/>
        <v>653.65910728703489</v>
      </c>
      <c r="AM66" s="59">
        <f t="shared" si="5"/>
        <v>946.99244062036814</v>
      </c>
      <c r="AN66" s="59">
        <f ca="1">AVERAGE(OFFSET($AM$3,0,0,'Données projet'!$E$10+1,1))-AVERAGE(OFFSET($H$3,0,0,'Données projet'!$E$10+1,1))</f>
        <v>364.67510777943329</v>
      </c>
      <c r="AO66" s="59">
        <f t="shared" si="36"/>
        <v>352.13878061387169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4.6005354489422308</v>
      </c>
      <c r="AV66" s="21">
        <f>EXP(-LN(2)/25)*AV65+(1-EXP(-LN(2)/25))/(LN(2)/25)*Calculateur!AQ66*Calculateur!AS66*VLOOKUP('Données projet'!$B$10,Paramètres!$A$1:$I$89,3,0)*0.475*44/12</f>
        <v>7.2157339651526495</v>
      </c>
      <c r="AW66" s="21">
        <f>EXP(-LN(2)/2)*AW65+(1-EXP(-LN(2)/2))/(LN(2)/2)*AQ66*AT66*VLOOKUP('Données projet'!$B$10,Paramètres!$A$1:$I$89,3,0)*0.475*44/12</f>
        <v>2.9642849944399674E-4</v>
      </c>
      <c r="AX66" s="21">
        <f t="shared" si="6"/>
        <v>11.816565842594324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10.7</v>
      </c>
      <c r="BD66" s="12">
        <f>IF('Données projet'!$A$88&gt;35,BD65+BC66-BL65,IF(A66&lt;'Données projet'!$A$88,$BA$205^A66,IF(A66='Données projet'!$A$88,'Données projet'!$B$88,BD65+BC66-BL65)))</f>
        <v>415.10000000000025</v>
      </c>
      <c r="BE66" s="13">
        <f>BD66*VLOOKUP('Données projet'!$B$11,Paramètres!$A$1:$I$89,3,0)*VLOOKUP('Données projet'!$B$11,Paramètres!$A$1:$I$89,5,0)</f>
        <v>248.22980000000015</v>
      </c>
      <c r="BF66" s="13">
        <f t="shared" si="37"/>
        <v>60.206722539547698</v>
      </c>
      <c r="BG66" s="20">
        <f t="shared" si="7"/>
        <v>537.19361008971248</v>
      </c>
      <c r="BH66" s="59">
        <f t="shared" si="8"/>
        <v>830.52694342304585</v>
      </c>
      <c r="BI66" s="59">
        <f ca="1">AVERAGE(OFFSET($BH$3,0,0,'Données projet'!$E$11+1,1))-AVERAGE(OFFSET($H$3,0,0,'Données projet'!$E$11+1,1))</f>
        <v>289.66713787052475</v>
      </c>
      <c r="BJ66" s="59">
        <f t="shared" si="38"/>
        <v>298.29439200198652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7.2228517710572913</v>
      </c>
      <c r="BR66" s="21">
        <f>EXP(-LN(2)/2)*BR65+(1-EXP(-LN(2)/2))/(LN(2)/2)*BL66*BO66*VLOOKUP('Données projet'!$B$11,Paramètres!$A$1:$I$89,3,0)*0.475*44/12</f>
        <v>3.0945060658592744E-4</v>
      </c>
      <c r="BS66" s="22">
        <f t="shared" si="9"/>
        <v>7.2231612216638768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14.5</v>
      </c>
      <c r="N67" s="13">
        <f>IF('Données projet'!$A$36&gt;35,N66+M67-V66,IF(A67&lt;'Données projet'!$A$36,$K$205^A67,IF(A67='Données projet'!$A$36,'Données projet'!$B$36,N66+M67-V66)))</f>
        <v>590</v>
      </c>
      <c r="O67" s="13">
        <f>N67*VLOOKUP('Données projet'!$B$9,Paramètres!$A$1:$I$89,3,0)*VLOOKUP('Données projet'!$B$9,Paramètres!$A$1:$I$89,5,0)</f>
        <v>329.81</v>
      </c>
      <c r="P67" s="13">
        <f t="shared" si="33"/>
        <v>77.390914004010796</v>
      </c>
      <c r="Q67" s="20">
        <f t="shared" ref="Q67:Q98" si="54">(O67+P67)*0.475*44/12</f>
        <v>709.20825855698547</v>
      </c>
      <c r="R67" s="59">
        <f t="shared" ref="R67:R130" si="55">Q67+(I67+J67)*44/12</f>
        <v>1002.5415918903188</v>
      </c>
      <c r="S67" s="59">
        <f ca="1">AVERAGE(OFFSET($R$3,0,0,'Données projet'!$E$9+1,1))-AVERAGE(OFFSET($H$3,0,0,'Données projet'!$E$9+1,1))</f>
        <v>394.9953131332565</v>
      </c>
      <c r="T67" s="59">
        <f t="shared" si="34"/>
        <v>399.58193819355591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5.2417252826495924</v>
      </c>
      <c r="AA67" s="21">
        <f>EXP(-LN(2)/25)*AA66+(1-EXP(-LN(2)/25))/(LN(2)/25)*Calculateur!V67*Calculateur!X67*VLOOKUP('Données projet'!$B$9,Paramètres!$A$1:$I$89,3,0)*0.475*44/12</f>
        <v>13.014252986004106</v>
      </c>
      <c r="AB67" s="21">
        <f>EXP(-LN(2)/2)*AB66+(1-EXP(-LN(2)/2))/(LN(2)/2)*V67*Y67*VLOOKUP('Données projet'!$B$9,Paramètres!$A$1:$I$89,3,0)*0.475*44/12</f>
        <v>2.4970828660112837E-4</v>
      </c>
      <c r="AC67" s="22">
        <f t="shared" si="3"/>
        <v>18.256227976940302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18.600000000000001</v>
      </c>
      <c r="AI67" s="13">
        <f>IF('Données projet'!$A$62&gt;35,AI66+AH67-AQ66,IF(A67&lt;'Données projet'!$A$62,$AF$205^A67,IF(A67='Données projet'!$A$62,'Données projet'!$B$62,AI66+AH67-AQ66)))</f>
        <v>649.40000000000009</v>
      </c>
      <c r="AJ67" s="13">
        <f>AI67*VLOOKUP('Données projet'!$B$10,Paramètres!$A$1:$I$89,3,0)*VLOOKUP('Données projet'!$B$10,Paramètres!$A$1:$I$89,5,0)</f>
        <v>312.36140000000006</v>
      </c>
      <c r="AK67" s="13">
        <f t="shared" si="35"/>
        <v>73.76176646338233</v>
      </c>
      <c r="AL67" s="20">
        <f t="shared" si="4"/>
        <v>672.49784825705763</v>
      </c>
      <c r="AM67" s="59">
        <f t="shared" si="5"/>
        <v>965.831181590391</v>
      </c>
      <c r="AN67" s="59">
        <f ca="1">AVERAGE(OFFSET($AM$3,0,0,'Données projet'!$E$10+1,1))-AVERAGE(OFFSET($H$3,0,0,'Données projet'!$E$10+1,1))</f>
        <v>364.67510777943329</v>
      </c>
      <c r="AO67" s="59">
        <f t="shared" si="36"/>
        <v>352.13878061387169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4.5103217548380234</v>
      </c>
      <c r="AV67" s="21">
        <f>EXP(-LN(2)/25)*AV66+(1-EXP(-LN(2)/25))/(LN(2)/25)*Calculateur!AQ67*Calculateur!AS67*VLOOKUP('Données projet'!$B$10,Paramètres!$A$1:$I$89,3,0)*0.475*44/12</f>
        <v>7.0184193404165933</v>
      </c>
      <c r="AW67" s="21">
        <f>EXP(-LN(2)/2)*AW66+(1-EXP(-LN(2)/2))/(LN(2)/2)*AQ67*AT67*VLOOKUP('Données projet'!$B$10,Paramètres!$A$1:$I$89,3,0)*0.475*44/12</f>
        <v>2.0960660209380283E-4</v>
      </c>
      <c r="AX67" s="21">
        <f t="shared" si="6"/>
        <v>11.528950701856711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10.7</v>
      </c>
      <c r="BD67" s="12">
        <f>IF('Données projet'!$A$88&gt;35,BD66+BC67-BL66,IF(A67&lt;'Données projet'!$A$88,$BA$205^A67,IF(A67='Données projet'!$A$88,'Données projet'!$B$88,BD66+BC67-BL66)))</f>
        <v>425.80000000000024</v>
      </c>
      <c r="BE67" s="13">
        <f>BD67*VLOOKUP('Données projet'!$B$11,Paramètres!$A$1:$I$89,3,0)*VLOOKUP('Données projet'!$B$11,Paramètres!$A$1:$I$89,5,0)</f>
        <v>254.62840000000014</v>
      </c>
      <c r="BF67" s="13">
        <f t="shared" si="37"/>
        <v>61.575982433801578</v>
      </c>
      <c r="BG67" s="20">
        <f t="shared" si="7"/>
        <v>550.7226327388712</v>
      </c>
      <c r="BH67" s="59">
        <f t="shared" si="8"/>
        <v>844.05596607220446</v>
      </c>
      <c r="BI67" s="59">
        <f ca="1">AVERAGE(OFFSET($BH$3,0,0,'Données projet'!$E$11+1,1))-AVERAGE(OFFSET($H$3,0,0,'Données projet'!$E$11+1,1))</f>
        <v>289.66713787052475</v>
      </c>
      <c r="BJ67" s="59">
        <f t="shared" si="38"/>
        <v>298.29439200198652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7.0253425095444628</v>
      </c>
      <c r="BR67" s="21">
        <f>EXP(-LN(2)/2)*BR66+(1-EXP(-LN(2)/2))/(LN(2)/2)*BL67*BO67*VLOOKUP('Données projet'!$B$11,Paramètres!$A$1:$I$89,3,0)*0.475*44/12</f>
        <v>2.188146223591998E-4</v>
      </c>
      <c r="BS67" s="22">
        <f t="shared" si="9"/>
        <v>7.025561324166822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14.5</v>
      </c>
      <c r="N68" s="13">
        <f>IF('Données projet'!$A$36&gt;35,N67+M68-V67,IF(A68&lt;'Données projet'!$A$36,$K$205^A68,IF(A68='Données projet'!$A$36,'Données projet'!$B$36,N67+M68-V67)))</f>
        <v>604.5</v>
      </c>
      <c r="O68" s="13">
        <f>N68*VLOOKUP('Données projet'!$B$9,Paramètres!$A$1:$I$89,3,0)*VLOOKUP('Données projet'!$B$9,Paramètres!$A$1:$I$89,5,0)</f>
        <v>337.91550000000001</v>
      </c>
      <c r="P68" s="13">
        <f t="shared" si="33"/>
        <v>79.069121501508363</v>
      </c>
      <c r="Q68" s="20">
        <f t="shared" si="54"/>
        <v>726.24821578179365</v>
      </c>
      <c r="R68" s="59">
        <f t="shared" si="55"/>
        <v>1019.581549115127</v>
      </c>
      <c r="S68" s="59">
        <f ca="1">AVERAGE(OFFSET($R$3,0,0,'Données projet'!$E$9+1,1))-AVERAGE(OFFSET($H$3,0,0,'Données projet'!$E$9+1,1))</f>
        <v>394.9953131332565</v>
      </c>
      <c r="T68" s="59">
        <f t="shared" si="34"/>
        <v>399.58193819355591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5.1389382469935656</v>
      </c>
      <c r="AA68" s="21">
        <f>EXP(-LN(2)/25)*AA67+(1-EXP(-LN(2)/25))/(LN(2)/25)*Calculateur!V68*Calculateur!X68*VLOOKUP('Données projet'!$B$9,Paramètres!$A$1:$I$89,3,0)*0.475*44/12</f>
        <v>12.658377553712004</v>
      </c>
      <c r="AB68" s="21">
        <f>EXP(-LN(2)/2)*AB67+(1-EXP(-LN(2)/2))/(LN(2)/2)*V68*Y68*VLOOKUP('Données projet'!$B$9,Paramètres!$A$1:$I$89,3,0)*0.475*44/12</f>
        <v>1.7657042277413178E-4</v>
      </c>
      <c r="AC68" s="22">
        <f t="shared" ref="AC68:AC131" si="57">SUM(Z68:AB68)</f>
        <v>17.797492371128342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18.600000000000001</v>
      </c>
      <c r="AI68" s="13">
        <f>IF('Données projet'!$A$62&gt;35,AI67+AH68-AQ67,IF(A68&lt;'Données projet'!$A$62,$AF$205^A68,IF(A68='Données projet'!$A$62,'Données projet'!$B$62,AI67+AH68-AQ67)))</f>
        <v>668.00000000000011</v>
      </c>
      <c r="AJ68" s="13">
        <f>AI68*VLOOKUP('Données projet'!$B$10,Paramètres!$A$1:$I$89,3,0)*VLOOKUP('Données projet'!$B$10,Paramètres!$A$1:$I$89,5,0)</f>
        <v>321.30800000000005</v>
      </c>
      <c r="AK68" s="13">
        <f t="shared" si="35"/>
        <v>75.625443855227473</v>
      </c>
      <c r="AL68" s="20">
        <f t="shared" ref="AL68:AL131" si="58">(AJ68+AK68)*0.475*44/12</f>
        <v>691.32574804785463</v>
      </c>
      <c r="AM68" s="59">
        <f t="shared" ref="AM68:AM131" si="59">AL68+(AD68+AE68)*44/12</f>
        <v>984.65908138118789</v>
      </c>
      <c r="AN68" s="59">
        <f ca="1">AVERAGE(OFFSET($AM$3,0,0,'Données projet'!$E$10+1,1))-AVERAGE(OFFSET($H$3,0,0,'Données projet'!$E$10+1,1))</f>
        <v>364.67510777943329</v>
      </c>
      <c r="AO68" s="59">
        <f t="shared" si="36"/>
        <v>352.13878061387169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4.4218770962502791</v>
      </c>
      <c r="AV68" s="21">
        <f>EXP(-LN(2)/25)*AV67+(1-EXP(-LN(2)/25))/(LN(2)/25)*Calculateur!AQ68*Calculateur!AS68*VLOOKUP('Données projet'!$B$10,Paramètres!$A$1:$I$89,3,0)*0.475*44/12</f>
        <v>6.8265002944702688</v>
      </c>
      <c r="AW68" s="21">
        <f>EXP(-LN(2)/2)*AW67+(1-EXP(-LN(2)/2))/(LN(2)/2)*AQ68*AT68*VLOOKUP('Données projet'!$B$10,Paramètres!$A$1:$I$89,3,0)*0.475*44/12</f>
        <v>1.4821424972199837E-4</v>
      </c>
      <c r="AX68" s="21">
        <f t="shared" ref="AX68:AX131" si="60">SUM(AU68:AW68)</f>
        <v>11.24852560497027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10.7</v>
      </c>
      <c r="BD68" s="12">
        <f>IF('Données projet'!$A$88&gt;35,BD67+BC68-BL67,IF(A68&lt;'Données projet'!$A$88,$BA$205^A68,IF(A68='Données projet'!$A$88,'Données projet'!$B$88,BD67+BC68-BL67)))</f>
        <v>436.50000000000023</v>
      </c>
      <c r="BE68" s="13">
        <f>BD68*VLOOKUP('Données projet'!$B$11,Paramètres!$A$1:$I$89,3,0)*VLOOKUP('Données projet'!$B$11,Paramètres!$A$1:$I$89,5,0)</f>
        <v>261.02700000000016</v>
      </c>
      <c r="BF68" s="13">
        <f t="shared" si="37"/>
        <v>62.941242601628787</v>
      </c>
      <c r="BG68" s="20">
        <f t="shared" ref="BG68:BG131" si="61">(BE68+BF68)*0.475*44/12</f>
        <v>564.24468919783703</v>
      </c>
      <c r="BH68" s="59">
        <f t="shared" ref="BH68:BH131" si="62">BG68+(AY68+AZ68)*44/12</f>
        <v>857.57802253117029</v>
      </c>
      <c r="BI68" s="59">
        <f ca="1">AVERAGE(OFFSET($BH$3,0,0,'Données projet'!$E$11+1,1))-AVERAGE(OFFSET($H$3,0,0,'Données projet'!$E$11+1,1))</f>
        <v>289.66713787052475</v>
      </c>
      <c r="BJ68" s="59">
        <f t="shared" si="38"/>
        <v>298.29439200198652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6.8332341491742632</v>
      </c>
      <c r="BR68" s="21">
        <f>EXP(-LN(2)/2)*BR67+(1-EXP(-LN(2)/2))/(LN(2)/2)*BL68*BO68*VLOOKUP('Données projet'!$B$11,Paramètres!$A$1:$I$89,3,0)*0.475*44/12</f>
        <v>1.5472530329296372E-4</v>
      </c>
      <c r="BS68" s="22">
        <f t="shared" ref="BS68:BS131" si="63">SUM(BP68:BR68)</f>
        <v>6.8333888744775564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14.5</v>
      </c>
      <c r="N69" s="13">
        <f>IF('Données projet'!$A$36&gt;35,N68+M69-V68,IF(A69&lt;'Données projet'!$A$36,$K$205^A69,IF(A69='Données projet'!$A$36,'Données projet'!$B$36,N68+M69-V68)))</f>
        <v>619</v>
      </c>
      <c r="O69" s="13">
        <f>N69*VLOOKUP('Données projet'!$B$9,Paramètres!$A$1:$I$89,3,0)*VLOOKUP('Données projet'!$B$9,Paramètres!$A$1:$I$89,5,0)</f>
        <v>346.02100000000002</v>
      </c>
      <c r="P69" s="13">
        <f t="shared" ref="P69:P132" si="87">EXP(-1.0587+0.8836*LN(O69)+0.284)</f>
        <v>80.742649404694433</v>
      </c>
      <c r="Q69" s="20">
        <f t="shared" si="54"/>
        <v>743.28002271317609</v>
      </c>
      <c r="R69" s="59">
        <f t="shared" si="55"/>
        <v>1036.6133560465094</v>
      </c>
      <c r="S69" s="59">
        <f ca="1">AVERAGE(OFFSET($R$3,0,0,'Données projet'!$E$9+1,1))-AVERAGE(OFFSET($H$3,0,0,'Données projet'!$E$9+1,1))</f>
        <v>394.9953131332565</v>
      </c>
      <c r="T69" s="59">
        <f t="shared" ref="T69:T132" si="88">$T$3</f>
        <v>399.58193819355591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5.0381668024128521</v>
      </c>
      <c r="AA69" s="21">
        <f>EXP(-LN(2)/25)*AA68+(1-EXP(-LN(2)/25))/(LN(2)/25)*Calculateur!V69*Calculateur!X69*VLOOKUP('Données projet'!$B$9,Paramètres!$A$1:$I$89,3,0)*0.475*44/12</f>
        <v>12.312233553830605</v>
      </c>
      <c r="AB69" s="21">
        <f>EXP(-LN(2)/2)*AB68+(1-EXP(-LN(2)/2))/(LN(2)/2)*V69*Y69*VLOOKUP('Données projet'!$B$9,Paramètres!$A$1:$I$89,3,0)*0.475*44/12</f>
        <v>1.2485414330056419E-4</v>
      </c>
      <c r="AC69" s="22">
        <f t="shared" si="57"/>
        <v>17.35052521038676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18.600000000000001</v>
      </c>
      <c r="AI69" s="13">
        <f>IF('Données projet'!$A$62&gt;35,AI68+AH69-AQ68,IF(A69&lt;'Données projet'!$A$62,$AF$205^A69,IF(A69='Données projet'!$A$62,'Données projet'!$B$62,AI68+AH69-AQ68)))</f>
        <v>686.60000000000014</v>
      </c>
      <c r="AJ69" s="13">
        <f>AI69*VLOOKUP('Données projet'!$B$10,Paramètres!$A$1:$I$89,3,0)*VLOOKUP('Données projet'!$B$10,Paramètres!$A$1:$I$89,5,0)</f>
        <v>330.2546000000001</v>
      </c>
      <c r="AK69" s="13">
        <f t="shared" ref="AK69:AK132" si="89">EXP(-1.0587+0.8836*LN(AJ69)+0.284)</f>
        <v>77.483089878044836</v>
      </c>
      <c r="AL69" s="20">
        <f t="shared" si="58"/>
        <v>710.14314320426149</v>
      </c>
      <c r="AM69" s="59">
        <f t="shared" si="59"/>
        <v>1003.4764765375949</v>
      </c>
      <c r="AN69" s="59">
        <f ca="1">AVERAGE(OFFSET($AM$3,0,0,'Données projet'!$E$10+1,1))-AVERAGE(OFFSET($H$3,0,0,'Données projet'!$E$10+1,1))</f>
        <v>364.67510777943329</v>
      </c>
      <c r="AO69" s="59">
        <f t="shared" ref="AO69:AO132" si="90">$AO$3</f>
        <v>352.13878061387169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4.3351667834715251</v>
      </c>
      <c r="AV69" s="21">
        <f>EXP(-LN(2)/25)*AV68+(1-EXP(-LN(2)/25))/(LN(2)/25)*Calculateur!AQ69*Calculateur!AS69*VLOOKUP('Données projet'!$B$10,Paramètres!$A$1:$I$89,3,0)*0.475*44/12</f>
        <v>6.6398292849279308</v>
      </c>
      <c r="AW69" s="21">
        <f>EXP(-LN(2)/2)*AW68+(1-EXP(-LN(2)/2))/(LN(2)/2)*AQ69*AT69*VLOOKUP('Données projet'!$B$10,Paramètres!$A$1:$I$89,3,0)*0.475*44/12</f>
        <v>1.0480330104690142E-4</v>
      </c>
      <c r="AX69" s="21">
        <f t="shared" si="60"/>
        <v>10.975100871700503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10.7</v>
      </c>
      <c r="BD69" s="12">
        <f>IF('Données projet'!$A$88&gt;35,BD68+BC69-BL68,IF(A69&lt;'Données projet'!$A$88,$BA$205^A69,IF(A69='Données projet'!$A$88,'Données projet'!$B$88,BD68+BC69-BL68)))</f>
        <v>447.20000000000022</v>
      </c>
      <c r="BE69" s="13">
        <f>BD69*VLOOKUP('Données projet'!$B$11,Paramètres!$A$1:$I$89,3,0)*VLOOKUP('Données projet'!$B$11,Paramètres!$A$1:$I$89,5,0)</f>
        <v>267.42560000000014</v>
      </c>
      <c r="BF69" s="13">
        <f t="shared" ref="BF69:BF132" si="91">EXP(-1.0587+0.8836*LN(BE69)+0.284)</f>
        <v>64.302612367699822</v>
      </c>
      <c r="BG69" s="20">
        <f t="shared" si="61"/>
        <v>577.75996987374401</v>
      </c>
      <c r="BH69" s="59">
        <f t="shared" si="62"/>
        <v>871.09330320707727</v>
      </c>
      <c r="BI69" s="59">
        <f ca="1">AVERAGE(OFFSET($BH$3,0,0,'Données projet'!$E$11+1,1))-AVERAGE(OFFSET($H$3,0,0,'Données projet'!$E$11+1,1))</f>
        <v>289.66713787052475</v>
      </c>
      <c r="BJ69" s="59">
        <f t="shared" ref="BJ69:BJ132" si="92">$BJ$3</f>
        <v>298.29439200198652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6.646379002020927</v>
      </c>
      <c r="BR69" s="21">
        <f>EXP(-LN(2)/2)*BR68+(1-EXP(-LN(2)/2))/(LN(2)/2)*BL69*BO69*VLOOKUP('Données projet'!$B$11,Paramètres!$A$1:$I$89,3,0)*0.475*44/12</f>
        <v>1.094073111795999E-4</v>
      </c>
      <c r="BS69" s="22">
        <f t="shared" si="63"/>
        <v>6.6464884093321066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14.5</v>
      </c>
      <c r="N70" s="13">
        <f>IF('Données projet'!$A$36&gt;35,N69+M70-V69,IF(A70&lt;'Données projet'!$A$36,$K$205^A70,IF(A70='Données projet'!$A$36,'Données projet'!$B$36,N69+M70-V69)))</f>
        <v>633.5</v>
      </c>
      <c r="O70" s="13">
        <f>N70*VLOOKUP('Données projet'!$B$9,Paramètres!$A$1:$I$89,3,0)*VLOOKUP('Données projet'!$B$9,Paramètres!$A$1:$I$89,5,0)</f>
        <v>354.12649999999996</v>
      </c>
      <c r="P70" s="13">
        <f t="shared" si="87"/>
        <v>82.411619948049463</v>
      </c>
      <c r="Q70" s="20">
        <f t="shared" si="54"/>
        <v>760.30389224285273</v>
      </c>
      <c r="R70" s="59">
        <f t="shared" si="55"/>
        <v>1053.637225576186</v>
      </c>
      <c r="S70" s="59">
        <f ca="1">AVERAGE(OFFSET($R$3,0,0,'Données projet'!$E$9+1,1))-AVERAGE(OFFSET($H$3,0,0,'Données projet'!$E$9+1,1))</f>
        <v>394.9953131332565</v>
      </c>
      <c r="T70" s="59">
        <f t="shared" si="88"/>
        <v>399.58193819355591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4.939371424395854</v>
      </c>
      <c r="AA70" s="21">
        <f>EXP(-LN(2)/25)*AA69+(1-EXP(-LN(2)/25))/(LN(2)/25)*Calculateur!V70*Calculateur!X70*VLOOKUP('Données projet'!$B$9,Paramètres!$A$1:$I$89,3,0)*0.475*44/12</f>
        <v>11.975554879828884</v>
      </c>
      <c r="AB70" s="21">
        <f>EXP(-LN(2)/2)*AB69+(1-EXP(-LN(2)/2))/(LN(2)/2)*V70*Y70*VLOOKUP('Données projet'!$B$9,Paramètres!$A$1:$I$89,3,0)*0.475*44/12</f>
        <v>8.8285211387065891E-5</v>
      </c>
      <c r="AC70" s="22">
        <f t="shared" si="57"/>
        <v>16.915014589436126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18.600000000000001</v>
      </c>
      <c r="AI70" s="13">
        <f>IF('Données projet'!$A$62&gt;35,AI69+AH70-AQ69,IF(A70&lt;'Données projet'!$A$62,$AF$205^A70,IF(A70='Données projet'!$A$62,'Données projet'!$B$62,AI69+AH70-AQ69)))</f>
        <v>705.20000000000016</v>
      </c>
      <c r="AJ70" s="13">
        <f>AI70*VLOOKUP('Données projet'!$B$10,Paramètres!$A$1:$I$89,3,0)*VLOOKUP('Données projet'!$B$10,Paramètres!$A$1:$I$89,5,0)</f>
        <v>339.20120000000009</v>
      </c>
      <c r="AK70" s="13">
        <f t="shared" si="89"/>
        <v>79.33488669808122</v>
      </c>
      <c r="AL70" s="20">
        <f t="shared" si="58"/>
        <v>728.95035099915822</v>
      </c>
      <c r="AM70" s="59">
        <f t="shared" si="59"/>
        <v>1022.2836843324915</v>
      </c>
      <c r="AN70" s="59">
        <f ca="1">AVERAGE(OFFSET($AM$3,0,0,'Données projet'!$E$10+1,1))-AVERAGE(OFFSET($H$3,0,0,'Données projet'!$E$10+1,1))</f>
        <v>364.67510777943329</v>
      </c>
      <c r="AO70" s="59">
        <f t="shared" si="90"/>
        <v>352.13878061387169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4.2501568070382945</v>
      </c>
      <c r="AV70" s="21">
        <f>EXP(-LN(2)/25)*AV69+(1-EXP(-LN(2)/25))/(LN(2)/25)*Calculateur!AQ70*Calculateur!AS70*VLOOKUP('Données projet'!$B$10,Paramètres!$A$1:$I$89,3,0)*0.475*44/12</f>
        <v>6.4582628039581298</v>
      </c>
      <c r="AW70" s="21">
        <f>EXP(-LN(2)/2)*AW69+(1-EXP(-LN(2)/2))/(LN(2)/2)*AQ70*AT70*VLOOKUP('Données projet'!$B$10,Paramètres!$A$1:$I$89,3,0)*0.475*44/12</f>
        <v>7.4107124860999185E-5</v>
      </c>
      <c r="AX70" s="21">
        <f t="shared" si="60"/>
        <v>10.708493718121286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10.7</v>
      </c>
      <c r="BD70" s="12">
        <f>IF('Données projet'!$A$88&gt;35,BD69+BC70-BL69,IF(A70&lt;'Données projet'!$A$88,$BA$205^A70,IF(A70='Données projet'!$A$88,'Données projet'!$B$88,BD69+BC70-BL69)))</f>
        <v>457.9000000000002</v>
      </c>
      <c r="BE70" s="13">
        <f>BD70*VLOOKUP('Données projet'!$B$11,Paramètres!$A$1:$I$89,3,0)*VLOOKUP('Données projet'!$B$11,Paramètres!$A$1:$I$89,5,0)</f>
        <v>273.82420000000013</v>
      </c>
      <c r="BF70" s="13">
        <f t="shared" si="91"/>
        <v>65.660195526774785</v>
      </c>
      <c r="BG70" s="20">
        <f t="shared" si="61"/>
        <v>591.26865554246626</v>
      </c>
      <c r="BH70" s="59">
        <f t="shared" si="62"/>
        <v>884.60198887579963</v>
      </c>
      <c r="BI70" s="59">
        <f ca="1">AVERAGE(OFFSET($BH$3,0,0,'Données projet'!$E$11+1,1))-AVERAGE(OFFSET($H$3,0,0,'Données projet'!$E$11+1,1))</f>
        <v>289.66713787052475</v>
      </c>
      <c r="BJ70" s="59">
        <f t="shared" si="92"/>
        <v>298.29439200198652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6.4646334186927836</v>
      </c>
      <c r="BR70" s="21">
        <f>EXP(-LN(2)/2)*BR69+(1-EXP(-LN(2)/2))/(LN(2)/2)*BL70*BO70*VLOOKUP('Données projet'!$B$11,Paramètres!$A$1:$I$89,3,0)*0.475*44/12</f>
        <v>7.7362651646481861E-5</v>
      </c>
      <c r="BS70" s="22">
        <f t="shared" si="63"/>
        <v>6.4647107813444302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14.5</v>
      </c>
      <c r="N71" s="13">
        <f>IF('Données projet'!$A$36&gt;35,N70+M71-V70,IF(A71&lt;'Données projet'!$A$36,$K$205^A71,IF(A71='Données projet'!$A$36,'Données projet'!$B$36,N70+M71-V70)))</f>
        <v>648</v>
      </c>
      <c r="O71" s="13">
        <f>N71*VLOOKUP('Données projet'!$B$9,Paramètres!$A$1:$I$89,3,0)*VLOOKUP('Données projet'!$B$9,Paramètres!$A$1:$I$89,5,0)</f>
        <v>362.23199999999997</v>
      </c>
      <c r="P71" s="13">
        <f t="shared" si="87"/>
        <v>84.076149451138917</v>
      </c>
      <c r="Q71" s="20">
        <f t="shared" si="54"/>
        <v>777.32002696073357</v>
      </c>
      <c r="R71" s="59">
        <f t="shared" si="55"/>
        <v>1070.6533602940669</v>
      </c>
      <c r="S71" s="59">
        <f ca="1">AVERAGE(OFFSET($R$3,0,0,'Données projet'!$E$9+1,1))-AVERAGE(OFFSET($H$3,0,0,'Données projet'!$E$9+1,1))</f>
        <v>394.9953131332565</v>
      </c>
      <c r="T71" s="59">
        <f t="shared" si="88"/>
        <v>399.58193819355591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4.8425133634825386</v>
      </c>
      <c r="AA71" s="21">
        <f>EXP(-LN(2)/25)*AA70+(1-EXP(-LN(2)/25))/(LN(2)/25)*Calculateur!V71*Calculateur!X71*VLOOKUP('Données projet'!$B$9,Paramètres!$A$1:$I$89,3,0)*0.475*44/12</f>
        <v>11.648082701872903</v>
      </c>
      <c r="AB71" s="21">
        <f>EXP(-LN(2)/2)*AB70+(1-EXP(-LN(2)/2))/(LN(2)/2)*V71*Y71*VLOOKUP('Données projet'!$B$9,Paramètres!$A$1:$I$89,3,0)*0.475*44/12</f>
        <v>6.2427071650282093E-5</v>
      </c>
      <c r="AC71" s="22">
        <f t="shared" si="57"/>
        <v>16.490658492427091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18.600000000000001</v>
      </c>
      <c r="AI71" s="13">
        <f>IF('Données projet'!$A$62&gt;35,AI70+AH71-AQ70,IF(A71&lt;'Données projet'!$A$62,$AF$205^A71,IF(A71='Données projet'!$A$62,'Données projet'!$B$62,AI70+AH71-AQ70)))</f>
        <v>723.80000000000018</v>
      </c>
      <c r="AJ71" s="13">
        <f>AI71*VLOOKUP('Données projet'!$B$10,Paramètres!$A$1:$I$89,3,0)*VLOOKUP('Données projet'!$B$10,Paramètres!$A$1:$I$89,5,0)</f>
        <v>348.14780000000007</v>
      </c>
      <c r="AK71" s="13">
        <f t="shared" si="89"/>
        <v>81.181006324901517</v>
      </c>
      <c r="AL71" s="20">
        <f t="shared" si="58"/>
        <v>747.74767101587031</v>
      </c>
      <c r="AM71" s="59">
        <f t="shared" si="59"/>
        <v>1041.0810043492036</v>
      </c>
      <c r="AN71" s="59">
        <f ca="1">AVERAGE(OFFSET($AM$3,0,0,'Données projet'!$E$10+1,1))-AVERAGE(OFFSET($H$3,0,0,'Données projet'!$E$10+1,1))</f>
        <v>364.67510777943329</v>
      </c>
      <c r="AO71" s="59">
        <f t="shared" si="90"/>
        <v>352.13878061387169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4.1668138243919532</v>
      </c>
      <c r="AV71" s="21">
        <f>EXP(-LN(2)/25)*AV70+(1-EXP(-LN(2)/25))/(LN(2)/25)*Calculateur!AQ71*Calculateur!AS71*VLOOKUP('Données projet'!$B$10,Paramètres!$A$1:$I$89,3,0)*0.475*44/12</f>
        <v>6.2816612679586141</v>
      </c>
      <c r="AW71" s="21">
        <f>EXP(-LN(2)/2)*AW70+(1-EXP(-LN(2)/2))/(LN(2)/2)*AQ71*AT71*VLOOKUP('Données projet'!$B$10,Paramètres!$A$1:$I$89,3,0)*0.475*44/12</f>
        <v>5.2401650523450708E-5</v>
      </c>
      <c r="AX71" s="21">
        <f t="shared" si="60"/>
        <v>10.448527494001089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10.7</v>
      </c>
      <c r="BD71" s="12">
        <f>IF('Données projet'!$A$88&gt;35,BD70+BC71-BL70,IF(A71&lt;'Données projet'!$A$88,$BA$205^A71,IF(A71='Données projet'!$A$88,'Données projet'!$B$88,BD70+BC71-BL70)))</f>
        <v>468.60000000000019</v>
      </c>
      <c r="BE71" s="13">
        <f>BD71*VLOOKUP('Données projet'!$B$11,Paramètres!$A$1:$I$89,3,0)*VLOOKUP('Données projet'!$B$11,Paramètres!$A$1:$I$89,5,0)</f>
        <v>280.22280000000012</v>
      </c>
      <c r="BF71" s="13">
        <f t="shared" si="91"/>
        <v>67.01409074600636</v>
      </c>
      <c r="BG71" s="20">
        <f t="shared" si="61"/>
        <v>604.77091804929455</v>
      </c>
      <c r="BH71" s="59">
        <f t="shared" si="62"/>
        <v>898.10425138262781</v>
      </c>
      <c r="BI71" s="59">
        <f ca="1">AVERAGE(OFFSET($BH$3,0,0,'Données projet'!$E$11+1,1))-AVERAGE(OFFSET($H$3,0,0,'Données projet'!$E$11+1,1))</f>
        <v>289.66713787052475</v>
      </c>
      <c r="BJ71" s="59">
        <f t="shared" si="92"/>
        <v>298.29439200198652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6.2878576778983328</v>
      </c>
      <c r="BR71" s="21">
        <f>EXP(-LN(2)/2)*BR70+(1-EXP(-LN(2)/2))/(LN(2)/2)*BL71*BO71*VLOOKUP('Données projet'!$B$11,Paramètres!$A$1:$I$89,3,0)*0.475*44/12</f>
        <v>5.4703655589799951E-5</v>
      </c>
      <c r="BS71" s="22">
        <f t="shared" si="63"/>
        <v>6.2879123815539231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14.5</v>
      </c>
      <c r="N72" s="13">
        <f>IF('Données projet'!$A$36&gt;35,N71+M72-V71,IF(A72&lt;'Données projet'!$A$36,$K$205^A72,IF(A72='Données projet'!$A$36,'Données projet'!$B$36,N71+M72-V71)))</f>
        <v>662.5</v>
      </c>
      <c r="O72" s="13">
        <f>N72*VLOOKUP('Données projet'!$B$9,Paramètres!$A$1:$I$89,3,0)*VLOOKUP('Données projet'!$B$9,Paramètres!$A$1:$I$89,5,0)</f>
        <v>370.33750000000003</v>
      </c>
      <c r="P72" s="13">
        <f t="shared" si="87"/>
        <v>85.736348730685762</v>
      </c>
      <c r="Q72" s="20">
        <f t="shared" si="54"/>
        <v>794.32861987261094</v>
      </c>
      <c r="R72" s="59">
        <f t="shared" si="55"/>
        <v>1087.6619532059442</v>
      </c>
      <c r="S72" s="59">
        <f ca="1">AVERAGE(OFFSET($R$3,0,0,'Données projet'!$E$9+1,1))-AVERAGE(OFFSET($H$3,0,0,'Données projet'!$E$9+1,1))</f>
        <v>394.9953131332565</v>
      </c>
      <c r="T72" s="59">
        <f t="shared" si="88"/>
        <v>399.58193819355591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4.7475546300661495</v>
      </c>
      <c r="AA72" s="21">
        <f>EXP(-LN(2)/25)*AA71+(1-EXP(-LN(2)/25))/(LN(2)/25)*Calculateur!V72*Calculateur!X72*VLOOKUP('Données projet'!$B$9,Paramètres!$A$1:$I$89,3,0)*0.475*44/12</f>
        <v>11.329565267844142</v>
      </c>
      <c r="AB72" s="21">
        <f>EXP(-LN(2)/2)*AB71+(1-EXP(-LN(2)/2))/(LN(2)/2)*V72*Y72*VLOOKUP('Données projet'!$B$9,Paramètres!$A$1:$I$89,3,0)*0.475*44/12</f>
        <v>4.4142605693532946E-5</v>
      </c>
      <c r="AC72" s="22">
        <f t="shared" si="57"/>
        <v>16.077164040515989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18.600000000000001</v>
      </c>
      <c r="AI72" s="13">
        <f>IF('Données projet'!$A$62&gt;35,AI71+AH72-AQ71,IF(A72&lt;'Données projet'!$A$62,$AF$205^A72,IF(A72='Données projet'!$A$62,'Données projet'!$B$62,AI71+AH72-AQ71)))</f>
        <v>742.4000000000002</v>
      </c>
      <c r="AJ72" s="13">
        <f>AI72*VLOOKUP('Données projet'!$B$10,Paramètres!$A$1:$I$89,3,0)*VLOOKUP('Données projet'!$B$10,Paramètres!$A$1:$I$89,5,0)</f>
        <v>357.09440000000006</v>
      </c>
      <c r="AK72" s="13">
        <f t="shared" si="89"/>
        <v>83.021611423925535</v>
      </c>
      <c r="AL72" s="20">
        <f t="shared" si="58"/>
        <v>766.53538656333706</v>
      </c>
      <c r="AM72" s="59">
        <f t="shared" si="59"/>
        <v>1059.8687198966704</v>
      </c>
      <c r="AN72" s="59">
        <f ca="1">AVERAGE(OFFSET($AM$3,0,0,'Données projet'!$E$10+1,1))-AVERAGE(OFFSET($H$3,0,0,'Données projet'!$E$10+1,1))</f>
        <v>364.67510777943329</v>
      </c>
      <c r="AO72" s="59">
        <f t="shared" si="90"/>
        <v>352.13878061387169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4.0851051468011068</v>
      </c>
      <c r="AV72" s="21">
        <f>EXP(-LN(2)/25)*AV71+(1-EXP(-LN(2)/25))/(LN(2)/25)*Calculateur!AQ72*Calculateur!AS72*VLOOKUP('Données projet'!$B$10,Paramètres!$A$1:$I$89,3,0)*0.475*44/12</f>
        <v>6.1098889102480767</v>
      </c>
      <c r="AW72" s="21">
        <f>EXP(-LN(2)/2)*AW71+(1-EXP(-LN(2)/2))/(LN(2)/2)*AQ72*AT72*VLOOKUP('Données projet'!$B$10,Paramètres!$A$1:$I$89,3,0)*0.475*44/12</f>
        <v>3.7053562430499593E-5</v>
      </c>
      <c r="AX72" s="21">
        <f t="shared" si="60"/>
        <v>10.195031110611612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10.7</v>
      </c>
      <c r="BD72" s="12">
        <f>IF('Données projet'!$A$88&gt;35,BD71+BC72-BL71,IF(A72&lt;'Données projet'!$A$88,$BA$205^A72,IF(A72='Données projet'!$A$88,'Données projet'!$B$88,BD71+BC72-BL71)))</f>
        <v>479.30000000000018</v>
      </c>
      <c r="BE72" s="13">
        <f>BD72*VLOOKUP('Données projet'!$B$11,Paramètres!$A$1:$I$89,3,0)*VLOOKUP('Données projet'!$B$11,Paramètres!$A$1:$I$89,5,0)</f>
        <v>286.62140000000011</v>
      </c>
      <c r="BF72" s="13">
        <f t="shared" si="91"/>
        <v>68.364391929461689</v>
      </c>
      <c r="BG72" s="20">
        <f t="shared" si="61"/>
        <v>618.26692094381269</v>
      </c>
      <c r="BH72" s="59">
        <f t="shared" si="62"/>
        <v>911.60025427714595</v>
      </c>
      <c r="BI72" s="59">
        <f ca="1">AVERAGE(OFFSET($BH$3,0,0,'Données projet'!$E$11+1,1))-AVERAGE(OFFSET($H$3,0,0,'Données projet'!$E$11+1,1))</f>
        <v>289.66713787052475</v>
      </c>
      <c r="BJ72" s="59">
        <f t="shared" si="92"/>
        <v>298.29439200198652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6.1159158790321388</v>
      </c>
      <c r="BR72" s="21">
        <f>EXP(-LN(2)/2)*BR71+(1-EXP(-LN(2)/2))/(LN(2)/2)*BL72*BO72*VLOOKUP('Données projet'!$B$11,Paramètres!$A$1:$I$89,3,0)*0.475*44/12</f>
        <v>3.868132582324093E-5</v>
      </c>
      <c r="BS72" s="22">
        <f t="shared" si="63"/>
        <v>6.1159545603579621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677</v>
      </c>
      <c r="L73" s="12">
        <f>VLOOKUP(A73,'Données projet'!$A$35:$I$55,9,0)</f>
        <v>14.5</v>
      </c>
      <c r="M73" s="12">
        <f t="array" ref="M73">INDEX(L:L,MIN(IF(ISNUMBER(L73:L269),ROW(L73:L269),"")))</f>
        <v>14.5</v>
      </c>
      <c r="N73" s="13">
        <f>IF('Données projet'!$A$36&gt;35,N72+M73-V72,IF(A73&lt;'Données projet'!$A$36,$K$205^A73,IF(A73='Données projet'!$A$36,'Données projet'!$B$36,N72+M73-V72)))</f>
        <v>677</v>
      </c>
      <c r="O73" s="13">
        <f>N73*VLOOKUP('Données projet'!$B$9,Paramètres!$A$1:$I$89,3,0)*VLOOKUP('Données projet'!$B$9,Paramètres!$A$1:$I$89,5,0)</f>
        <v>378.44300000000004</v>
      </c>
      <c r="P73" s="13">
        <f t="shared" si="87"/>
        <v>87.392323475551621</v>
      </c>
      <c r="Q73" s="20">
        <f t="shared" si="54"/>
        <v>811.32985505325234</v>
      </c>
      <c r="R73" s="59">
        <f t="shared" si="55"/>
        <v>1104.6631883865857</v>
      </c>
      <c r="S73" s="59">
        <f ca="1">AVERAGE(OFFSET($R$3,0,0,'Données projet'!$E$9+1,1))-AVERAGE(OFFSET($H$3,0,0,'Données projet'!$E$9+1,1))</f>
        <v>394.9953131332565</v>
      </c>
      <c r="T73" s="59">
        <f t="shared" si="88"/>
        <v>399.58193819355591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75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4.6544579794929479</v>
      </c>
      <c r="AA73" s="21">
        <f>EXP(-LN(2)/25)*AA72+(1-EXP(-LN(2)/25))/(LN(2)/25)*Calculateur!V73*Calculateur!X73*VLOOKUP('Données projet'!$B$9,Paramètres!$A$1:$I$89,3,0)*0.475*44/12</f>
        <v>11.019757709799</v>
      </c>
      <c r="AB73" s="21">
        <f>EXP(-LN(2)/2)*AB72+(1-EXP(-LN(2)/2))/(LN(2)/2)*V73*Y73*VLOOKUP('Données projet'!$B$9,Paramètres!$A$1:$I$89,3,0)*0.475*44/12</f>
        <v>3.1213535825141046E-5</v>
      </c>
      <c r="AC73" s="22">
        <f t="shared" si="57"/>
        <v>15.674246902827774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761</v>
      </c>
      <c r="AG73" s="12">
        <f>VLOOKUP(A73,'Données projet'!$A$61:$I$81,9,0)</f>
        <v>18.600000000000001</v>
      </c>
      <c r="AH73" s="12">
        <f t="array" ref="AH73">INDEX(AG:AG,MIN(IF(ISNUMBER(AG73:AG269),ROW(AG73:AG269),"")))</f>
        <v>18.600000000000001</v>
      </c>
      <c r="AI73" s="13">
        <f>IF('Données projet'!$A$62&gt;35,AI72+AH73-AQ72,IF(A73&lt;'Données projet'!$A$62,$AF$205^A73,IF(A73='Données projet'!$A$62,'Données projet'!$B$62,AI72+AH73-AQ72)))</f>
        <v>761.00000000000023</v>
      </c>
      <c r="AJ73" s="13">
        <f>AI73*VLOOKUP('Données projet'!$B$10,Paramètres!$A$1:$I$89,3,0)*VLOOKUP('Données projet'!$B$10,Paramètres!$A$1:$I$89,5,0)</f>
        <v>366.04100000000017</v>
      </c>
      <c r="AK73" s="13">
        <f t="shared" si="89"/>
        <v>84.856856045244228</v>
      </c>
      <c r="AL73" s="20">
        <f t="shared" si="58"/>
        <v>785.31376594546725</v>
      </c>
      <c r="AM73" s="59">
        <f t="shared" si="59"/>
        <v>1078.6470992788006</v>
      </c>
      <c r="AN73" s="59">
        <f ca="1">AVERAGE(OFFSET($AM$3,0,0,'Données projet'!$E$10+1,1))-AVERAGE(OFFSET($H$3,0,0,'Données projet'!$E$10+1,1))</f>
        <v>364.67510777943329</v>
      </c>
      <c r="AO73" s="59">
        <f t="shared" si="90"/>
        <v>352.13878061387169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98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4.0049987265404452</v>
      </c>
      <c r="AV73" s="21">
        <f>EXP(-LN(2)/25)*AV72+(1-EXP(-LN(2)/25))/(LN(2)/25)*Calculateur!AQ73*Calculateur!AS73*VLOOKUP('Données projet'!$B$10,Paramètres!$A$1:$I$89,3,0)*0.475*44/12</f>
        <v>5.9428136766922499</v>
      </c>
      <c r="AW73" s="21">
        <f>EXP(-LN(2)/2)*AW72+(1-EXP(-LN(2)/2))/(LN(2)/2)*AQ73*AT73*VLOOKUP('Données projet'!$B$10,Paramètres!$A$1:$I$89,3,0)*0.475*44/12</f>
        <v>2.6200825261725354E-5</v>
      </c>
      <c r="AX73" s="21">
        <f t="shared" si="60"/>
        <v>9.9478386040579583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490</v>
      </c>
      <c r="BB73" s="12">
        <f>VLOOKUP(A73,'Données projet'!$A$87:$I$107,9,0)</f>
        <v>10.7</v>
      </c>
      <c r="BC73" s="12">
        <f t="array" ref="BC73">INDEX(BB:BB,MIN(IF(ISNUMBER(BB73:BB269),ROW(BB73:BB269),"")))</f>
        <v>10.7</v>
      </c>
      <c r="BD73" s="12">
        <f>IF('Données projet'!$A$88&gt;35,BD72+BC73-BL72,IF(A73&lt;'Données projet'!$A$88,$BA$205^A73,IF(A73='Données projet'!$A$88,'Données projet'!$B$88,BD72+BC73-BL72)))</f>
        <v>490.00000000000017</v>
      </c>
      <c r="BE73" s="13">
        <f>BD73*VLOOKUP('Données projet'!$B$11,Paramètres!$A$1:$I$89,3,0)*VLOOKUP('Données projet'!$B$11,Paramètres!$A$1:$I$89,5,0)</f>
        <v>293.02000000000015</v>
      </c>
      <c r="BF73" s="13">
        <f t="shared" si="91"/>
        <v>69.71118854917674</v>
      </c>
      <c r="BG73" s="20">
        <f t="shared" si="61"/>
        <v>631.75682005648298</v>
      </c>
      <c r="BH73" s="59">
        <f t="shared" si="62"/>
        <v>925.09015338981635</v>
      </c>
      <c r="BI73" s="59">
        <f ca="1">AVERAGE(OFFSET($BH$3,0,0,'Données projet'!$E$11+1,1))-AVERAGE(OFFSET($H$3,0,0,'Données projet'!$E$11+1,1))</f>
        <v>289.66713787052475</v>
      </c>
      <c r="BJ73" s="59">
        <f t="shared" si="92"/>
        <v>298.29439200198652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50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5.9486758376979667</v>
      </c>
      <c r="BR73" s="21">
        <f>EXP(-LN(2)/2)*BR72+(1-EXP(-LN(2)/2))/(LN(2)/2)*BL73*BO73*VLOOKUP('Données projet'!$B$11,Paramètres!$A$1:$I$89,3,0)*0.475*44/12</f>
        <v>2.7351827794899975E-5</v>
      </c>
      <c r="BS73" s="22">
        <f t="shared" si="63"/>
        <v>5.9487031895257614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11.7</v>
      </c>
      <c r="N74" s="13">
        <f>IF('Données projet'!$A$36&gt;35,N73+M74-V73,IF(A74&lt;'Données projet'!$A$36,$K$205^A74,IF(A74='Données projet'!$A$36,'Données projet'!$B$36,N73+M74-V73)))</f>
        <v>613.70000000000005</v>
      </c>
      <c r="O74" s="13">
        <f>N74*VLOOKUP('Données projet'!$B$9,Paramètres!$A$1:$I$89,3,0)*VLOOKUP('Données projet'!$B$9,Paramètres!$A$1:$I$89,5,0)</f>
        <v>343.05830000000003</v>
      </c>
      <c r="P74" s="13">
        <f t="shared" si="87"/>
        <v>80.131480880405647</v>
      </c>
      <c r="Q74" s="20">
        <f t="shared" si="54"/>
        <v>737.0555350333733</v>
      </c>
      <c r="R74" s="59">
        <f t="shared" si="55"/>
        <v>1030.3888683667067</v>
      </c>
      <c r="S74" s="59">
        <f ca="1">AVERAGE(OFFSET($R$3,0,0,'Données projet'!$E$9+1,1))-AVERAGE(OFFSET($H$3,0,0,'Données projet'!$E$9+1,1))</f>
        <v>394.9953131332565</v>
      </c>
      <c r="T74" s="59">
        <f t="shared" si="88"/>
        <v>399.58193819355591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4.5631868974541367</v>
      </c>
      <c r="AA74" s="21">
        <f>EXP(-LN(2)/25)*AA73+(1-EXP(-LN(2)/25))/(LN(2)/25)*Calculateur!V74*Calculateur!X74*VLOOKUP('Données projet'!$B$9,Paramètres!$A$1:$I$89,3,0)*0.475*44/12</f>
        <v>10.718421855720674</v>
      </c>
      <c r="AB74" s="21">
        <f>EXP(-LN(2)/2)*AB73+(1-EXP(-LN(2)/2))/(LN(2)/2)*V74*Y74*VLOOKUP('Données projet'!$B$9,Paramètres!$A$1:$I$89,3,0)*0.475*44/12</f>
        <v>2.2071302846766473E-5</v>
      </c>
      <c r="AC74" s="22">
        <f t="shared" si="57"/>
        <v>15.281630824477659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16.3</v>
      </c>
      <c r="AI74" s="13">
        <f>IF('Données projet'!$A$62&gt;35,AI73+AH74-AQ73,IF(A74&lt;'Données projet'!$A$62,$AF$205^A74,IF(A74='Données projet'!$A$62,'Données projet'!$B$62,AI73+AH74-AQ73)))</f>
        <v>679.30000000000018</v>
      </c>
      <c r="AJ74" s="13">
        <f>AI74*VLOOKUP('Données projet'!$B$10,Paramètres!$A$1:$I$89,3,0)*VLOOKUP('Données projet'!$B$10,Paramètres!$A$1:$I$89,5,0)</f>
        <v>326.74330000000009</v>
      </c>
      <c r="AK74" s="13">
        <f t="shared" si="89"/>
        <v>76.75472093218886</v>
      </c>
      <c r="AL74" s="20">
        <f t="shared" si="58"/>
        <v>702.75905312356235</v>
      </c>
      <c r="AM74" s="59">
        <f t="shared" si="59"/>
        <v>996.09238645689561</v>
      </c>
      <c r="AN74" s="59">
        <f ca="1">AVERAGE(OFFSET($AM$3,0,0,'Données projet'!$E$10+1,1))-AVERAGE(OFFSET($H$3,0,0,'Données projet'!$E$10+1,1))</f>
        <v>364.67510777943329</v>
      </c>
      <c r="AO74" s="59">
        <f t="shared" si="90"/>
        <v>352.13878061387169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3.9264631443210032</v>
      </c>
      <c r="AV74" s="21">
        <f>EXP(-LN(2)/25)*AV73+(1-EXP(-LN(2)/25))/(LN(2)/25)*Calculateur!AQ74*Calculateur!AS74*VLOOKUP('Données projet'!$B$10,Paramètres!$A$1:$I$89,3,0)*0.475*44/12</f>
        <v>5.7803071241841115</v>
      </c>
      <c r="AW74" s="21">
        <f>EXP(-LN(2)/2)*AW73+(1-EXP(-LN(2)/2))/(LN(2)/2)*AQ74*AT74*VLOOKUP('Données projet'!$B$10,Paramètres!$A$1:$I$89,3,0)*0.475*44/12</f>
        <v>1.8526781215249796E-5</v>
      </c>
      <c r="AX74" s="21">
        <f t="shared" si="60"/>
        <v>9.7067887952863288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8.1999999999999993</v>
      </c>
      <c r="BD74" s="12">
        <f>IF('Données projet'!$A$88&gt;35,BD73+BC74-BL73,IF(A74&lt;'Données projet'!$A$88,$BA$205^A74,IF(A74='Données projet'!$A$88,'Données projet'!$B$88,BD73+BC74-BL73)))</f>
        <v>448.20000000000016</v>
      </c>
      <c r="BE74" s="13">
        <f>BD74*VLOOKUP('Données projet'!$B$11,Paramètres!$A$1:$I$89,3,0)*VLOOKUP('Données projet'!$B$11,Paramètres!$A$1:$I$89,5,0)</f>
        <v>268.0236000000001</v>
      </c>
      <c r="BF74" s="13">
        <f t="shared" si="91"/>
        <v>64.429648145853221</v>
      </c>
      <c r="BG74" s="20">
        <f t="shared" si="61"/>
        <v>579.02274052069447</v>
      </c>
      <c r="BH74" s="59">
        <f t="shared" si="62"/>
        <v>872.35607385402773</v>
      </c>
      <c r="BI74" s="59">
        <f ca="1">AVERAGE(OFFSET($BH$3,0,0,'Données projet'!$E$11+1,1))-AVERAGE(OFFSET($H$3,0,0,'Données projet'!$E$11+1,1))</f>
        <v>289.66713787052475</v>
      </c>
      <c r="BJ74" s="59">
        <f t="shared" si="92"/>
        <v>298.29439200198652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5.7860089840888493</v>
      </c>
      <c r="BR74" s="21">
        <f>EXP(-LN(2)/2)*BR73+(1-EXP(-LN(2)/2))/(LN(2)/2)*BL74*BO74*VLOOKUP('Données projet'!$B$11,Paramètres!$A$1:$I$89,3,0)*0.475*44/12</f>
        <v>1.9340662911620465E-5</v>
      </c>
      <c r="BS74" s="22">
        <f t="shared" si="63"/>
        <v>5.7860283247517605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11.7</v>
      </c>
      <c r="N75" s="13">
        <f>IF('Données projet'!$A$36&gt;35,N74+M75-V74,IF(A75&lt;'Données projet'!$A$36,$K$205^A75,IF(A75='Données projet'!$A$36,'Données projet'!$B$36,N74+M75-V74)))</f>
        <v>625.40000000000009</v>
      </c>
      <c r="O75" s="13">
        <f>N75*VLOOKUP('Données projet'!$B$9,Paramètres!$A$1:$I$89,3,0)*VLOOKUP('Données projet'!$B$9,Paramètres!$A$1:$I$89,5,0)</f>
        <v>349.59860000000003</v>
      </c>
      <c r="P75" s="13">
        <f t="shared" si="87"/>
        <v>81.479853290144945</v>
      </c>
      <c r="Q75" s="20">
        <f t="shared" si="54"/>
        <v>750.79497281366912</v>
      </c>
      <c r="R75" s="59">
        <f t="shared" si="55"/>
        <v>1044.1283061470024</v>
      </c>
      <c r="S75" s="59">
        <f ca="1">AVERAGE(OFFSET($R$3,0,0,'Données projet'!$E$9+1,1))-AVERAGE(OFFSET($H$3,0,0,'Données projet'!$E$9+1,1))</f>
        <v>394.9953131332565</v>
      </c>
      <c r="T75" s="59">
        <f t="shared" si="88"/>
        <v>399.58193819355591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4.4737055856642431</v>
      </c>
      <c r="AA75" s="21">
        <f>EXP(-LN(2)/25)*AA74+(1-EXP(-LN(2)/25))/(LN(2)/25)*Calculateur!V75*Calculateur!X75*VLOOKUP('Données projet'!$B$9,Paramètres!$A$1:$I$89,3,0)*0.475*44/12</f>
        <v>10.425326046418684</v>
      </c>
      <c r="AB75" s="21">
        <f>EXP(-LN(2)/2)*AB74+(1-EXP(-LN(2)/2))/(LN(2)/2)*V75*Y75*VLOOKUP('Données projet'!$B$9,Paramètres!$A$1:$I$89,3,0)*0.475*44/12</f>
        <v>1.5606767912570523E-5</v>
      </c>
      <c r="AC75" s="22">
        <f t="shared" si="57"/>
        <v>14.899047238850839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16.3</v>
      </c>
      <c r="AI75" s="13">
        <f>IF('Données projet'!$A$62&gt;35,AI74+AH75-AQ74,IF(A75&lt;'Données projet'!$A$62,$AF$205^A75,IF(A75='Données projet'!$A$62,'Données projet'!$B$62,AI74+AH75-AQ74)))</f>
        <v>695.60000000000014</v>
      </c>
      <c r="AJ75" s="13">
        <f>AI75*VLOOKUP('Données projet'!$B$10,Paramètres!$A$1:$I$89,3,0)*VLOOKUP('Données projet'!$B$10,Paramètres!$A$1:$I$89,5,0)</f>
        <v>334.5836000000001</v>
      </c>
      <c r="AK75" s="13">
        <f t="shared" si="89"/>
        <v>78.379840135122905</v>
      </c>
      <c r="AL75" s="20">
        <f t="shared" si="58"/>
        <v>719.24465823533922</v>
      </c>
      <c r="AM75" s="59">
        <f t="shared" si="59"/>
        <v>1012.5779915686726</v>
      </c>
      <c r="AN75" s="59">
        <f ca="1">AVERAGE(OFFSET($AM$3,0,0,'Données projet'!$E$10+1,1))-AVERAGE(OFFSET($H$3,0,0,'Données projet'!$E$10+1,1))</f>
        <v>364.67510777943329</v>
      </c>
      <c r="AO75" s="59">
        <f t="shared" si="90"/>
        <v>352.13878061387169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3.849467596966909</v>
      </c>
      <c r="AV75" s="21">
        <f>EXP(-LN(2)/25)*AV74+(1-EXP(-LN(2)/25))/(LN(2)/25)*Calculateur!AQ75*Calculateur!AS75*VLOOKUP('Données projet'!$B$10,Paramètres!$A$1:$I$89,3,0)*0.475*44/12</f>
        <v>5.6222443219001565</v>
      </c>
      <c r="AW75" s="21">
        <f>EXP(-LN(2)/2)*AW74+(1-EXP(-LN(2)/2))/(LN(2)/2)*AQ75*AT75*VLOOKUP('Données projet'!$B$10,Paramètres!$A$1:$I$89,3,0)*0.475*44/12</f>
        <v>1.3100412630862677E-5</v>
      </c>
      <c r="AX75" s="21">
        <f t="shared" si="60"/>
        <v>9.4717250192796953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8.1999999999999993</v>
      </c>
      <c r="BD75" s="12">
        <f>IF('Données projet'!$A$88&gt;35,BD74+BC75-BL74,IF(A75&lt;'Données projet'!$A$88,$BA$205^A75,IF(A75='Données projet'!$A$88,'Données projet'!$B$88,BD74+BC75-BL74)))</f>
        <v>456.40000000000015</v>
      </c>
      <c r="BE75" s="13">
        <f>BD75*VLOOKUP('Données projet'!$B$11,Paramètres!$A$1:$I$89,3,0)*VLOOKUP('Données projet'!$B$11,Paramètres!$A$1:$I$89,5,0)</f>
        <v>272.92720000000008</v>
      </c>
      <c r="BF75" s="13">
        <f t="shared" si="91"/>
        <v>65.470104600408447</v>
      </c>
      <c r="BG75" s="20">
        <f t="shared" si="61"/>
        <v>589.37530551237808</v>
      </c>
      <c r="BH75" s="59">
        <f t="shared" si="62"/>
        <v>882.70863884571145</v>
      </c>
      <c r="BI75" s="59">
        <f ca="1">AVERAGE(OFFSET($BH$3,0,0,'Données projet'!$E$11+1,1))-AVERAGE(OFFSET($H$3,0,0,'Données projet'!$E$11+1,1))</f>
        <v>289.66713787052475</v>
      </c>
      <c r="BJ75" s="59">
        <f t="shared" si="92"/>
        <v>298.29439200198652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5.6277902641459514</v>
      </c>
      <c r="BR75" s="21">
        <f>EXP(-LN(2)/2)*BR74+(1-EXP(-LN(2)/2))/(LN(2)/2)*BL75*BO75*VLOOKUP('Données projet'!$B$11,Paramètres!$A$1:$I$89,3,0)*0.475*44/12</f>
        <v>1.3675913897449988E-5</v>
      </c>
      <c r="BS75" s="22">
        <f t="shared" si="63"/>
        <v>5.6278039400598487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11.7</v>
      </c>
      <c r="N76" s="13">
        <f>IF('Données projet'!$A$36&gt;35,N75+M76-V75,IF(A76&lt;'Données projet'!$A$36,$K$205^A76,IF(A76='Données projet'!$A$36,'Données projet'!$B$36,N75+M76-V75)))</f>
        <v>637.10000000000014</v>
      </c>
      <c r="O76" s="13">
        <f>N76*VLOOKUP('Données projet'!$B$9,Paramètres!$A$1:$I$89,3,0)*VLOOKUP('Données projet'!$B$9,Paramètres!$A$1:$I$89,5,0)</f>
        <v>356.13890000000004</v>
      </c>
      <c r="P76" s="13">
        <f t="shared" si="87"/>
        <v>82.825292478605164</v>
      </c>
      <c r="Q76" s="20">
        <f t="shared" si="54"/>
        <v>764.52930190023733</v>
      </c>
      <c r="R76" s="59">
        <f t="shared" si="55"/>
        <v>1057.8626352335707</v>
      </c>
      <c r="S76" s="59">
        <f ca="1">AVERAGE(OFFSET($R$3,0,0,'Données projet'!$E$9+1,1))-AVERAGE(OFFSET($H$3,0,0,'Données projet'!$E$9+1,1))</f>
        <v>394.9953131332565</v>
      </c>
      <c r="T76" s="59">
        <f t="shared" si="88"/>
        <v>399.58193819355591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4.3859789478203384</v>
      </c>
      <c r="AA76" s="21">
        <f>EXP(-LN(2)/25)*AA75+(1-EXP(-LN(2)/25))/(LN(2)/25)*Calculateur!V76*Calculateur!X76*VLOOKUP('Données projet'!$B$9,Paramètres!$A$1:$I$89,3,0)*0.475*44/12</f>
        <v>10.140244957435296</v>
      </c>
      <c r="AB76" s="21">
        <f>EXP(-LN(2)/2)*AB75+(1-EXP(-LN(2)/2))/(LN(2)/2)*V76*Y76*VLOOKUP('Données projet'!$B$9,Paramètres!$A$1:$I$89,3,0)*0.475*44/12</f>
        <v>1.1035651423383236E-5</v>
      </c>
      <c r="AC76" s="22">
        <f t="shared" si="57"/>
        <v>14.526234940907058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16.3</v>
      </c>
      <c r="AI76" s="13">
        <f>IF('Données projet'!$A$62&gt;35,AI75+AH76-AQ75,IF(A76&lt;'Données projet'!$A$62,$AF$205^A76,IF(A76='Données projet'!$A$62,'Données projet'!$B$62,AI75+AH76-AQ75)))</f>
        <v>711.90000000000009</v>
      </c>
      <c r="AJ76" s="13">
        <f>AI76*VLOOKUP('Données projet'!$B$10,Paramètres!$A$1:$I$89,3,0)*VLOOKUP('Données projet'!$B$10,Paramètres!$A$1:$I$89,5,0)</f>
        <v>342.42390000000006</v>
      </c>
      <c r="AK76" s="13">
        <f t="shared" si="89"/>
        <v>80.000532271146398</v>
      </c>
      <c r="AL76" s="20">
        <f t="shared" si="58"/>
        <v>735.72255287224664</v>
      </c>
      <c r="AM76" s="59">
        <f t="shared" si="59"/>
        <v>1029.05588620558</v>
      </c>
      <c r="AN76" s="59">
        <f ca="1">AVERAGE(OFFSET($AM$3,0,0,'Données projet'!$E$10+1,1))-AVERAGE(OFFSET($H$3,0,0,'Données projet'!$E$10+1,1))</f>
        <v>364.67510777943329</v>
      </c>
      <c r="AO76" s="59">
        <f t="shared" si="90"/>
        <v>352.13878061387169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3.7739818853337819</v>
      </c>
      <c r="AV76" s="21">
        <f>EXP(-LN(2)/25)*AV75+(1-EXP(-LN(2)/25))/(LN(2)/25)*Calculateur!AQ76*Calculateur!AS76*VLOOKUP('Données projet'!$B$10,Paramètres!$A$1:$I$89,3,0)*0.475*44/12</f>
        <v>5.4685037552568181</v>
      </c>
      <c r="AW76" s="21">
        <f>EXP(-LN(2)/2)*AW75+(1-EXP(-LN(2)/2))/(LN(2)/2)*AQ76*AT76*VLOOKUP('Données projet'!$B$10,Paramètres!$A$1:$I$89,3,0)*0.475*44/12</f>
        <v>9.2633906076248982E-6</v>
      </c>
      <c r="AX76" s="21">
        <f t="shared" si="60"/>
        <v>9.242494903981207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8.1999999999999993</v>
      </c>
      <c r="BD76" s="12">
        <f>IF('Données projet'!$A$88&gt;35,BD75+BC76-BL75,IF(A76&lt;'Données projet'!$A$88,$BA$205^A76,IF(A76='Données projet'!$A$88,'Données projet'!$B$88,BD75+BC76-BL75)))</f>
        <v>464.60000000000014</v>
      </c>
      <c r="BE76" s="13">
        <f>BD76*VLOOKUP('Données projet'!$B$11,Paramètres!$A$1:$I$89,3,0)*VLOOKUP('Données projet'!$B$11,Paramètres!$A$1:$I$89,5,0)</f>
        <v>277.83080000000007</v>
      </c>
      <c r="BF76" s="13">
        <f t="shared" si="91"/>
        <v>66.508387274098368</v>
      </c>
      <c r="BG76" s="20">
        <f t="shared" si="61"/>
        <v>599.72408450238811</v>
      </c>
      <c r="BH76" s="59">
        <f t="shared" si="62"/>
        <v>893.05741783572148</v>
      </c>
      <c r="BI76" s="59">
        <f ca="1">AVERAGE(OFFSET($BH$3,0,0,'Données projet'!$E$11+1,1))-AVERAGE(OFFSET($H$3,0,0,'Données projet'!$E$11+1,1))</f>
        <v>289.66713787052475</v>
      </c>
      <c r="BJ76" s="59">
        <f t="shared" si="92"/>
        <v>298.29439200198652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5.4738980434202524</v>
      </c>
      <c r="BR76" s="21">
        <f>EXP(-LN(2)/2)*BR75+(1-EXP(-LN(2)/2))/(LN(2)/2)*BL76*BO76*VLOOKUP('Données projet'!$B$11,Paramètres!$A$1:$I$89,3,0)*0.475*44/12</f>
        <v>9.6703314558102326E-6</v>
      </c>
      <c r="BS76" s="22">
        <f t="shared" si="63"/>
        <v>5.473907713751708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11.7</v>
      </c>
      <c r="N77" s="13">
        <f>IF('Données projet'!$A$36&gt;35,N76+M77-V76,IF(A77&lt;'Données projet'!$A$36,$K$205^A77,IF(A77='Données projet'!$A$36,'Données projet'!$B$36,N76+M77-V76)))</f>
        <v>648.80000000000018</v>
      </c>
      <c r="O77" s="13">
        <f>N77*VLOOKUP('Données projet'!$B$9,Paramètres!$A$1:$I$89,3,0)*VLOOKUP('Données projet'!$B$9,Paramètres!$A$1:$I$89,5,0)</f>
        <v>362.67920000000015</v>
      </c>
      <c r="P77" s="13">
        <f t="shared" si="87"/>
        <v>84.167858525526952</v>
      </c>
      <c r="Q77" s="20">
        <f t="shared" si="54"/>
        <v>778.25862693195984</v>
      </c>
      <c r="R77" s="59">
        <f t="shared" si="55"/>
        <v>1071.5919602652932</v>
      </c>
      <c r="S77" s="59">
        <f ca="1">AVERAGE(OFFSET($R$3,0,0,'Données projet'!$E$9+1,1))-AVERAGE(OFFSET($H$3,0,0,'Données projet'!$E$9+1,1))</f>
        <v>394.9953131332565</v>
      </c>
      <c r="T77" s="59">
        <f t="shared" si="88"/>
        <v>399.58193819355591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4.2999725758365877</v>
      </c>
      <c r="AA77" s="21">
        <f>EXP(-LN(2)/25)*AA76+(1-EXP(-LN(2)/25))/(LN(2)/25)*Calculateur!V77*Calculateur!X77*VLOOKUP('Données projet'!$B$9,Paramètres!$A$1:$I$89,3,0)*0.475*44/12</f>
        <v>9.8629594258219218</v>
      </c>
      <c r="AB77" s="21">
        <f>EXP(-LN(2)/2)*AB76+(1-EXP(-LN(2)/2))/(LN(2)/2)*V77*Y77*VLOOKUP('Données projet'!$B$9,Paramètres!$A$1:$I$89,3,0)*0.475*44/12</f>
        <v>7.8033839562852616E-6</v>
      </c>
      <c r="AC77" s="22">
        <f t="shared" si="57"/>
        <v>14.162939805042466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16.3</v>
      </c>
      <c r="AI77" s="13">
        <f>IF('Données projet'!$A$62&gt;35,AI76+AH77-AQ76,IF(A77&lt;'Données projet'!$A$62,$AF$205^A77,IF(A77='Données projet'!$A$62,'Données projet'!$B$62,AI76+AH77-AQ76)))</f>
        <v>728.2</v>
      </c>
      <c r="AJ77" s="13">
        <f>AI77*VLOOKUP('Données projet'!$B$10,Paramètres!$A$1:$I$89,3,0)*VLOOKUP('Données projet'!$B$10,Paramètres!$A$1:$I$89,5,0)</f>
        <v>350.26420000000007</v>
      </c>
      <c r="AK77" s="13">
        <f t="shared" si="89"/>
        <v>81.616910372573855</v>
      </c>
      <c r="AL77" s="20">
        <f t="shared" si="58"/>
        <v>752.19293389889947</v>
      </c>
      <c r="AM77" s="59">
        <f t="shared" si="59"/>
        <v>1045.5262672322328</v>
      </c>
      <c r="AN77" s="59">
        <f ca="1">AVERAGE(OFFSET($AM$3,0,0,'Données projet'!$E$10+1,1))-AVERAGE(OFFSET($H$3,0,0,'Données projet'!$E$10+1,1))</f>
        <v>364.67510777943329</v>
      </c>
      <c r="AO77" s="59">
        <f t="shared" si="90"/>
        <v>352.13878061387169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3.6999764024640425</v>
      </c>
      <c r="AV77" s="21">
        <f>EXP(-LN(2)/25)*AV76+(1-EXP(-LN(2)/25))/(LN(2)/25)*Calculateur!AQ77*Calculateur!AS77*VLOOKUP('Données projet'!$B$10,Paramètres!$A$1:$I$89,3,0)*0.475*44/12</f>
        <v>5.3189672324932067</v>
      </c>
      <c r="AW77" s="21">
        <f>EXP(-LN(2)/2)*AW76+(1-EXP(-LN(2)/2))/(LN(2)/2)*AQ77*AT77*VLOOKUP('Données projet'!$B$10,Paramètres!$A$1:$I$89,3,0)*0.475*44/12</f>
        <v>6.5502063154313385E-6</v>
      </c>
      <c r="AX77" s="21">
        <f t="shared" si="60"/>
        <v>9.0189501851635647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8.1999999999999993</v>
      </c>
      <c r="BD77" s="12">
        <f>IF('Données projet'!$A$88&gt;35,BD76+BC77-BL76,IF(A77&lt;'Données projet'!$A$88,$BA$205^A77,IF(A77='Données projet'!$A$88,'Données projet'!$B$88,BD76+BC77-BL76)))</f>
        <v>472.80000000000013</v>
      </c>
      <c r="BE77" s="13">
        <f>BD77*VLOOKUP('Données projet'!$B$11,Paramètres!$A$1:$I$89,3,0)*VLOOKUP('Données projet'!$B$11,Paramètres!$A$1:$I$89,5,0)</f>
        <v>282.73440000000011</v>
      </c>
      <c r="BF77" s="13">
        <f t="shared" si="91"/>
        <v>67.544538959620354</v>
      </c>
      <c r="BG77" s="20">
        <f t="shared" si="61"/>
        <v>610.06915202133894</v>
      </c>
      <c r="BH77" s="59">
        <f t="shared" si="62"/>
        <v>903.40248535467231</v>
      </c>
      <c r="BI77" s="59">
        <f ca="1">AVERAGE(OFFSET($BH$3,0,0,'Données projet'!$E$11+1,1))-AVERAGE(OFFSET($H$3,0,0,'Données projet'!$E$11+1,1))</f>
        <v>289.66713787052475</v>
      </c>
      <c r="BJ77" s="59">
        <f t="shared" si="92"/>
        <v>298.29439200198652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5.3242140135631386</v>
      </c>
      <c r="BR77" s="21">
        <f>EXP(-LN(2)/2)*BR76+(1-EXP(-LN(2)/2))/(LN(2)/2)*BL77*BO77*VLOOKUP('Données projet'!$B$11,Paramètres!$A$1:$I$89,3,0)*0.475*44/12</f>
        <v>6.8379569487249938E-6</v>
      </c>
      <c r="BS77" s="22">
        <f t="shared" si="63"/>
        <v>5.3242208515200877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11.7</v>
      </c>
      <c r="N78" s="13">
        <f>IF('Données projet'!$A$36&gt;35,N77+M78-V77,IF(A78&lt;'Données projet'!$A$36,$K$205^A78,IF(A78='Données projet'!$A$36,'Données projet'!$B$36,N77+M78-V77)))</f>
        <v>660.50000000000023</v>
      </c>
      <c r="O78" s="13">
        <f>N78*VLOOKUP('Données projet'!$B$9,Paramètres!$A$1:$I$89,3,0)*VLOOKUP('Données projet'!$B$9,Paramètres!$A$1:$I$89,5,0)</f>
        <v>369.21950000000015</v>
      </c>
      <c r="P78" s="13">
        <f t="shared" si="87"/>
        <v>85.507609219700839</v>
      </c>
      <c r="Q78" s="20">
        <f t="shared" si="54"/>
        <v>791.98304855764582</v>
      </c>
      <c r="R78" s="59">
        <f t="shared" si="55"/>
        <v>1085.3163818909791</v>
      </c>
      <c r="S78" s="59">
        <f ca="1">AVERAGE(OFFSET($R$3,0,0,'Données projet'!$E$9+1,1))-AVERAGE(OFFSET($H$3,0,0,'Données projet'!$E$9+1,1))</f>
        <v>394.9953131332565</v>
      </c>
      <c r="T78" s="59">
        <f t="shared" si="88"/>
        <v>399.58193819355591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4.2156527363487308</v>
      </c>
      <c r="AA78" s="21">
        <f>EXP(-LN(2)/25)*AA77+(1-EXP(-LN(2)/25))/(LN(2)/25)*Calculateur!V78*Calculateur!X78*VLOOKUP('Données projet'!$B$9,Paramètres!$A$1:$I$89,3,0)*0.475*44/12</f>
        <v>9.5932562816523266</v>
      </c>
      <c r="AB78" s="21">
        <f>EXP(-LN(2)/2)*AB77+(1-EXP(-LN(2)/2))/(LN(2)/2)*V78*Y78*VLOOKUP('Données projet'!$B$9,Paramètres!$A$1:$I$89,3,0)*0.475*44/12</f>
        <v>5.5178257116916182E-6</v>
      </c>
      <c r="AC78" s="22">
        <f t="shared" si="57"/>
        <v>13.808914535826768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16.3</v>
      </c>
      <c r="AI78" s="13">
        <f>IF('Données projet'!$A$62&gt;35,AI77+AH78-AQ77,IF(A78&lt;'Données projet'!$A$62,$AF$205^A78,IF(A78='Données projet'!$A$62,'Données projet'!$B$62,AI77+AH78-AQ77)))</f>
        <v>744.5</v>
      </c>
      <c r="AJ78" s="13">
        <f>AI78*VLOOKUP('Données projet'!$B$10,Paramètres!$A$1:$I$89,3,0)*VLOOKUP('Données projet'!$B$10,Paramètres!$A$1:$I$89,5,0)</f>
        <v>358.10449999999997</v>
      </c>
      <c r="AK78" s="13">
        <f t="shared" si="89"/>
        <v>83.229082122619729</v>
      </c>
      <c r="AL78" s="20">
        <f t="shared" si="58"/>
        <v>768.65598886356258</v>
      </c>
      <c r="AM78" s="59">
        <f t="shared" si="59"/>
        <v>1061.989322196896</v>
      </c>
      <c r="AN78" s="59">
        <f ca="1">AVERAGE(OFFSET($AM$3,0,0,'Données projet'!$E$10+1,1))-AVERAGE(OFFSET($H$3,0,0,'Données projet'!$E$10+1,1))</f>
        <v>364.67510777943329</v>
      </c>
      <c r="AO78" s="59">
        <f t="shared" si="90"/>
        <v>352.13878061387169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3.6274221219744911</v>
      </c>
      <c r="AV78" s="21">
        <f>EXP(-LN(2)/25)*AV77+(1-EXP(-LN(2)/25))/(LN(2)/25)*Calculateur!AQ78*Calculateur!AS78*VLOOKUP('Données projet'!$B$10,Paramètres!$A$1:$I$89,3,0)*0.475*44/12</f>
        <v>5.1735197938083495</v>
      </c>
      <c r="AW78" s="21">
        <f>EXP(-LN(2)/2)*AW77+(1-EXP(-LN(2)/2))/(LN(2)/2)*AQ78*AT78*VLOOKUP('Données projet'!$B$10,Paramètres!$A$1:$I$89,3,0)*0.475*44/12</f>
        <v>4.6316953038124491E-6</v>
      </c>
      <c r="AX78" s="21">
        <f t="shared" si="60"/>
        <v>8.8009465474781443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8.1999999999999993</v>
      </c>
      <c r="BD78" s="12">
        <f>IF('Données projet'!$A$88&gt;35,BD77+BC78-BL77,IF(A78&lt;'Données projet'!$A$88,$BA$205^A78,IF(A78='Données projet'!$A$88,'Données projet'!$B$88,BD77+BC78-BL77)))</f>
        <v>481.00000000000011</v>
      </c>
      <c r="BE78" s="13">
        <f>BD78*VLOOKUP('Données projet'!$B$11,Paramètres!$A$1:$I$89,3,0)*VLOOKUP('Données projet'!$B$11,Paramètres!$A$1:$I$89,5,0)</f>
        <v>287.63800000000009</v>
      </c>
      <c r="BF78" s="13">
        <f t="shared" si="91"/>
        <v>68.578600880282579</v>
      </c>
      <c r="BG78" s="20">
        <f t="shared" si="61"/>
        <v>620.4105798664923</v>
      </c>
      <c r="BH78" s="59">
        <f t="shared" si="62"/>
        <v>913.74391319982556</v>
      </c>
      <c r="BI78" s="59">
        <f ca="1">AVERAGE(OFFSET($BH$3,0,0,'Données projet'!$E$11+1,1))-AVERAGE(OFFSET($H$3,0,0,'Données projet'!$E$11+1,1))</f>
        <v>289.66713787052475</v>
      </c>
      <c r="BJ78" s="59">
        <f t="shared" si="92"/>
        <v>298.29439200198652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5.1786231013740078</v>
      </c>
      <c r="BR78" s="21">
        <f>EXP(-LN(2)/2)*BR77+(1-EXP(-LN(2)/2))/(LN(2)/2)*BL78*BO78*VLOOKUP('Données projet'!$B$11,Paramètres!$A$1:$I$89,3,0)*0.475*44/12</f>
        <v>4.8351657279051163E-6</v>
      </c>
      <c r="BS78" s="22">
        <f t="shared" si="63"/>
        <v>5.1786279365397361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11.7</v>
      </c>
      <c r="N79" s="13">
        <f>IF('Données projet'!$A$36&gt;35,N78+M79-V78,IF(A79&lt;'Données projet'!$A$36,$K$205^A79,IF(A79='Données projet'!$A$36,'Données projet'!$B$36,N78+M79-V78)))</f>
        <v>672.20000000000027</v>
      </c>
      <c r="O79" s="13">
        <f>N79*VLOOKUP('Données projet'!$B$9,Paramètres!$A$1:$I$89,3,0)*VLOOKUP('Données projet'!$B$9,Paramètres!$A$1:$I$89,5,0)</f>
        <v>375.75980000000015</v>
      </c>
      <c r="P79" s="13">
        <f t="shared" si="87"/>
        <v>86.844600185332411</v>
      </c>
      <c r="Q79" s="20">
        <f t="shared" si="54"/>
        <v>805.70266365612088</v>
      </c>
      <c r="R79" s="59">
        <f t="shared" si="55"/>
        <v>1099.0359969894541</v>
      </c>
      <c r="S79" s="59">
        <f ca="1">AVERAGE(OFFSET($R$3,0,0,'Données projet'!$E$9+1,1))-AVERAGE(OFFSET($H$3,0,0,'Données projet'!$E$9+1,1))</f>
        <v>394.9953131332565</v>
      </c>
      <c r="T79" s="59">
        <f t="shared" si="88"/>
        <v>399.58193819355591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4.1329863574832073</v>
      </c>
      <c r="AA79" s="21">
        <f>EXP(-LN(2)/25)*AA78+(1-EXP(-LN(2)/25))/(LN(2)/25)*Calculateur!V79*Calculateur!X79*VLOOKUP('Données projet'!$B$9,Paramètres!$A$1:$I$89,3,0)*0.475*44/12</f>
        <v>9.3309281841431222</v>
      </c>
      <c r="AB79" s="21">
        <f>EXP(-LN(2)/2)*AB78+(1-EXP(-LN(2)/2))/(LN(2)/2)*V79*Y79*VLOOKUP('Données projet'!$B$9,Paramètres!$A$1:$I$89,3,0)*0.475*44/12</f>
        <v>3.9016919781426308E-6</v>
      </c>
      <c r="AC79" s="22">
        <f t="shared" si="57"/>
        <v>13.463918443318308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16.3</v>
      </c>
      <c r="AI79" s="13">
        <f>IF('Données projet'!$A$62&gt;35,AI78+AH79-AQ78,IF(A79&lt;'Données projet'!$A$62,$AF$205^A79,IF(A79='Données projet'!$A$62,'Données projet'!$B$62,AI78+AH79-AQ78)))</f>
        <v>760.8</v>
      </c>
      <c r="AJ79" s="13">
        <f>AI79*VLOOKUP('Données projet'!$B$10,Paramètres!$A$1:$I$89,3,0)*VLOOKUP('Données projet'!$B$10,Paramètres!$A$1:$I$89,5,0)</f>
        <v>365.94479999999999</v>
      </c>
      <c r="AK79" s="13">
        <f t="shared" si="89"/>
        <v>84.837150220020803</v>
      </c>
      <c r="AL79" s="20">
        <f t="shared" si="58"/>
        <v>785.11189663320283</v>
      </c>
      <c r="AM79" s="59">
        <f t="shared" si="59"/>
        <v>1078.4452299665361</v>
      </c>
      <c r="AN79" s="59">
        <f ca="1">AVERAGE(OFFSET($AM$3,0,0,'Données projet'!$E$10+1,1))-AVERAGE(OFFSET($H$3,0,0,'Données projet'!$E$10+1,1))</f>
        <v>364.67510777943329</v>
      </c>
      <c r="AO79" s="59">
        <f t="shared" si="90"/>
        <v>352.13878061387169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3.5562905866715986</v>
      </c>
      <c r="AV79" s="21">
        <f>EXP(-LN(2)/25)*AV78+(1-EXP(-LN(2)/25))/(LN(2)/25)*Calculateur!AQ79*Calculateur!AS79*VLOOKUP('Données projet'!$B$10,Paramètres!$A$1:$I$89,3,0)*0.475*44/12</f>
        <v>5.0320496229830782</v>
      </c>
      <c r="AW79" s="21">
        <f>EXP(-LN(2)/2)*AW78+(1-EXP(-LN(2)/2))/(LN(2)/2)*AQ79*AT79*VLOOKUP('Données projet'!$B$10,Paramètres!$A$1:$I$89,3,0)*0.475*44/12</f>
        <v>3.2751031577156693E-6</v>
      </c>
      <c r="AX79" s="21">
        <f t="shared" si="60"/>
        <v>8.5883434847578339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8.1999999999999993</v>
      </c>
      <c r="BD79" s="12">
        <f>IF('Données projet'!$A$88&gt;35,BD78+BC79-BL78,IF(A79&lt;'Données projet'!$A$88,$BA$205^A79,IF(A79='Données projet'!$A$88,'Données projet'!$B$88,BD78+BC79-BL78)))</f>
        <v>489.2000000000001</v>
      </c>
      <c r="BE79" s="13">
        <f>BD79*VLOOKUP('Données projet'!$B$11,Paramètres!$A$1:$I$89,3,0)*VLOOKUP('Données projet'!$B$11,Paramètres!$A$1:$I$89,5,0)</f>
        <v>292.54160000000007</v>
      </c>
      <c r="BF79" s="13">
        <f t="shared" si="91"/>
        <v>69.610612773315694</v>
      </c>
      <c r="BG79" s="20">
        <f t="shared" si="61"/>
        <v>630.74843724685832</v>
      </c>
      <c r="BH79" s="59">
        <f t="shared" si="62"/>
        <v>924.08177058019169</v>
      </c>
      <c r="BI79" s="59">
        <f ca="1">AVERAGE(OFFSET($BH$3,0,0,'Données projet'!$E$11+1,1))-AVERAGE(OFFSET($H$3,0,0,'Données projet'!$E$11+1,1))</f>
        <v>289.66713787052475</v>
      </c>
      <c r="BJ79" s="59">
        <f t="shared" si="92"/>
        <v>298.29439200198652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5.037013380334983</v>
      </c>
      <c r="BR79" s="21">
        <f>EXP(-LN(2)/2)*BR78+(1-EXP(-LN(2)/2))/(LN(2)/2)*BL79*BO79*VLOOKUP('Données projet'!$B$11,Paramètres!$A$1:$I$89,3,0)*0.475*44/12</f>
        <v>3.4189784743624969E-6</v>
      </c>
      <c r="BS79" s="22">
        <f t="shared" si="63"/>
        <v>5.0370167993134576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11.7</v>
      </c>
      <c r="N80" s="13">
        <f>IF('Données projet'!$A$36&gt;35,N79+M80-V79,IF(A80&lt;'Données projet'!$A$36,$K$205^A80,IF(A80='Données projet'!$A$36,'Données projet'!$B$36,N79+M80-V79)))</f>
        <v>683.90000000000032</v>
      </c>
      <c r="O80" s="13">
        <f>N80*VLOOKUP('Données projet'!$B$9,Paramètres!$A$1:$I$89,3,0)*VLOOKUP('Données projet'!$B$9,Paramètres!$A$1:$I$89,5,0)</f>
        <v>382.30010000000016</v>
      </c>
      <c r="P80" s="13">
        <f t="shared" si="87"/>
        <v>88.178884999359013</v>
      </c>
      <c r="Q80" s="20">
        <f t="shared" si="54"/>
        <v>819.41756554055053</v>
      </c>
      <c r="R80" s="59">
        <f t="shared" si="55"/>
        <v>1112.7508988738839</v>
      </c>
      <c r="S80" s="59">
        <f ca="1">AVERAGE(OFFSET($R$3,0,0,'Données projet'!$E$9+1,1))-AVERAGE(OFFSET($H$3,0,0,'Données projet'!$E$9+1,1))</f>
        <v>394.9953131332565</v>
      </c>
      <c r="T80" s="59">
        <f t="shared" si="88"/>
        <v>399.58193819355591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4.0519410158857241</v>
      </c>
      <c r="AA80" s="21">
        <f>EXP(-LN(2)/25)*AA79+(1-EXP(-LN(2)/25))/(LN(2)/25)*Calculateur!V80*Calculateur!X80*VLOOKUP('Données projet'!$B$9,Paramètres!$A$1:$I$89,3,0)*0.475*44/12</f>
        <v>9.0757734622555422</v>
      </c>
      <c r="AB80" s="21">
        <f>EXP(-LN(2)/2)*AB79+(1-EXP(-LN(2)/2))/(LN(2)/2)*V80*Y80*VLOOKUP('Données projet'!$B$9,Paramètres!$A$1:$I$89,3,0)*0.475*44/12</f>
        <v>2.7589128558458091E-6</v>
      </c>
      <c r="AC80" s="22">
        <f t="shared" si="57"/>
        <v>13.127717237054123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16.3</v>
      </c>
      <c r="AI80" s="13">
        <f>IF('Données projet'!$A$62&gt;35,AI79+AH80-AQ79,IF(A80&lt;'Données projet'!$A$62,$AF$205^A80,IF(A80='Données projet'!$A$62,'Données projet'!$B$62,AI79+AH80-AQ79)))</f>
        <v>777.09999999999991</v>
      </c>
      <c r="AJ80" s="13">
        <f>AI80*VLOOKUP('Données projet'!$B$10,Paramètres!$A$1:$I$89,3,0)*VLOOKUP('Données projet'!$B$10,Paramètres!$A$1:$I$89,5,0)</f>
        <v>373.7851</v>
      </c>
      <c r="AK80" s="13">
        <f t="shared" si="89"/>
        <v>86.441212711528081</v>
      </c>
      <c r="AL80" s="20">
        <f t="shared" si="58"/>
        <v>801.56082797257807</v>
      </c>
      <c r="AM80" s="59">
        <f t="shared" si="59"/>
        <v>1094.8941613059114</v>
      </c>
      <c r="AN80" s="59">
        <f ca="1">AVERAGE(OFFSET($AM$3,0,0,'Données projet'!$E$10+1,1))-AVERAGE(OFFSET($H$3,0,0,'Données projet'!$E$10+1,1))</f>
        <v>364.67510777943329</v>
      </c>
      <c r="AO80" s="59">
        <f t="shared" si="90"/>
        <v>352.13878061387169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3.4865538973900434</v>
      </c>
      <c r="AV80" s="21">
        <f>EXP(-LN(2)/25)*AV79+(1-EXP(-LN(2)/25))/(LN(2)/25)*Calculateur!AQ80*Calculateur!AS80*VLOOKUP('Données projet'!$B$10,Paramètres!$A$1:$I$89,3,0)*0.475*44/12</f>
        <v>4.8944479614186172</v>
      </c>
      <c r="AW80" s="21">
        <f>EXP(-LN(2)/2)*AW79+(1-EXP(-LN(2)/2))/(LN(2)/2)*AQ80*AT80*VLOOKUP('Données projet'!$B$10,Paramètres!$A$1:$I$89,3,0)*0.475*44/12</f>
        <v>2.3158476519062245E-6</v>
      </c>
      <c r="AX80" s="21">
        <f t="shared" si="60"/>
        <v>8.3810041746563133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8.1999999999999993</v>
      </c>
      <c r="BD80" s="12">
        <f>IF('Données projet'!$A$88&gt;35,BD79+BC80-BL79,IF(A80&lt;'Données projet'!$A$88,$BA$205^A80,IF(A80='Données projet'!$A$88,'Données projet'!$B$88,BD79+BC80-BL79)))</f>
        <v>497.40000000000009</v>
      </c>
      <c r="BE80" s="13">
        <f>BD80*VLOOKUP('Données projet'!$B$11,Paramètres!$A$1:$I$89,3,0)*VLOOKUP('Données projet'!$B$11,Paramètres!$A$1:$I$89,5,0)</f>
        <v>297.44520000000011</v>
      </c>
      <c r="BF80" s="13">
        <f t="shared" si="91"/>
        <v>70.640612967440504</v>
      </c>
      <c r="BG80" s="20">
        <f t="shared" si="61"/>
        <v>641.08279091829229</v>
      </c>
      <c r="BH80" s="59">
        <f t="shared" si="62"/>
        <v>934.41612425162566</v>
      </c>
      <c r="BI80" s="59">
        <f ca="1">AVERAGE(OFFSET($BH$3,0,0,'Données projet'!$E$11+1,1))-AVERAGE(OFFSET($H$3,0,0,'Données projet'!$E$11+1,1))</f>
        <v>289.66713787052475</v>
      </c>
      <c r="BJ80" s="59">
        <f t="shared" si="92"/>
        <v>298.29439200198652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4.8992759845647011</v>
      </c>
      <c r="BR80" s="21">
        <f>EXP(-LN(2)/2)*BR79+(1-EXP(-LN(2)/2))/(LN(2)/2)*BL80*BO80*VLOOKUP('Données projet'!$B$11,Paramètres!$A$1:$I$89,3,0)*0.475*44/12</f>
        <v>2.4175828639525581E-6</v>
      </c>
      <c r="BS80" s="22">
        <f t="shared" si="63"/>
        <v>4.8992784021475648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11.7</v>
      </c>
      <c r="N81" s="13">
        <f>IF('Données projet'!$A$36&gt;35,N80+M81-V80,IF(A81&lt;'Données projet'!$A$36,$K$205^A81,IF(A81='Données projet'!$A$36,'Données projet'!$B$36,N80+M81-V80)))</f>
        <v>695.60000000000036</v>
      </c>
      <c r="O81" s="13">
        <f>N81*VLOOKUP('Données projet'!$B$9,Paramètres!$A$1:$I$89,3,0)*VLOOKUP('Données projet'!$B$9,Paramètres!$A$1:$I$89,5,0)</f>
        <v>388.84040000000022</v>
      </c>
      <c r="P81" s="13">
        <f t="shared" si="87"/>
        <v>89.510515300512282</v>
      </c>
      <c r="Q81" s="20">
        <f t="shared" si="54"/>
        <v>833.12784414839268</v>
      </c>
      <c r="R81" s="59">
        <f t="shared" si="55"/>
        <v>1126.4611774817261</v>
      </c>
      <c r="S81" s="59">
        <f ca="1">AVERAGE(OFFSET($R$3,0,0,'Données projet'!$E$9+1,1))-AVERAGE(OFFSET($H$3,0,0,'Données projet'!$E$9+1,1))</f>
        <v>394.9953131332565</v>
      </c>
      <c r="T81" s="59">
        <f t="shared" si="88"/>
        <v>399.58193819355591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3.9724849240041902</v>
      </c>
      <c r="AA81" s="21">
        <f>EXP(-LN(2)/25)*AA80+(1-EXP(-LN(2)/25))/(LN(2)/25)*Calculateur!V81*Calculateur!X81*VLOOKUP('Données projet'!$B$9,Paramètres!$A$1:$I$89,3,0)*0.475*44/12</f>
        <v>8.8275959596559801</v>
      </c>
      <c r="AB81" s="21">
        <f>EXP(-LN(2)/2)*AB80+(1-EXP(-LN(2)/2))/(LN(2)/2)*V81*Y81*VLOOKUP('Données projet'!$B$9,Paramètres!$A$1:$I$89,3,0)*0.475*44/12</f>
        <v>1.9508459890713154E-6</v>
      </c>
      <c r="AC81" s="22">
        <f t="shared" si="57"/>
        <v>12.80008283450616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16.3</v>
      </c>
      <c r="AI81" s="13">
        <f>IF('Données projet'!$A$62&gt;35,AI80+AH81-AQ80,IF(A81&lt;'Données projet'!$A$62,$AF$205^A81,IF(A81='Données projet'!$A$62,'Données projet'!$B$62,AI80+AH81-AQ80)))</f>
        <v>793.39999999999986</v>
      </c>
      <c r="AJ81" s="13">
        <f>AI81*VLOOKUP('Données projet'!$B$10,Paramètres!$A$1:$I$89,3,0)*VLOOKUP('Données projet'!$B$10,Paramètres!$A$1:$I$89,5,0)</f>
        <v>381.62539999999996</v>
      </c>
      <c r="AK81" s="13">
        <f t="shared" si="89"/>
        <v>88.041363295715925</v>
      </c>
      <c r="AL81" s="20">
        <f t="shared" si="58"/>
        <v>818.00294607337173</v>
      </c>
      <c r="AM81" s="59">
        <f t="shared" si="59"/>
        <v>1111.336279406705</v>
      </c>
      <c r="AN81" s="59">
        <f ca="1">AVERAGE(OFFSET($AM$3,0,0,'Données projet'!$E$10+1,1))-AVERAGE(OFFSET($H$3,0,0,'Données projet'!$E$10+1,1))</f>
        <v>364.67510777943329</v>
      </c>
      <c r="AO81" s="59">
        <f t="shared" si="90"/>
        <v>352.13878061387169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3.418184702050119</v>
      </c>
      <c r="AV81" s="21">
        <f>EXP(-LN(2)/25)*AV80+(1-EXP(-LN(2)/25))/(LN(2)/25)*Calculateur!AQ81*Calculateur!AS81*VLOOKUP('Données projet'!$B$10,Paramètres!$A$1:$I$89,3,0)*0.475*44/12</f>
        <v>4.7606090245257935</v>
      </c>
      <c r="AW81" s="21">
        <f>EXP(-LN(2)/2)*AW80+(1-EXP(-LN(2)/2))/(LN(2)/2)*AQ81*AT81*VLOOKUP('Données projet'!$B$10,Paramètres!$A$1:$I$89,3,0)*0.475*44/12</f>
        <v>1.6375515788578346E-6</v>
      </c>
      <c r="AX81" s="21">
        <f t="shared" si="60"/>
        <v>8.1787953641274918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8.1999999999999993</v>
      </c>
      <c r="BD81" s="12">
        <f>IF('Données projet'!$A$88&gt;35,BD80+BC81-BL80,IF(A81&lt;'Données projet'!$A$88,$BA$205^A81,IF(A81='Données projet'!$A$88,'Données projet'!$B$88,BD80+BC81-BL80)))</f>
        <v>505.60000000000008</v>
      </c>
      <c r="BE81" s="13">
        <f>BD81*VLOOKUP('Données projet'!$B$11,Paramètres!$A$1:$I$89,3,0)*VLOOKUP('Données projet'!$B$11,Paramètres!$A$1:$I$89,5,0)</f>
        <v>302.3488000000001</v>
      </c>
      <c r="BF81" s="13">
        <f t="shared" si="91"/>
        <v>71.668638455174857</v>
      </c>
      <c r="BG81" s="20">
        <f t="shared" si="61"/>
        <v>651.4137053094297</v>
      </c>
      <c r="BH81" s="59">
        <f t="shared" si="62"/>
        <v>944.74703864276307</v>
      </c>
      <c r="BI81" s="59">
        <f ca="1">AVERAGE(OFFSET($BH$3,0,0,'Données projet'!$E$11+1,1))-AVERAGE(OFFSET($H$3,0,0,'Données projet'!$E$11+1,1))</f>
        <v>289.66713787052475</v>
      </c>
      <c r="BJ81" s="59">
        <f t="shared" si="92"/>
        <v>298.29439200198652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4.7653050251250528</v>
      </c>
      <c r="BR81" s="21">
        <f>EXP(-LN(2)/2)*BR80+(1-EXP(-LN(2)/2))/(LN(2)/2)*BL81*BO81*VLOOKUP('Données projet'!$B$11,Paramètres!$A$1:$I$89,3,0)*0.475*44/12</f>
        <v>1.7094892371812485E-6</v>
      </c>
      <c r="BS81" s="22">
        <f t="shared" si="63"/>
        <v>4.7653067346142901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11.7</v>
      </c>
      <c r="N82" s="13">
        <f>IF('Données projet'!$A$36&gt;35,N81+M82-V81,IF(A82&lt;'Données projet'!$A$36,$K$205^A82,IF(A82='Données projet'!$A$36,'Données projet'!$B$36,N81+M82-V81)))</f>
        <v>707.30000000000041</v>
      </c>
      <c r="O82" s="13">
        <f>N82*VLOOKUP('Données projet'!$B$9,Paramètres!$A$1:$I$89,3,0)*VLOOKUP('Données projet'!$B$9,Paramètres!$A$1:$I$89,5,0)</f>
        <v>395.38070000000027</v>
      </c>
      <c r="P82" s="13">
        <f t="shared" si="87"/>
        <v>90.839540890834357</v>
      </c>
      <c r="Q82" s="20">
        <f t="shared" si="54"/>
        <v>846.83358621820355</v>
      </c>
      <c r="R82" s="59">
        <f t="shared" si="55"/>
        <v>1140.1669195515369</v>
      </c>
      <c r="S82" s="59">
        <f ca="1">AVERAGE(OFFSET($R$3,0,0,'Données projet'!$E$9+1,1))-AVERAGE(OFFSET($H$3,0,0,'Données projet'!$E$9+1,1))</f>
        <v>394.9953131332565</v>
      </c>
      <c r="T82" s="59">
        <f t="shared" si="88"/>
        <v>399.58193819355591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3.8945869176210226</v>
      </c>
      <c r="AA82" s="21">
        <f>EXP(-LN(2)/25)*AA81+(1-EXP(-LN(2)/25))/(LN(2)/25)*Calculateur!V82*Calculateur!X82*VLOOKUP('Données projet'!$B$9,Paramètres!$A$1:$I$89,3,0)*0.475*44/12</f>
        <v>8.5862048839160909</v>
      </c>
      <c r="AB82" s="21">
        <f>EXP(-LN(2)/2)*AB81+(1-EXP(-LN(2)/2))/(LN(2)/2)*V82*Y82*VLOOKUP('Données projet'!$B$9,Paramètres!$A$1:$I$89,3,0)*0.475*44/12</f>
        <v>1.3794564279229045E-6</v>
      </c>
      <c r="AC82" s="22">
        <f t="shared" si="57"/>
        <v>12.480793180993542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16.3</v>
      </c>
      <c r="AI82" s="13">
        <f>IF('Données projet'!$A$62&gt;35,AI81+AH82-AQ81,IF(A82&lt;'Données projet'!$A$62,$AF$205^A82,IF(A82='Données projet'!$A$62,'Données projet'!$B$62,AI81+AH82-AQ81)))</f>
        <v>809.69999999999982</v>
      </c>
      <c r="AJ82" s="13">
        <f>AI82*VLOOKUP('Données projet'!$B$10,Paramètres!$A$1:$I$89,3,0)*VLOOKUP('Données projet'!$B$10,Paramètres!$A$1:$I$89,5,0)</f>
        <v>389.46569999999991</v>
      </c>
      <c r="AK82" s="13">
        <f t="shared" si="89"/>
        <v>89.637691601118703</v>
      </c>
      <c r="AL82" s="20">
        <f t="shared" si="58"/>
        <v>834.43840703861497</v>
      </c>
      <c r="AM82" s="59">
        <f t="shared" si="59"/>
        <v>1127.7717403719482</v>
      </c>
      <c r="AN82" s="59">
        <f ca="1">AVERAGE(OFFSET($AM$3,0,0,'Données projet'!$E$10+1,1))-AVERAGE(OFFSET($H$3,0,0,'Données projet'!$E$10+1,1))</f>
        <v>364.67510777943329</v>
      </c>
      <c r="AO82" s="59">
        <f t="shared" si="90"/>
        <v>352.13878061387169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3.3511561849297191</v>
      </c>
      <c r="AV82" s="21">
        <f>EXP(-LN(2)/25)*AV81+(1-EXP(-LN(2)/25))/(LN(2)/25)*Calculateur!AQ82*Calculateur!AS82*VLOOKUP('Données projet'!$B$10,Paramètres!$A$1:$I$89,3,0)*0.475*44/12</f>
        <v>4.6304299204005872</v>
      </c>
      <c r="AW82" s="21">
        <f>EXP(-LN(2)/2)*AW81+(1-EXP(-LN(2)/2))/(LN(2)/2)*AQ82*AT82*VLOOKUP('Données projet'!$B$10,Paramètres!$A$1:$I$89,3,0)*0.475*44/12</f>
        <v>1.1579238259531123E-6</v>
      </c>
      <c r="AX82" s="21">
        <f t="shared" si="60"/>
        <v>7.9815872632541325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8.1999999999999993</v>
      </c>
      <c r="BD82" s="12">
        <f>IF('Données projet'!$A$88&gt;35,BD81+BC82-BL81,IF(A82&lt;'Données projet'!$A$88,$BA$205^A82,IF(A82='Données projet'!$A$88,'Données projet'!$B$88,BD81+BC82-BL81)))</f>
        <v>513.80000000000007</v>
      </c>
      <c r="BE82" s="13">
        <f>BD82*VLOOKUP('Données projet'!$B$11,Paramètres!$A$1:$I$89,3,0)*VLOOKUP('Données projet'!$B$11,Paramètres!$A$1:$I$89,5,0)</f>
        <v>307.25240000000008</v>
      </c>
      <c r="BF82" s="13">
        <f t="shared" si="91"/>
        <v>72.694724960317785</v>
      </c>
      <c r="BG82" s="20">
        <f t="shared" si="61"/>
        <v>661.74124263922022</v>
      </c>
      <c r="BH82" s="59">
        <f t="shared" si="62"/>
        <v>955.07457597255348</v>
      </c>
      <c r="BI82" s="59">
        <f ca="1">AVERAGE(OFFSET($BH$3,0,0,'Données projet'!$E$11+1,1))-AVERAGE(OFFSET($H$3,0,0,'Données projet'!$E$11+1,1))</f>
        <v>289.66713787052475</v>
      </c>
      <c r="BJ82" s="59">
        <f t="shared" si="92"/>
        <v>298.29439200198652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4.6349975086165083</v>
      </c>
      <c r="BR82" s="21">
        <f>EXP(-LN(2)/2)*BR81+(1-EXP(-LN(2)/2))/(LN(2)/2)*BL82*BO82*VLOOKUP('Données projet'!$B$11,Paramètres!$A$1:$I$89,3,0)*0.475*44/12</f>
        <v>1.2087914319762791E-6</v>
      </c>
      <c r="BS82" s="22">
        <f t="shared" si="63"/>
        <v>4.6349987174079406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719</v>
      </c>
      <c r="L83" s="12">
        <f>VLOOKUP(A83,'Données projet'!$A$35:$I$55,9,0)</f>
        <v>11.7</v>
      </c>
      <c r="M83" s="12">
        <f t="array" ref="M83">INDEX(L:L,MIN(IF(ISNUMBER(L83:L279),ROW(L83:L279),"")))</f>
        <v>11.7</v>
      </c>
      <c r="N83" s="13">
        <f>IF('Données projet'!$A$36&gt;35,N82+M83-V82,IF(A83&lt;'Données projet'!$A$36,$K$205^A83,IF(A83='Données projet'!$A$36,'Données projet'!$B$36,N82+M83-V82)))</f>
        <v>719.00000000000045</v>
      </c>
      <c r="O83" s="13">
        <f>N83*VLOOKUP('Données projet'!$B$9,Paramètres!$A$1:$I$89,3,0)*VLOOKUP('Données projet'!$B$9,Paramètres!$A$1:$I$89,5,0)</f>
        <v>401.92100000000028</v>
      </c>
      <c r="P83" s="13">
        <f t="shared" si="87"/>
        <v>92.166009830286299</v>
      </c>
      <c r="Q83" s="20">
        <f t="shared" si="54"/>
        <v>860.53487545441567</v>
      </c>
      <c r="R83" s="59">
        <f t="shared" si="55"/>
        <v>1153.8682087877489</v>
      </c>
      <c r="S83" s="59">
        <f ca="1">AVERAGE(OFFSET($R$3,0,0,'Données projet'!$E$9+1,1))-AVERAGE(OFFSET($H$3,0,0,'Données projet'!$E$9+1,1))</f>
        <v>394.9953131332565</v>
      </c>
      <c r="T83" s="59">
        <f t="shared" si="88"/>
        <v>399.58193819355591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719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3.8182164436299364</v>
      </c>
      <c r="AA83" s="21">
        <f>EXP(-LN(2)/25)*AA82+(1-EXP(-LN(2)/25))/(LN(2)/25)*Calculateur!V83*Calculateur!X83*VLOOKUP('Données projet'!$B$9,Paramètres!$A$1:$I$89,3,0)*0.475*44/12</f>
        <v>8.3514146598365144</v>
      </c>
      <c r="AB83" s="21">
        <f>EXP(-LN(2)/2)*AB82+(1-EXP(-LN(2)/2))/(LN(2)/2)*V83*Y83*VLOOKUP('Données projet'!$B$9,Paramètres!$A$1:$I$89,3,0)*0.475*44/12</f>
        <v>9.754229945356577E-7</v>
      </c>
      <c r="AC83" s="22">
        <f t="shared" si="57"/>
        <v>12.169632078889444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826</v>
      </c>
      <c r="AG83" s="12">
        <f>VLOOKUP(A83,'Données projet'!$A$61:$I$81,9,0)</f>
        <v>16.3</v>
      </c>
      <c r="AH83" s="12">
        <f t="array" ref="AH83">INDEX(AG:AG,MIN(IF(ISNUMBER(AG83:AG279),ROW(AG83:AG279),"")))</f>
        <v>16.3</v>
      </c>
      <c r="AI83" s="13">
        <f>IF('Données projet'!$A$62&gt;35,AI82+AH83-AQ82,IF(A83&lt;'Données projet'!$A$62,$AF$205^A83,IF(A83='Données projet'!$A$62,'Données projet'!$B$62,AI82+AH83-AQ82)))</f>
        <v>825.99999999999977</v>
      </c>
      <c r="AJ83" s="13">
        <f>AI83*VLOOKUP('Données projet'!$B$10,Paramètres!$A$1:$I$89,3,0)*VLOOKUP('Données projet'!$B$10,Paramètres!$A$1:$I$89,5,0)</f>
        <v>397.30599999999987</v>
      </c>
      <c r="AK83" s="13">
        <f t="shared" si="89"/>
        <v>91.230283441338727</v>
      </c>
      <c r="AL83" s="20">
        <f t="shared" si="58"/>
        <v>850.86736032699798</v>
      </c>
      <c r="AM83" s="59">
        <f t="shared" si="59"/>
        <v>1144.2006936603314</v>
      </c>
      <c r="AN83" s="59">
        <f ca="1">AVERAGE(OFFSET($AM$3,0,0,'Données projet'!$E$10+1,1))-AVERAGE(OFFSET($H$3,0,0,'Données projet'!$E$10+1,1))</f>
        <v>364.67510777943329</v>
      </c>
      <c r="AO83" s="59">
        <f t="shared" si="90"/>
        <v>352.13878061387169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826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3.2854420561466915</v>
      </c>
      <c r="AV83" s="21">
        <f>EXP(-LN(2)/25)*AV82+(1-EXP(-LN(2)/25))/(LN(2)/25)*Calculateur!AQ83*Calculateur!AS83*VLOOKUP('Données projet'!$B$10,Paramètres!$A$1:$I$89,3,0)*0.475*44/12</f>
        <v>4.5038105707235063</v>
      </c>
      <c r="AW83" s="21">
        <f>EXP(-LN(2)/2)*AW82+(1-EXP(-LN(2)/2))/(LN(2)/2)*AQ83*AT83*VLOOKUP('Données projet'!$B$10,Paramètres!$A$1:$I$89,3,0)*0.475*44/12</f>
        <v>8.1877578942891732E-7</v>
      </c>
      <c r="AX83" s="21">
        <f t="shared" si="60"/>
        <v>7.7892534456459872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522</v>
      </c>
      <c r="BB83" s="12">
        <f>VLOOKUP(A83,'Données projet'!$A$87:$I$107,9,0)</f>
        <v>8.1999999999999993</v>
      </c>
      <c r="BC83" s="12">
        <f t="array" ref="BC83">INDEX(BB:BB,MIN(IF(ISNUMBER(BB83:BB279),ROW(BB83:BB279),"")))</f>
        <v>8.1999999999999993</v>
      </c>
      <c r="BD83" s="12">
        <f>IF('Données projet'!$A$88&gt;35,BD82+BC83-BL82,IF(A83&lt;'Données projet'!$A$88,$BA$205^A83,IF(A83='Données projet'!$A$88,'Données projet'!$B$88,BD82+BC83-BL82)))</f>
        <v>522.00000000000011</v>
      </c>
      <c r="BE83" s="13">
        <f>BD83*VLOOKUP('Données projet'!$B$11,Paramètres!$A$1:$I$89,3,0)*VLOOKUP('Données projet'!$B$11,Paramètres!$A$1:$I$89,5,0)</f>
        <v>312.15600000000006</v>
      </c>
      <c r="BF83" s="13">
        <f t="shared" si="91"/>
        <v>73.718907001002549</v>
      </c>
      <c r="BG83" s="20">
        <f t="shared" si="61"/>
        <v>672.06546302674622</v>
      </c>
      <c r="BH83" s="59">
        <f t="shared" si="62"/>
        <v>965.39879636007959</v>
      </c>
      <c r="BI83" s="59">
        <f ca="1">AVERAGE(OFFSET($BH$3,0,0,'Données projet'!$E$11+1,1))-AVERAGE(OFFSET($H$3,0,0,'Données projet'!$E$11+1,1))</f>
        <v>289.66713787052475</v>
      </c>
      <c r="BJ83" s="59">
        <f t="shared" si="92"/>
        <v>298.29439200198652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522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4.5082532579994643</v>
      </c>
      <c r="BR83" s="21">
        <f>EXP(-LN(2)/2)*BR82+(1-EXP(-LN(2)/2))/(LN(2)/2)*BL83*BO83*VLOOKUP('Données projet'!$B$11,Paramètres!$A$1:$I$89,3,0)*0.475*44/12</f>
        <v>8.5474461859062423E-7</v>
      </c>
      <c r="BS83" s="22">
        <f t="shared" si="63"/>
        <v>4.5082541127440825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2.5420376914553347E-13</v>
      </c>
      <c r="P84" s="13">
        <f t="shared" si="87"/>
        <v>3.4258699088369875E-12</v>
      </c>
      <c r="Q84" s="20">
        <f t="shared" si="54"/>
        <v>6.4094616558195571E-12</v>
      </c>
      <c r="R84" s="59">
        <f t="shared" si="55"/>
        <v>293.33333333333974</v>
      </c>
      <c r="S84" s="59">
        <f ca="1">AVERAGE(OFFSET($R$3,0,0,'Données projet'!$E$9+1,1))-AVERAGE(OFFSET($H$3,0,0,'Données projet'!$E$9+1,1))</f>
        <v>394.9953131332565</v>
      </c>
      <c r="T84" s="59">
        <f t="shared" si="88"/>
        <v>399.58193819355591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3.743343548052426</v>
      </c>
      <c r="AA84" s="21">
        <f>EXP(-LN(2)/25)*AA83+(1-EXP(-LN(2)/25))/(LN(2)/25)*Calculateur!V84*Calculateur!X84*VLOOKUP('Données projet'!$B$9,Paramètres!$A$1:$I$89,3,0)*0.475*44/12</f>
        <v>8.1230447867814757</v>
      </c>
      <c r="AB84" s="21">
        <f>EXP(-LN(2)/2)*AB83+(1-EXP(-LN(2)/2))/(LN(2)/2)*V84*Y84*VLOOKUP('Données projet'!$B$9,Paramètres!$A$1:$I$89,3,0)*0.475*44/12</f>
        <v>6.8972821396145227E-7</v>
      </c>
      <c r="AC84" s="22">
        <f t="shared" si="57"/>
        <v>11.866389024562116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-2.2737367544323206E-13</v>
      </c>
      <c r="AJ84" s="13">
        <f>AI84*VLOOKUP('Données projet'!$B$10,Paramètres!$A$1:$I$89,3,0)*VLOOKUP('Données projet'!$B$10,Paramètres!$A$1:$I$89,5,0)</f>
        <v>-1.0936673788819462E-13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364.67510777943329</v>
      </c>
      <c r="AO84" s="59">
        <f t="shared" si="90"/>
        <v>352.13878061387169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3.2210165413474381</v>
      </c>
      <c r="AV84" s="21">
        <f>EXP(-LN(2)/25)*AV83+(1-EXP(-LN(2)/25))/(LN(2)/25)*Calculateur!AQ84*Calculateur!AS84*VLOOKUP('Données projet'!$B$10,Paramètres!$A$1:$I$89,3,0)*0.475*44/12</f>
        <v>4.3806536338219679</v>
      </c>
      <c r="AW84" s="21">
        <f>EXP(-LN(2)/2)*AW83+(1-EXP(-LN(2)/2))/(LN(2)/2)*AQ84*AT84*VLOOKUP('Données projet'!$B$10,Paramètres!$A$1:$I$89,3,0)*0.475*44/12</f>
        <v>5.7896191297655613E-7</v>
      </c>
      <c r="AX84" s="21">
        <f t="shared" si="60"/>
        <v>7.6016707541313195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1.1368683772161603E-13</v>
      </c>
      <c r="BE84" s="13">
        <f>BD84*VLOOKUP('Données projet'!$B$11,Paramètres!$A$1:$I$89,3,0)*VLOOKUP('Données projet'!$B$11,Paramètres!$A$1:$I$89,5,0)</f>
        <v>6.7984728957526396E-14</v>
      </c>
      <c r="BF84" s="13">
        <f t="shared" si="91"/>
        <v>1.0682447123141398E-12</v>
      </c>
      <c r="BG84" s="20">
        <f t="shared" si="61"/>
        <v>1.978932943548152E-12</v>
      </c>
      <c r="BH84" s="59">
        <f t="shared" si="62"/>
        <v>293.3333333333353</v>
      </c>
      <c r="BI84" s="59">
        <f ca="1">AVERAGE(OFFSET($BH$3,0,0,'Données projet'!$E$11+1,1))-AVERAGE(OFFSET($H$3,0,0,'Données projet'!$E$11+1,1))</f>
        <v>289.66713787052475</v>
      </c>
      <c r="BJ84" s="59">
        <f t="shared" si="92"/>
        <v>298.29439200198652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4.3849748355807341</v>
      </c>
      <c r="BR84" s="21">
        <f>EXP(-LN(2)/2)*BR83+(1-EXP(-LN(2)/2))/(LN(2)/2)*BL84*BO84*VLOOKUP('Données projet'!$B$11,Paramètres!$A$1:$I$89,3,0)*0.475*44/12</f>
        <v>6.0439571598813954E-7</v>
      </c>
      <c r="BS84" s="22">
        <f t="shared" si="63"/>
        <v>4.3849754399764498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2.5420376914553347E-13</v>
      </c>
      <c r="P85" s="13">
        <f t="shared" si="87"/>
        <v>3.4258699088369875E-12</v>
      </c>
      <c r="Q85" s="20">
        <f t="shared" si="54"/>
        <v>6.4094616558195571E-12</v>
      </c>
      <c r="R85" s="59">
        <f t="shared" si="55"/>
        <v>293.33333333333974</v>
      </c>
      <c r="S85" s="59">
        <f ca="1">AVERAGE(OFFSET($R$3,0,0,'Données projet'!$E$9+1,1))-AVERAGE(OFFSET($H$3,0,0,'Données projet'!$E$9+1,1))</f>
        <v>394.9953131332565</v>
      </c>
      <c r="T85" s="59">
        <f t="shared" si="88"/>
        <v>399.58193819355591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3.6699388642892337</v>
      </c>
      <c r="AA85" s="21">
        <f>EXP(-LN(2)/25)*AA84+(1-EXP(-LN(2)/25))/(LN(2)/25)*Calculateur!V85*Calculateur!X85*VLOOKUP('Données projet'!$B$9,Paramètres!$A$1:$I$89,3,0)*0.475*44/12</f>
        <v>7.9009196999145761</v>
      </c>
      <c r="AB85" s="21">
        <f>EXP(-LN(2)/2)*AB84+(1-EXP(-LN(2)/2))/(LN(2)/2)*V85*Y85*VLOOKUP('Données projet'!$B$9,Paramètres!$A$1:$I$89,3,0)*0.475*44/12</f>
        <v>4.8771149726782885E-7</v>
      </c>
      <c r="AC85" s="22">
        <f t="shared" si="57"/>
        <v>11.570859051915308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-2.2737367544323206E-13</v>
      </c>
      <c r="AJ85" s="13">
        <f>AI85*VLOOKUP('Données projet'!$B$10,Paramètres!$A$1:$I$89,3,0)*VLOOKUP('Données projet'!$B$10,Paramètres!$A$1:$I$89,5,0)</f>
        <v>-1.0936673788819462E-13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364.67510777943329</v>
      </c>
      <c r="AO85" s="59">
        <f t="shared" si="90"/>
        <v>352.13878061387169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3.1578543715977143</v>
      </c>
      <c r="AV85" s="21">
        <f>EXP(-LN(2)/25)*AV84+(1-EXP(-LN(2)/25))/(LN(2)/25)*Calculateur!AQ85*Calculateur!AS85*VLOOKUP('Données projet'!$B$10,Paramètres!$A$1:$I$89,3,0)*0.475*44/12</f>
        <v>4.2608644298365439</v>
      </c>
      <c r="AW85" s="21">
        <f>EXP(-LN(2)/2)*AW84+(1-EXP(-LN(2)/2))/(LN(2)/2)*AQ85*AT85*VLOOKUP('Données projet'!$B$10,Paramètres!$A$1:$I$89,3,0)*0.475*44/12</f>
        <v>4.0938789471445866E-7</v>
      </c>
      <c r="AX85" s="21">
        <f t="shared" si="60"/>
        <v>7.4187192108221529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1.1368683772161603E-13</v>
      </c>
      <c r="BE85" s="13">
        <f>BD85*VLOOKUP('Données projet'!$B$11,Paramètres!$A$1:$I$89,3,0)*VLOOKUP('Données projet'!$B$11,Paramètres!$A$1:$I$89,5,0)</f>
        <v>6.7984728957526396E-14</v>
      </c>
      <c r="BF85" s="13">
        <f t="shared" si="91"/>
        <v>1.0682447123141398E-12</v>
      </c>
      <c r="BG85" s="20">
        <f t="shared" si="61"/>
        <v>1.978932943548152E-12</v>
      </c>
      <c r="BH85" s="59">
        <f t="shared" si="62"/>
        <v>293.3333333333353</v>
      </c>
      <c r="BI85" s="59">
        <f ca="1">AVERAGE(OFFSET($BH$3,0,0,'Données projet'!$E$11+1,1))-AVERAGE(OFFSET($H$3,0,0,'Données projet'!$E$11+1,1))</f>
        <v>289.66713787052475</v>
      </c>
      <c r="BJ85" s="59">
        <f t="shared" si="92"/>
        <v>298.29439200198652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4.2650674681059746</v>
      </c>
      <c r="BR85" s="21">
        <f>EXP(-LN(2)/2)*BR84+(1-EXP(-LN(2)/2))/(LN(2)/2)*BL85*BO85*VLOOKUP('Données projet'!$B$11,Paramètres!$A$1:$I$89,3,0)*0.475*44/12</f>
        <v>4.2737230929531211E-7</v>
      </c>
      <c r="BS85" s="22">
        <f t="shared" si="63"/>
        <v>4.2650678954782837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2.5420376914553347E-13</v>
      </c>
      <c r="P86" s="13">
        <f t="shared" si="87"/>
        <v>3.4258699088369875E-12</v>
      </c>
      <c r="Q86" s="20">
        <f t="shared" si="54"/>
        <v>6.4094616558195571E-12</v>
      </c>
      <c r="R86" s="59">
        <f t="shared" si="55"/>
        <v>293.33333333333974</v>
      </c>
      <c r="S86" s="59">
        <f ca="1">AVERAGE(OFFSET($R$3,0,0,'Données projet'!$E$9+1,1))-AVERAGE(OFFSET($H$3,0,0,'Données projet'!$E$9+1,1))</f>
        <v>394.9953131332565</v>
      </c>
      <c r="T86" s="59">
        <f t="shared" si="88"/>
        <v>399.58193819355591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3.597973601602201</v>
      </c>
      <c r="AA86" s="21">
        <f>EXP(-LN(2)/25)*AA85+(1-EXP(-LN(2)/25))/(LN(2)/25)*Calculateur!V86*Calculateur!X86*VLOOKUP('Données projet'!$B$9,Paramètres!$A$1:$I$89,3,0)*0.475*44/12</f>
        <v>7.6848686352291029</v>
      </c>
      <c r="AB86" s="21">
        <f>EXP(-LN(2)/2)*AB85+(1-EXP(-LN(2)/2))/(LN(2)/2)*V86*Y86*VLOOKUP('Données projet'!$B$9,Paramètres!$A$1:$I$89,3,0)*0.475*44/12</f>
        <v>3.4486410698072614E-7</v>
      </c>
      <c r="AC86" s="22">
        <f t="shared" si="57"/>
        <v>11.282842581695411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-2.2737367544323206E-13</v>
      </c>
      <c r="AJ86" s="13">
        <f>AI86*VLOOKUP('Données projet'!$B$10,Paramètres!$A$1:$I$89,3,0)*VLOOKUP('Données projet'!$B$10,Paramètres!$A$1:$I$89,5,0)</f>
        <v>-1.0936673788819462E-13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364.67510777943329</v>
      </c>
      <c r="AO86" s="59">
        <f t="shared" si="90"/>
        <v>352.13878061387169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3.0959307734716632</v>
      </c>
      <c r="AV86" s="21">
        <f>EXP(-LN(2)/25)*AV85+(1-EXP(-LN(2)/25))/(LN(2)/25)*Calculateur!AQ86*Calculateur!AS86*VLOOKUP('Données projet'!$B$10,Paramètres!$A$1:$I$89,3,0)*0.475*44/12</f>
        <v>4.1443508679335412</v>
      </c>
      <c r="AW86" s="21">
        <f>EXP(-LN(2)/2)*AW85+(1-EXP(-LN(2)/2))/(LN(2)/2)*AQ86*AT86*VLOOKUP('Données projet'!$B$10,Paramètres!$A$1:$I$89,3,0)*0.475*44/12</f>
        <v>2.8948095648827807E-7</v>
      </c>
      <c r="AX86" s="21">
        <f t="shared" si="60"/>
        <v>7.2402819308861606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1.1368683772161603E-13</v>
      </c>
      <c r="BE86" s="13">
        <f>BD86*VLOOKUP('Données projet'!$B$11,Paramètres!$A$1:$I$89,3,0)*VLOOKUP('Données projet'!$B$11,Paramètres!$A$1:$I$89,5,0)</f>
        <v>6.7984728957526396E-14</v>
      </c>
      <c r="BF86" s="13">
        <f t="shared" si="91"/>
        <v>1.0682447123141398E-12</v>
      </c>
      <c r="BG86" s="20">
        <f t="shared" si="61"/>
        <v>1.978932943548152E-12</v>
      </c>
      <c r="BH86" s="59">
        <f t="shared" si="62"/>
        <v>293.3333333333353</v>
      </c>
      <c r="BI86" s="59">
        <f ca="1">AVERAGE(OFFSET($BH$3,0,0,'Données projet'!$E$11+1,1))-AVERAGE(OFFSET($H$3,0,0,'Données projet'!$E$11+1,1))</f>
        <v>289.66713787052475</v>
      </c>
      <c r="BJ86" s="59">
        <f t="shared" si="92"/>
        <v>298.29439200198652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4.1484389739004666</v>
      </c>
      <c r="BR86" s="21">
        <f>EXP(-LN(2)/2)*BR85+(1-EXP(-LN(2)/2))/(LN(2)/2)*BL86*BO86*VLOOKUP('Données projet'!$B$11,Paramètres!$A$1:$I$89,3,0)*0.475*44/12</f>
        <v>3.0219785799406977E-7</v>
      </c>
      <c r="BS86" s="22">
        <f t="shared" si="63"/>
        <v>4.1484392760983244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2.5420376914553347E-13</v>
      </c>
      <c r="P87" s="13">
        <f t="shared" si="87"/>
        <v>3.4258699088369875E-12</v>
      </c>
      <c r="Q87" s="20">
        <f t="shared" si="54"/>
        <v>6.4094616558195571E-12</v>
      </c>
      <c r="R87" s="59">
        <f t="shared" si="55"/>
        <v>293.33333333333974</v>
      </c>
      <c r="S87" s="59">
        <f ca="1">AVERAGE(OFFSET($R$3,0,0,'Données projet'!$E$9+1,1))-AVERAGE(OFFSET($H$3,0,0,'Données projet'!$E$9+1,1))</f>
        <v>394.9953131332565</v>
      </c>
      <c r="T87" s="59">
        <f t="shared" si="88"/>
        <v>399.58193819355591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3.5274195338219854</v>
      </c>
      <c r="AA87" s="21">
        <f>EXP(-LN(2)/25)*AA86+(1-EXP(-LN(2)/25))/(LN(2)/25)*Calculateur!V87*Calculateur!X87*VLOOKUP('Données projet'!$B$9,Paramètres!$A$1:$I$89,3,0)*0.475*44/12</f>
        <v>7.4747254982690858</v>
      </c>
      <c r="AB87" s="21">
        <f>EXP(-LN(2)/2)*AB86+(1-EXP(-LN(2)/2))/(LN(2)/2)*V87*Y87*VLOOKUP('Données projet'!$B$9,Paramètres!$A$1:$I$89,3,0)*0.475*44/12</f>
        <v>2.4385574863391442E-7</v>
      </c>
      <c r="AC87" s="22">
        <f t="shared" si="57"/>
        <v>11.00214527594682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-2.2737367544323206E-13</v>
      </c>
      <c r="AJ87" s="13">
        <f>AI87*VLOOKUP('Données projet'!$B$10,Paramètres!$A$1:$I$89,3,0)*VLOOKUP('Données projet'!$B$10,Paramètres!$A$1:$I$89,5,0)</f>
        <v>-1.0936673788819462E-13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364.67510777943329</v>
      </c>
      <c r="AO87" s="59">
        <f t="shared" si="90"/>
        <v>352.13878061387169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3.0352214593351987</v>
      </c>
      <c r="AV87" s="21">
        <f>EXP(-LN(2)/25)*AV86+(1-EXP(-LN(2)/25))/(LN(2)/25)*Calculateur!AQ87*Calculateur!AS87*VLOOKUP('Données projet'!$B$10,Paramètres!$A$1:$I$89,3,0)*0.475*44/12</f>
        <v>4.0310233755079583</v>
      </c>
      <c r="AW87" s="21">
        <f>EXP(-LN(2)/2)*AW86+(1-EXP(-LN(2)/2))/(LN(2)/2)*AQ87*AT87*VLOOKUP('Données projet'!$B$10,Paramètres!$A$1:$I$89,3,0)*0.475*44/12</f>
        <v>2.0469394735722933E-7</v>
      </c>
      <c r="AX87" s="21">
        <f t="shared" si="60"/>
        <v>7.0662450395371046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1.1368683772161603E-13</v>
      </c>
      <c r="BE87" s="13">
        <f>BD87*VLOOKUP('Données projet'!$B$11,Paramètres!$A$1:$I$89,3,0)*VLOOKUP('Données projet'!$B$11,Paramètres!$A$1:$I$89,5,0)</f>
        <v>6.7984728957526396E-14</v>
      </c>
      <c r="BF87" s="13">
        <f t="shared" si="91"/>
        <v>1.0682447123141398E-12</v>
      </c>
      <c r="BG87" s="20">
        <f t="shared" si="61"/>
        <v>1.978932943548152E-12</v>
      </c>
      <c r="BH87" s="59">
        <f t="shared" si="62"/>
        <v>293.3333333333353</v>
      </c>
      <c r="BI87" s="59">
        <f ca="1">AVERAGE(OFFSET($BH$3,0,0,'Données projet'!$E$11+1,1))-AVERAGE(OFFSET($H$3,0,0,'Données projet'!$E$11+1,1))</f>
        <v>289.66713787052475</v>
      </c>
      <c r="BJ87" s="59">
        <f t="shared" si="92"/>
        <v>298.29439200198652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4.0349996920022342</v>
      </c>
      <c r="BR87" s="21">
        <f>EXP(-LN(2)/2)*BR86+(1-EXP(-LN(2)/2))/(LN(2)/2)*BL87*BO87*VLOOKUP('Données projet'!$B$11,Paramètres!$A$1:$I$89,3,0)*0.475*44/12</f>
        <v>2.1368615464765606E-7</v>
      </c>
      <c r="BS87" s="22">
        <f t="shared" si="63"/>
        <v>4.0349999056883892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2.5420376914553347E-13</v>
      </c>
      <c r="P88" s="13">
        <f t="shared" si="87"/>
        <v>3.4258699088369875E-12</v>
      </c>
      <c r="Q88" s="20">
        <f t="shared" si="54"/>
        <v>6.4094616558195571E-12</v>
      </c>
      <c r="R88" s="59">
        <f t="shared" si="55"/>
        <v>293.33333333333974</v>
      </c>
      <c r="S88" s="59">
        <f ca="1">AVERAGE(OFFSET($R$3,0,0,'Données projet'!$E$9+1,1))-AVERAGE(OFFSET($H$3,0,0,'Données projet'!$E$9+1,1))</f>
        <v>394.9953131332565</v>
      </c>
      <c r="T88" s="59">
        <f t="shared" si="88"/>
        <v>399.58193819355591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3.4582489882772074</v>
      </c>
      <c r="AA88" s="21">
        <f>EXP(-LN(2)/25)*AA87+(1-EXP(-LN(2)/25))/(LN(2)/25)*Calculateur!V88*Calculateur!X88*VLOOKUP('Données projet'!$B$9,Paramètres!$A$1:$I$89,3,0)*0.475*44/12</f>
        <v>7.2703287364401872</v>
      </c>
      <c r="AB88" s="21">
        <f>EXP(-LN(2)/2)*AB87+(1-EXP(-LN(2)/2))/(LN(2)/2)*V88*Y88*VLOOKUP('Données projet'!$B$9,Paramètres!$A$1:$I$89,3,0)*0.475*44/12</f>
        <v>1.7243205349036307E-7</v>
      </c>
      <c r="AC88" s="22">
        <f t="shared" si="57"/>
        <v>10.728577897149448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-2.2737367544323206E-13</v>
      </c>
      <c r="AJ88" s="13">
        <f>AI88*VLOOKUP('Données projet'!$B$10,Paramètres!$A$1:$I$89,3,0)*VLOOKUP('Données projet'!$B$10,Paramètres!$A$1:$I$89,5,0)</f>
        <v>-1.0936673788819462E-13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364.67510777943329</v>
      </c>
      <c r="AO88" s="59">
        <f t="shared" si="90"/>
        <v>352.13878061387169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2.9757026178199246</v>
      </c>
      <c r="AV88" s="21">
        <f>EXP(-LN(2)/25)*AV87+(1-EXP(-LN(2)/25))/(LN(2)/25)*Calculateur!AQ88*Calculateur!AS88*VLOOKUP('Données projet'!$B$10,Paramètres!$A$1:$I$89,3,0)*0.475*44/12</f>
        <v>3.9207948293223871</v>
      </c>
      <c r="AW88" s="21">
        <f>EXP(-LN(2)/2)*AW87+(1-EXP(-LN(2)/2))/(LN(2)/2)*AQ88*AT88*VLOOKUP('Données projet'!$B$10,Paramètres!$A$1:$I$89,3,0)*0.475*44/12</f>
        <v>1.4474047824413903E-7</v>
      </c>
      <c r="AX88" s="21">
        <f t="shared" si="60"/>
        <v>6.89649759188279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1.1368683772161603E-13</v>
      </c>
      <c r="BE88" s="13">
        <f>BD88*VLOOKUP('Données projet'!$B$11,Paramètres!$A$1:$I$89,3,0)*VLOOKUP('Données projet'!$B$11,Paramètres!$A$1:$I$89,5,0)</f>
        <v>6.7984728957526396E-14</v>
      </c>
      <c r="BF88" s="13">
        <f t="shared" si="91"/>
        <v>1.0682447123141398E-12</v>
      </c>
      <c r="BG88" s="20">
        <f t="shared" si="61"/>
        <v>1.978932943548152E-12</v>
      </c>
      <c r="BH88" s="59">
        <f t="shared" si="62"/>
        <v>293.3333333333353</v>
      </c>
      <c r="BI88" s="59">
        <f ca="1">AVERAGE(OFFSET($BH$3,0,0,'Données projet'!$E$11+1,1))-AVERAGE(OFFSET($H$3,0,0,'Données projet'!$E$11+1,1))</f>
        <v>289.66713787052475</v>
      </c>
      <c r="BJ88" s="59">
        <f t="shared" si="92"/>
        <v>298.29439200198652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3.9246624132330212</v>
      </c>
      <c r="BR88" s="21">
        <f>EXP(-LN(2)/2)*BR87+(1-EXP(-LN(2)/2))/(LN(2)/2)*BL88*BO88*VLOOKUP('Données projet'!$B$11,Paramètres!$A$1:$I$89,3,0)*0.475*44/12</f>
        <v>1.5109892899703488E-7</v>
      </c>
      <c r="BS88" s="22">
        <f t="shared" si="63"/>
        <v>3.9246625643319502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2.5420376914553347E-13</v>
      </c>
      <c r="P89" s="13">
        <f t="shared" si="87"/>
        <v>3.4258699088369875E-12</v>
      </c>
      <c r="Q89" s="20">
        <f t="shared" si="54"/>
        <v>6.4094616558195571E-12</v>
      </c>
      <c r="R89" s="59">
        <f t="shared" si="55"/>
        <v>293.33333333333974</v>
      </c>
      <c r="S89" s="59">
        <f ca="1">AVERAGE(OFFSET($R$3,0,0,'Données projet'!$E$9+1,1))-AVERAGE(OFFSET($H$3,0,0,'Données projet'!$E$9+1,1))</f>
        <v>394.9953131332565</v>
      </c>
      <c r="T89" s="59">
        <f t="shared" si="88"/>
        <v>399.58193819355591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3.3904348349406956</v>
      </c>
      <c r="AA89" s="21">
        <f>EXP(-LN(2)/25)*AA88+(1-EXP(-LN(2)/25))/(LN(2)/25)*Calculateur!V89*Calculateur!X89*VLOOKUP('Données projet'!$B$9,Paramètres!$A$1:$I$89,3,0)*0.475*44/12</f>
        <v>7.0715212148122584</v>
      </c>
      <c r="AB89" s="21">
        <f>EXP(-LN(2)/2)*AB88+(1-EXP(-LN(2)/2))/(LN(2)/2)*V89*Y89*VLOOKUP('Données projet'!$B$9,Paramètres!$A$1:$I$89,3,0)*0.475*44/12</f>
        <v>1.2192787431695721E-7</v>
      </c>
      <c r="AC89" s="22">
        <f t="shared" si="57"/>
        <v>10.461956171680828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-2.2737367544323206E-13</v>
      </c>
      <c r="AJ89" s="13">
        <f>AI89*VLOOKUP('Données projet'!$B$10,Paramètres!$A$1:$I$89,3,0)*VLOOKUP('Données projet'!$B$10,Paramètres!$A$1:$I$89,5,0)</f>
        <v>-1.0936673788819462E-13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364.67510777943329</v>
      </c>
      <c r="AO89" s="59">
        <f t="shared" si="90"/>
        <v>352.13878061387169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2.9173509044838566</v>
      </c>
      <c r="AV89" s="21">
        <f>EXP(-LN(2)/25)*AV88+(1-EXP(-LN(2)/25))/(LN(2)/25)*Calculateur!AQ89*Calculateur!AS89*VLOOKUP('Données projet'!$B$10,Paramètres!$A$1:$I$89,3,0)*0.475*44/12</f>
        <v>3.8135804885289275</v>
      </c>
      <c r="AW89" s="21">
        <f>EXP(-LN(2)/2)*AW88+(1-EXP(-LN(2)/2))/(LN(2)/2)*AQ89*AT89*VLOOKUP('Données projet'!$B$10,Paramètres!$A$1:$I$89,3,0)*0.475*44/12</f>
        <v>1.0234697367861466E-7</v>
      </c>
      <c r="AX89" s="21">
        <f t="shared" si="60"/>
        <v>6.7309314953597577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1.1368683772161603E-13</v>
      </c>
      <c r="BE89" s="13">
        <f>BD89*VLOOKUP('Données projet'!$B$11,Paramètres!$A$1:$I$89,3,0)*VLOOKUP('Données projet'!$B$11,Paramètres!$A$1:$I$89,5,0)</f>
        <v>6.7984728957526396E-14</v>
      </c>
      <c r="BF89" s="13">
        <f t="shared" si="91"/>
        <v>1.0682447123141398E-12</v>
      </c>
      <c r="BG89" s="20">
        <f t="shared" si="61"/>
        <v>1.978932943548152E-12</v>
      </c>
      <c r="BH89" s="59">
        <f t="shared" si="62"/>
        <v>293.3333333333353</v>
      </c>
      <c r="BI89" s="59">
        <f ca="1">AVERAGE(OFFSET($BH$3,0,0,'Données projet'!$E$11+1,1))-AVERAGE(OFFSET($H$3,0,0,'Données projet'!$E$11+1,1))</f>
        <v>289.66713787052475</v>
      </c>
      <c r="BJ89" s="59">
        <f t="shared" si="92"/>
        <v>298.29439200198652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3.8173423131541377</v>
      </c>
      <c r="BR89" s="21">
        <f>EXP(-LN(2)/2)*BR88+(1-EXP(-LN(2)/2))/(LN(2)/2)*BL89*BO89*VLOOKUP('Données projet'!$B$11,Paramètres!$A$1:$I$89,3,0)*0.475*44/12</f>
        <v>1.0684307732382803E-7</v>
      </c>
      <c r="BS89" s="22">
        <f t="shared" si="63"/>
        <v>3.8173424199972152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2.5420376914553347E-13</v>
      </c>
      <c r="P90" s="13">
        <f t="shared" si="87"/>
        <v>3.4258699088369875E-12</v>
      </c>
      <c r="Q90" s="20">
        <f t="shared" si="54"/>
        <v>6.4094616558195571E-12</v>
      </c>
      <c r="R90" s="59">
        <f t="shared" si="55"/>
        <v>293.33333333333974</v>
      </c>
      <c r="S90" s="59">
        <f ca="1">AVERAGE(OFFSET($R$3,0,0,'Données projet'!$E$9+1,1))-AVERAGE(OFFSET($H$3,0,0,'Données projet'!$E$9+1,1))</f>
        <v>394.9953131332565</v>
      </c>
      <c r="T90" s="59">
        <f t="shared" si="88"/>
        <v>399.58193819355591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3.3239504757885636</v>
      </c>
      <c r="AA90" s="21">
        <f>EXP(-LN(2)/25)*AA89+(1-EXP(-LN(2)/25))/(LN(2)/25)*Calculateur!V90*Calculateur!X90*VLOOKUP('Données projet'!$B$9,Paramètres!$A$1:$I$89,3,0)*0.475*44/12</f>
        <v>6.8781500953180785</v>
      </c>
      <c r="AB90" s="21">
        <f>EXP(-LN(2)/2)*AB89+(1-EXP(-LN(2)/2))/(LN(2)/2)*V90*Y90*VLOOKUP('Données projet'!$B$9,Paramètres!$A$1:$I$89,3,0)*0.475*44/12</f>
        <v>8.6216026745181534E-8</v>
      </c>
      <c r="AC90" s="22">
        <f t="shared" si="57"/>
        <v>10.202100657322669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-2.2737367544323206E-13</v>
      </c>
      <c r="AJ90" s="13">
        <f>AI90*VLOOKUP('Données projet'!$B$10,Paramètres!$A$1:$I$89,3,0)*VLOOKUP('Données projet'!$B$10,Paramètres!$A$1:$I$89,5,0)</f>
        <v>-1.0936673788819462E-13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364.67510777943329</v>
      </c>
      <c r="AO90" s="59">
        <f t="shared" si="90"/>
        <v>352.13878061387169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2.8601434326552777</v>
      </c>
      <c r="AV90" s="21">
        <f>EXP(-LN(2)/25)*AV89+(1-EXP(-LN(2)/25))/(LN(2)/25)*Calculateur!AQ90*Calculateur!AS90*VLOOKUP('Données projet'!$B$10,Paramètres!$A$1:$I$89,3,0)*0.475*44/12</f>
        <v>3.7092979295226223</v>
      </c>
      <c r="AW90" s="21">
        <f>EXP(-LN(2)/2)*AW89+(1-EXP(-LN(2)/2))/(LN(2)/2)*AQ90*AT90*VLOOKUP('Données projet'!$B$10,Paramètres!$A$1:$I$89,3,0)*0.475*44/12</f>
        <v>7.2370239122069517E-8</v>
      </c>
      <c r="AX90" s="21">
        <f t="shared" si="60"/>
        <v>6.5694414345481382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1.1368683772161603E-13</v>
      </c>
      <c r="BE90" s="13">
        <f>BD90*VLOOKUP('Données projet'!$B$11,Paramètres!$A$1:$I$89,3,0)*VLOOKUP('Données projet'!$B$11,Paramètres!$A$1:$I$89,5,0)</f>
        <v>6.7984728957526396E-14</v>
      </c>
      <c r="BF90" s="13">
        <f t="shared" si="91"/>
        <v>1.0682447123141398E-12</v>
      </c>
      <c r="BG90" s="20">
        <f t="shared" si="61"/>
        <v>1.978932943548152E-12</v>
      </c>
      <c r="BH90" s="59">
        <f t="shared" si="62"/>
        <v>293.3333333333353</v>
      </c>
      <c r="BI90" s="59">
        <f ca="1">AVERAGE(OFFSET($BH$3,0,0,'Données projet'!$E$11+1,1))-AVERAGE(OFFSET($H$3,0,0,'Données projet'!$E$11+1,1))</f>
        <v>289.66713787052475</v>
      </c>
      <c r="BJ90" s="59">
        <f t="shared" si="92"/>
        <v>298.29439200198652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3.7129568868556304</v>
      </c>
      <c r="BR90" s="21">
        <f>EXP(-LN(2)/2)*BR89+(1-EXP(-LN(2)/2))/(LN(2)/2)*BL90*BO90*VLOOKUP('Données projet'!$B$11,Paramètres!$A$1:$I$89,3,0)*0.475*44/12</f>
        <v>7.5549464498517442E-8</v>
      </c>
      <c r="BS90" s="22">
        <f t="shared" si="63"/>
        <v>3.7129569624050949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2.5420376914553347E-13</v>
      </c>
      <c r="P91" s="13">
        <f t="shared" si="87"/>
        <v>3.4258699088369875E-12</v>
      </c>
      <c r="Q91" s="20">
        <f t="shared" si="54"/>
        <v>6.4094616558195571E-12</v>
      </c>
      <c r="R91" s="59">
        <f t="shared" si="55"/>
        <v>293.33333333333974</v>
      </c>
      <c r="S91" s="59">
        <f ca="1">AVERAGE(OFFSET($R$3,0,0,'Données projet'!$E$9+1,1))-AVERAGE(OFFSET($H$3,0,0,'Données projet'!$E$9+1,1))</f>
        <v>394.9953131332565</v>
      </c>
      <c r="T91" s="59">
        <f t="shared" si="88"/>
        <v>399.58193819355591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3.2587698343679499</v>
      </c>
      <c r="AA91" s="21">
        <f>EXP(-LN(2)/25)*AA90+(1-EXP(-LN(2)/25))/(LN(2)/25)*Calculateur!V91*Calculateur!X91*VLOOKUP('Données projet'!$B$9,Paramètres!$A$1:$I$89,3,0)*0.475*44/12</f>
        <v>6.6900667192554124</v>
      </c>
      <c r="AB91" s="21">
        <f>EXP(-LN(2)/2)*AB90+(1-EXP(-LN(2)/2))/(LN(2)/2)*V91*Y91*VLOOKUP('Données projet'!$B$9,Paramètres!$A$1:$I$89,3,0)*0.475*44/12</f>
        <v>6.0963937158478606E-8</v>
      </c>
      <c r="AC91" s="22">
        <f t="shared" si="57"/>
        <v>9.9488366145873002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-2.2737367544323206E-13</v>
      </c>
      <c r="AJ91" s="13">
        <f>AI91*VLOOKUP('Données projet'!$B$10,Paramètres!$A$1:$I$89,3,0)*VLOOKUP('Données projet'!$B$10,Paramètres!$A$1:$I$89,5,0)</f>
        <v>-1.0936673788819462E-13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364.67510777943329</v>
      </c>
      <c r="AO91" s="59">
        <f t="shared" si="90"/>
        <v>352.13878061387169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2.8040577644561449</v>
      </c>
      <c r="AV91" s="21">
        <f>EXP(-LN(2)/25)*AV90+(1-EXP(-LN(2)/25))/(LN(2)/25)*Calculateur!AQ91*Calculateur!AS91*VLOOKUP('Données projet'!$B$10,Paramètres!$A$1:$I$89,3,0)*0.475*44/12</f>
        <v>3.6078669825763257</v>
      </c>
      <c r="AW91" s="21">
        <f>EXP(-LN(2)/2)*AW90+(1-EXP(-LN(2)/2))/(LN(2)/2)*AQ91*AT91*VLOOKUP('Données projet'!$B$10,Paramètres!$A$1:$I$89,3,0)*0.475*44/12</f>
        <v>5.1173486839307332E-8</v>
      </c>
      <c r="AX91" s="21">
        <f t="shared" si="60"/>
        <v>6.4119247982059573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1.1368683772161603E-13</v>
      </c>
      <c r="BE91" s="13">
        <f>BD91*VLOOKUP('Données projet'!$B$11,Paramètres!$A$1:$I$89,3,0)*VLOOKUP('Données projet'!$B$11,Paramètres!$A$1:$I$89,5,0)</f>
        <v>6.7984728957526396E-14</v>
      </c>
      <c r="BF91" s="13">
        <f t="shared" si="91"/>
        <v>1.0682447123141398E-12</v>
      </c>
      <c r="BG91" s="20">
        <f t="shared" si="61"/>
        <v>1.978932943548152E-12</v>
      </c>
      <c r="BH91" s="59">
        <f t="shared" si="62"/>
        <v>293.3333333333353</v>
      </c>
      <c r="BI91" s="59">
        <f ca="1">AVERAGE(OFFSET($BH$3,0,0,'Données projet'!$E$11+1,1))-AVERAGE(OFFSET($H$3,0,0,'Données projet'!$E$11+1,1))</f>
        <v>289.66713787052475</v>
      </c>
      <c r="BJ91" s="59">
        <f t="shared" si="92"/>
        <v>298.29439200198652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3.6114258855286465</v>
      </c>
      <c r="BR91" s="21">
        <f>EXP(-LN(2)/2)*BR90+(1-EXP(-LN(2)/2))/(LN(2)/2)*BL91*BO91*VLOOKUP('Données projet'!$B$11,Paramètres!$A$1:$I$89,3,0)*0.475*44/12</f>
        <v>5.3421538661914014E-8</v>
      </c>
      <c r="BS91" s="22">
        <f t="shared" si="63"/>
        <v>3.6114259389501853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2.5420376914553347E-13</v>
      </c>
      <c r="P92" s="13">
        <f t="shared" si="87"/>
        <v>3.4258699088369875E-12</v>
      </c>
      <c r="Q92" s="20">
        <f t="shared" si="54"/>
        <v>6.4094616558195571E-12</v>
      </c>
      <c r="R92" s="59">
        <f t="shared" si="55"/>
        <v>293.33333333333974</v>
      </c>
      <c r="S92" s="59">
        <f ca="1">AVERAGE(OFFSET($R$3,0,0,'Données projet'!$E$9+1,1))-AVERAGE(OFFSET($H$3,0,0,'Données projet'!$E$9+1,1))</f>
        <v>394.9953131332565</v>
      </c>
      <c r="T92" s="59">
        <f t="shared" si="88"/>
        <v>399.58193819355591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3.1948673455693291</v>
      </c>
      <c r="AA92" s="21">
        <f>EXP(-LN(2)/25)*AA91+(1-EXP(-LN(2)/25))/(LN(2)/25)*Calculateur!V92*Calculateur!X92*VLOOKUP('Données projet'!$B$9,Paramètres!$A$1:$I$89,3,0)*0.475*44/12</f>
        <v>6.5071264930020547</v>
      </c>
      <c r="AB92" s="21">
        <f>EXP(-LN(2)/2)*AB91+(1-EXP(-LN(2)/2))/(LN(2)/2)*V92*Y92*VLOOKUP('Données projet'!$B$9,Paramètres!$A$1:$I$89,3,0)*0.475*44/12</f>
        <v>4.3108013372590767E-8</v>
      </c>
      <c r="AC92" s="22">
        <f t="shared" si="57"/>
        <v>9.701993881679396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-2.2737367544323206E-13</v>
      </c>
      <c r="AJ92" s="13">
        <f>AI92*VLOOKUP('Données projet'!$B$10,Paramètres!$A$1:$I$89,3,0)*VLOOKUP('Données projet'!$B$10,Paramètres!$A$1:$I$89,5,0)</f>
        <v>-1.0936673788819462E-13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364.67510777943329</v>
      </c>
      <c r="AO92" s="59">
        <f t="shared" si="90"/>
        <v>352.13878061387169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2.7490719020015173</v>
      </c>
      <c r="AV92" s="21">
        <f>EXP(-LN(2)/25)*AV91+(1-EXP(-LN(2)/25))/(LN(2)/25)*Calculateur!AQ92*Calculateur!AS92*VLOOKUP('Données projet'!$B$10,Paramètres!$A$1:$I$89,3,0)*0.475*44/12</f>
        <v>3.5092096702082971</v>
      </c>
      <c r="AW92" s="21">
        <f>EXP(-LN(2)/2)*AW91+(1-EXP(-LN(2)/2))/(LN(2)/2)*AQ92*AT92*VLOOKUP('Données projet'!$B$10,Paramètres!$A$1:$I$89,3,0)*0.475*44/12</f>
        <v>3.6185119561034758E-8</v>
      </c>
      <c r="AX92" s="21">
        <f t="shared" si="60"/>
        <v>6.2582816083949337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1.1368683772161603E-13</v>
      </c>
      <c r="BE92" s="13">
        <f>BD92*VLOOKUP('Données projet'!$B$11,Paramètres!$A$1:$I$89,3,0)*VLOOKUP('Données projet'!$B$11,Paramètres!$A$1:$I$89,5,0)</f>
        <v>6.7984728957526396E-14</v>
      </c>
      <c r="BF92" s="13">
        <f t="shared" si="91"/>
        <v>1.0682447123141398E-12</v>
      </c>
      <c r="BG92" s="20">
        <f t="shared" si="61"/>
        <v>1.978932943548152E-12</v>
      </c>
      <c r="BH92" s="59">
        <f t="shared" si="62"/>
        <v>293.3333333333353</v>
      </c>
      <c r="BI92" s="59">
        <f ca="1">AVERAGE(OFFSET($BH$3,0,0,'Données projet'!$E$11+1,1))-AVERAGE(OFFSET($H$3,0,0,'Données projet'!$E$11+1,1))</f>
        <v>289.66713787052475</v>
      </c>
      <c r="BJ92" s="59">
        <f t="shared" si="92"/>
        <v>298.29439200198652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3.5126712547722323</v>
      </c>
      <c r="BR92" s="21">
        <f>EXP(-LN(2)/2)*BR91+(1-EXP(-LN(2)/2))/(LN(2)/2)*BL92*BO92*VLOOKUP('Données projet'!$B$11,Paramètres!$A$1:$I$89,3,0)*0.475*44/12</f>
        <v>3.7774732249258721E-8</v>
      </c>
      <c r="BS92" s="22">
        <f t="shared" si="63"/>
        <v>3.5126712925469645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2.5420376914553347E-13</v>
      </c>
      <c r="P93" s="13">
        <f t="shared" si="87"/>
        <v>3.4258699088369875E-12</v>
      </c>
      <c r="Q93" s="20">
        <f t="shared" si="54"/>
        <v>6.4094616558195571E-12</v>
      </c>
      <c r="R93" s="59">
        <f t="shared" si="55"/>
        <v>293.33333333333974</v>
      </c>
      <c r="S93" s="59">
        <f ca="1">AVERAGE(OFFSET($R$3,0,0,'Données projet'!$E$9+1,1))-AVERAGE(OFFSET($H$3,0,0,'Données projet'!$E$9+1,1))</f>
        <v>394.9953131332565</v>
      </c>
      <c r="T93" s="59">
        <f t="shared" si="88"/>
        <v>399.58193819355591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3.1322179455993795</v>
      </c>
      <c r="AA93" s="21">
        <f>EXP(-LN(2)/25)*AA92+(1-EXP(-LN(2)/25))/(LN(2)/25)*Calculateur!V93*Calculateur!X93*VLOOKUP('Données projet'!$B$9,Paramètres!$A$1:$I$89,3,0)*0.475*44/12</f>
        <v>6.3291887768560038</v>
      </c>
      <c r="AB93" s="21">
        <f>EXP(-LN(2)/2)*AB92+(1-EXP(-LN(2)/2))/(LN(2)/2)*V93*Y93*VLOOKUP('Données projet'!$B$9,Paramètres!$A$1:$I$89,3,0)*0.475*44/12</f>
        <v>3.0481968579239303E-8</v>
      </c>
      <c r="AC93" s="22">
        <f t="shared" si="57"/>
        <v>9.4614067529373518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-2.2737367544323206E-13</v>
      </c>
      <c r="AJ93" s="13">
        <f>AI93*VLOOKUP('Données projet'!$B$10,Paramètres!$A$1:$I$89,3,0)*VLOOKUP('Données projet'!$B$10,Paramètres!$A$1:$I$89,5,0)</f>
        <v>-1.0936673788819462E-13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364.67510777943329</v>
      </c>
      <c r="AO93" s="59">
        <f t="shared" si="90"/>
        <v>352.13878061387169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2.6951642787715606</v>
      </c>
      <c r="AV93" s="21">
        <f>EXP(-LN(2)/25)*AV92+(1-EXP(-LN(2)/25))/(LN(2)/25)*Calculateur!AQ93*Calculateur!AS93*VLOOKUP('Données projet'!$B$10,Paramètres!$A$1:$I$89,3,0)*0.475*44/12</f>
        <v>3.4132501472351349</v>
      </c>
      <c r="AW93" s="21">
        <f>EXP(-LN(2)/2)*AW92+(1-EXP(-LN(2)/2))/(LN(2)/2)*AQ93*AT93*VLOOKUP('Données projet'!$B$10,Paramètres!$A$1:$I$89,3,0)*0.475*44/12</f>
        <v>2.5586743419653666E-8</v>
      </c>
      <c r="AX93" s="21">
        <f t="shared" si="60"/>
        <v>6.1084144515934389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1.1368683772161603E-13</v>
      </c>
      <c r="BE93" s="13">
        <f>BD93*VLOOKUP('Données projet'!$B$11,Paramètres!$A$1:$I$89,3,0)*VLOOKUP('Données projet'!$B$11,Paramètres!$A$1:$I$89,5,0)</f>
        <v>6.7984728957526396E-14</v>
      </c>
      <c r="BF93" s="13">
        <f t="shared" si="91"/>
        <v>1.0682447123141398E-12</v>
      </c>
      <c r="BG93" s="20">
        <f t="shared" si="61"/>
        <v>1.978932943548152E-12</v>
      </c>
      <c r="BH93" s="59">
        <f t="shared" si="62"/>
        <v>293.3333333333353</v>
      </c>
      <c r="BI93" s="59">
        <f ca="1">AVERAGE(OFFSET($BH$3,0,0,'Données projet'!$E$11+1,1))-AVERAGE(OFFSET($H$3,0,0,'Données projet'!$E$11+1,1))</f>
        <v>289.66713787052475</v>
      </c>
      <c r="BJ93" s="59">
        <f t="shared" si="92"/>
        <v>298.29439200198652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3.4166170745871325</v>
      </c>
      <c r="BR93" s="21">
        <f>EXP(-LN(2)/2)*BR92+(1-EXP(-LN(2)/2))/(LN(2)/2)*BL93*BO93*VLOOKUP('Données projet'!$B$11,Paramètres!$A$1:$I$89,3,0)*0.475*44/12</f>
        <v>2.6710769330957007E-8</v>
      </c>
      <c r="BS93" s="22">
        <f t="shared" si="63"/>
        <v>3.4166171012979016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2.5420376914553347E-13</v>
      </c>
      <c r="P94" s="13">
        <f t="shared" si="87"/>
        <v>3.4258699088369875E-12</v>
      </c>
      <c r="Q94" s="20">
        <f t="shared" si="54"/>
        <v>6.4094616558195571E-12</v>
      </c>
      <c r="R94" s="59">
        <f t="shared" si="55"/>
        <v>293.33333333333974</v>
      </c>
      <c r="S94" s="59">
        <f ca="1">AVERAGE(OFFSET($R$3,0,0,'Données projet'!$E$9+1,1))-AVERAGE(OFFSET($H$3,0,0,'Données projet'!$E$9+1,1))</f>
        <v>394.9953131332565</v>
      </c>
      <c r="T94" s="59">
        <f t="shared" si="88"/>
        <v>399.58193819355591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3.0707970621504797</v>
      </c>
      <c r="AA94" s="21">
        <f>EXP(-LN(2)/25)*AA93+(1-EXP(-LN(2)/25))/(LN(2)/25)*Calculateur!V94*Calculateur!X94*VLOOKUP('Données projet'!$B$9,Paramètres!$A$1:$I$89,3,0)*0.475*44/12</f>
        <v>6.1561167769153045</v>
      </c>
      <c r="AB94" s="21">
        <f>EXP(-LN(2)/2)*AB93+(1-EXP(-LN(2)/2))/(LN(2)/2)*V94*Y94*VLOOKUP('Données projet'!$B$9,Paramètres!$A$1:$I$89,3,0)*0.475*44/12</f>
        <v>2.1554006686295384E-8</v>
      </c>
      <c r="AC94" s="22">
        <f t="shared" si="57"/>
        <v>9.2269138606197902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-2.2737367544323206E-13</v>
      </c>
      <c r="AJ94" s="13">
        <f>AI94*VLOOKUP('Données projet'!$B$10,Paramètres!$A$1:$I$89,3,0)*VLOOKUP('Données projet'!$B$10,Paramètres!$A$1:$I$89,5,0)</f>
        <v>-1.0936673788819462E-13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364.67510777943329</v>
      </c>
      <c r="AO94" s="59">
        <f t="shared" si="90"/>
        <v>352.13878061387169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2.6423137511527397</v>
      </c>
      <c r="AV94" s="21">
        <f>EXP(-LN(2)/25)*AV93+(1-EXP(-LN(2)/25))/(LN(2)/25)*Calculateur!AQ94*Calculateur!AS94*VLOOKUP('Données projet'!$B$10,Paramètres!$A$1:$I$89,3,0)*0.475*44/12</f>
        <v>3.3199146424639658</v>
      </c>
      <c r="AW94" s="21">
        <f>EXP(-LN(2)/2)*AW93+(1-EXP(-LN(2)/2))/(LN(2)/2)*AQ94*AT94*VLOOKUP('Données projet'!$B$10,Paramètres!$A$1:$I$89,3,0)*0.475*44/12</f>
        <v>1.8092559780517379E-8</v>
      </c>
      <c r="AX94" s="21">
        <f t="shared" si="60"/>
        <v>5.9622284117092645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1.1368683772161603E-13</v>
      </c>
      <c r="BE94" s="13">
        <f>BD94*VLOOKUP('Données projet'!$B$11,Paramètres!$A$1:$I$89,3,0)*VLOOKUP('Données projet'!$B$11,Paramètres!$A$1:$I$89,5,0)</f>
        <v>6.7984728957526396E-14</v>
      </c>
      <c r="BF94" s="13">
        <f t="shared" si="91"/>
        <v>1.0682447123141398E-12</v>
      </c>
      <c r="BG94" s="20">
        <f t="shared" si="61"/>
        <v>1.978932943548152E-12</v>
      </c>
      <c r="BH94" s="59">
        <f t="shared" si="62"/>
        <v>293.3333333333353</v>
      </c>
      <c r="BI94" s="59">
        <f ca="1">AVERAGE(OFFSET($BH$3,0,0,'Données projet'!$E$11+1,1))-AVERAGE(OFFSET($H$3,0,0,'Données projet'!$E$11+1,1))</f>
        <v>289.66713787052475</v>
      </c>
      <c r="BJ94" s="59">
        <f t="shared" si="92"/>
        <v>298.29439200198652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3.3231895010104644</v>
      </c>
      <c r="BR94" s="21">
        <f>EXP(-LN(2)/2)*BR93+(1-EXP(-LN(2)/2))/(LN(2)/2)*BL94*BO94*VLOOKUP('Données projet'!$B$11,Paramètres!$A$1:$I$89,3,0)*0.475*44/12</f>
        <v>1.8887366124629361E-8</v>
      </c>
      <c r="BS94" s="22">
        <f t="shared" si="63"/>
        <v>3.3231895198978307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2.5420376914553347E-13</v>
      </c>
      <c r="P95" s="13">
        <f t="shared" si="87"/>
        <v>3.4258699088369875E-12</v>
      </c>
      <c r="Q95" s="20">
        <f t="shared" si="54"/>
        <v>6.4094616558195571E-12</v>
      </c>
      <c r="R95" s="59">
        <f t="shared" si="55"/>
        <v>293.33333333333974</v>
      </c>
      <c r="S95" s="59">
        <f ca="1">AVERAGE(OFFSET($R$3,0,0,'Données projet'!$E$9+1,1))-AVERAGE(OFFSET($H$3,0,0,'Données projet'!$E$9+1,1))</f>
        <v>394.9953131332565</v>
      </c>
      <c r="T95" s="59">
        <f t="shared" si="88"/>
        <v>399.58193819355591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3.0105806047629731</v>
      </c>
      <c r="AA95" s="21">
        <f>EXP(-LN(2)/25)*AA94+(1-EXP(-LN(2)/25))/(LN(2)/25)*Calculateur!V95*Calculateur!X95*VLOOKUP('Données projet'!$B$9,Paramètres!$A$1:$I$89,3,0)*0.475*44/12</f>
        <v>5.9877774399144439</v>
      </c>
      <c r="AB95" s="21">
        <f>EXP(-LN(2)/2)*AB94+(1-EXP(-LN(2)/2))/(LN(2)/2)*V95*Y95*VLOOKUP('Données projet'!$B$9,Paramètres!$A$1:$I$89,3,0)*0.475*44/12</f>
        <v>1.5240984289619652E-8</v>
      </c>
      <c r="AC95" s="22">
        <f t="shared" si="57"/>
        <v>8.9983580599184005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-2.2737367544323206E-13</v>
      </c>
      <c r="AJ95" s="13">
        <f>AI95*VLOOKUP('Données projet'!$B$10,Paramètres!$A$1:$I$89,3,0)*VLOOKUP('Données projet'!$B$10,Paramètres!$A$1:$I$89,5,0)</f>
        <v>-1.0936673788819462E-13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364.67510777943329</v>
      </c>
      <c r="AO95" s="59">
        <f t="shared" si="90"/>
        <v>352.13878061387169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2.5904995901448853</v>
      </c>
      <c r="AV95" s="21">
        <f>EXP(-LN(2)/25)*AV94+(1-EXP(-LN(2)/25))/(LN(2)/25)*Calculateur!AQ95*Calculateur!AS95*VLOOKUP('Données projet'!$B$10,Paramètres!$A$1:$I$89,3,0)*0.475*44/12</f>
        <v>3.2291314019790653</v>
      </c>
      <c r="AW95" s="21">
        <f>EXP(-LN(2)/2)*AW94+(1-EXP(-LN(2)/2))/(LN(2)/2)*AQ95*AT95*VLOOKUP('Données projet'!$B$10,Paramètres!$A$1:$I$89,3,0)*0.475*44/12</f>
        <v>1.2793371709826833E-8</v>
      </c>
      <c r="AX95" s="21">
        <f t="shared" si="60"/>
        <v>5.8196310049173228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1.1368683772161603E-13</v>
      </c>
      <c r="BE95" s="13">
        <f>BD95*VLOOKUP('Données projet'!$B$11,Paramètres!$A$1:$I$89,3,0)*VLOOKUP('Données projet'!$B$11,Paramètres!$A$1:$I$89,5,0)</f>
        <v>6.7984728957526396E-14</v>
      </c>
      <c r="BF95" s="13">
        <f t="shared" si="91"/>
        <v>1.0682447123141398E-12</v>
      </c>
      <c r="BG95" s="20">
        <f t="shared" si="61"/>
        <v>1.978932943548152E-12</v>
      </c>
      <c r="BH95" s="59">
        <f t="shared" si="62"/>
        <v>293.3333333333353</v>
      </c>
      <c r="BI95" s="59">
        <f ca="1">AVERAGE(OFFSET($BH$3,0,0,'Données projet'!$E$11+1,1))-AVERAGE(OFFSET($H$3,0,0,'Données projet'!$E$11+1,1))</f>
        <v>289.66713787052475</v>
      </c>
      <c r="BJ95" s="59">
        <f t="shared" si="92"/>
        <v>298.29439200198652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3.2323167093463927</v>
      </c>
      <c r="BR95" s="21">
        <f>EXP(-LN(2)/2)*BR94+(1-EXP(-LN(2)/2))/(LN(2)/2)*BL95*BO95*VLOOKUP('Données projet'!$B$11,Paramètres!$A$1:$I$89,3,0)*0.475*44/12</f>
        <v>1.3355384665478504E-8</v>
      </c>
      <c r="BS95" s="22">
        <f t="shared" si="63"/>
        <v>3.2323167227017775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2.5420376914553347E-13</v>
      </c>
      <c r="P96" s="13">
        <f t="shared" si="87"/>
        <v>3.4258699088369875E-12</v>
      </c>
      <c r="Q96" s="20">
        <f t="shared" si="54"/>
        <v>6.4094616558195571E-12</v>
      </c>
      <c r="R96" s="59">
        <f t="shared" si="55"/>
        <v>293.33333333333974</v>
      </c>
      <c r="S96" s="59">
        <f ca="1">AVERAGE(OFFSET($R$3,0,0,'Données projet'!$E$9+1,1))-AVERAGE(OFFSET($H$3,0,0,'Données projet'!$E$9+1,1))</f>
        <v>394.9953131332565</v>
      </c>
      <c r="T96" s="59">
        <f t="shared" si="88"/>
        <v>399.58193819355591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2.951544955376423</v>
      </c>
      <c r="AA96" s="21">
        <f>EXP(-LN(2)/25)*AA95+(1-EXP(-LN(2)/25))/(LN(2)/25)*Calculateur!V96*Calculateur!X96*VLOOKUP('Données projet'!$B$9,Paramètres!$A$1:$I$89,3,0)*0.475*44/12</f>
        <v>5.8240413509364535</v>
      </c>
      <c r="AB96" s="21">
        <f>EXP(-LN(2)/2)*AB95+(1-EXP(-LN(2)/2))/(LN(2)/2)*V96*Y96*VLOOKUP('Données projet'!$B$9,Paramètres!$A$1:$I$89,3,0)*0.475*44/12</f>
        <v>1.0777003343147692E-8</v>
      </c>
      <c r="AC96" s="22">
        <f t="shared" si="57"/>
        <v>8.7755863170898802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-2.2737367544323206E-13</v>
      </c>
      <c r="AJ96" s="13">
        <f>AI96*VLOOKUP('Données projet'!$B$10,Paramètres!$A$1:$I$89,3,0)*VLOOKUP('Données projet'!$B$10,Paramètres!$A$1:$I$89,5,0)</f>
        <v>-1.0936673788819462E-13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364.67510777943329</v>
      </c>
      <c r="AO96" s="59">
        <f t="shared" si="90"/>
        <v>352.13878061387169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2.5397014732308771</v>
      </c>
      <c r="AV96" s="21">
        <f>EXP(-LN(2)/25)*AV95+(1-EXP(-LN(2)/25))/(LN(2)/25)*Calculateur!AQ96*Calculateur!AS96*VLOOKUP('Données projet'!$B$10,Paramètres!$A$1:$I$89,3,0)*0.475*44/12</f>
        <v>3.1408306339793075</v>
      </c>
      <c r="AW96" s="21">
        <f>EXP(-LN(2)/2)*AW95+(1-EXP(-LN(2)/2))/(LN(2)/2)*AQ96*AT96*VLOOKUP('Données projet'!$B$10,Paramètres!$A$1:$I$89,3,0)*0.475*44/12</f>
        <v>9.0462798902586896E-9</v>
      </c>
      <c r="AX96" s="21">
        <f t="shared" si="60"/>
        <v>5.6805321162564653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1.1368683772161603E-13</v>
      </c>
      <c r="BE96" s="13">
        <f>BD96*VLOOKUP('Données projet'!$B$11,Paramètres!$A$1:$I$89,3,0)*VLOOKUP('Données projet'!$B$11,Paramètres!$A$1:$I$89,5,0)</f>
        <v>6.7984728957526396E-14</v>
      </c>
      <c r="BF96" s="13">
        <f t="shared" si="91"/>
        <v>1.0682447123141398E-12</v>
      </c>
      <c r="BG96" s="20">
        <f t="shared" si="61"/>
        <v>1.978932943548152E-12</v>
      </c>
      <c r="BH96" s="59">
        <f t="shared" si="62"/>
        <v>293.3333333333353</v>
      </c>
      <c r="BI96" s="59">
        <f ca="1">AVERAGE(OFFSET($BH$3,0,0,'Données projet'!$E$11+1,1))-AVERAGE(OFFSET($H$3,0,0,'Données projet'!$E$11+1,1))</f>
        <v>289.66713787052475</v>
      </c>
      <c r="BJ96" s="59">
        <f t="shared" si="92"/>
        <v>298.29439200198652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3.1439288389491673</v>
      </c>
      <c r="BR96" s="21">
        <f>EXP(-LN(2)/2)*BR95+(1-EXP(-LN(2)/2))/(LN(2)/2)*BL96*BO96*VLOOKUP('Données projet'!$B$11,Paramètres!$A$1:$I$89,3,0)*0.475*44/12</f>
        <v>9.4436830623146803E-9</v>
      </c>
      <c r="BS96" s="22">
        <f t="shared" si="63"/>
        <v>3.1439288483928505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2.5420376914553347E-13</v>
      </c>
      <c r="P97" s="13">
        <f t="shared" si="87"/>
        <v>3.4258699088369875E-12</v>
      </c>
      <c r="Q97" s="20">
        <f t="shared" si="54"/>
        <v>6.4094616558195571E-12</v>
      </c>
      <c r="R97" s="59">
        <f t="shared" si="55"/>
        <v>293.33333333333974</v>
      </c>
      <c r="S97" s="59">
        <f ca="1">AVERAGE(OFFSET($R$3,0,0,'Données projet'!$E$9+1,1))-AVERAGE(OFFSET($H$3,0,0,'Données projet'!$E$9+1,1))</f>
        <v>394.9953131332565</v>
      </c>
      <c r="T97" s="59">
        <f t="shared" si="88"/>
        <v>399.58193819355591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2.8936669590661528</v>
      </c>
      <c r="AA97" s="21">
        <f>EXP(-LN(2)/25)*AA96+(1-EXP(-LN(2)/25))/(LN(2)/25)*Calculateur!V97*Calculateur!X97*VLOOKUP('Données projet'!$B$9,Paramètres!$A$1:$I$89,3,0)*0.475*44/12</f>
        <v>5.6647826339220728</v>
      </c>
      <c r="AB97" s="21">
        <f>EXP(-LN(2)/2)*AB96+(1-EXP(-LN(2)/2))/(LN(2)/2)*V97*Y97*VLOOKUP('Données projet'!$B$9,Paramètres!$A$1:$I$89,3,0)*0.475*44/12</f>
        <v>7.6204921448098258E-9</v>
      </c>
      <c r="AC97" s="22">
        <f t="shared" si="57"/>
        <v>8.5584496006087178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-2.2737367544323206E-13</v>
      </c>
      <c r="AJ97" s="13">
        <f>AI97*VLOOKUP('Données projet'!$B$10,Paramètres!$A$1:$I$89,3,0)*VLOOKUP('Données projet'!$B$10,Paramètres!$A$1:$I$89,5,0)</f>
        <v>-1.0936673788819462E-13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364.67510777943329</v>
      </c>
      <c r="AO97" s="59">
        <f t="shared" si="90"/>
        <v>352.13878061387169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2.4898994764057609</v>
      </c>
      <c r="AV97" s="21">
        <f>EXP(-LN(2)/25)*AV96+(1-EXP(-LN(2)/25))/(LN(2)/25)*Calculateur!AQ97*Calculateur!AS97*VLOOKUP('Données projet'!$B$10,Paramètres!$A$1:$I$89,3,0)*0.475*44/12</f>
        <v>3.0549444551240388</v>
      </c>
      <c r="AW97" s="21">
        <f>EXP(-LN(2)/2)*AW96+(1-EXP(-LN(2)/2))/(LN(2)/2)*AQ97*AT97*VLOOKUP('Données projet'!$B$10,Paramètres!$A$1:$I$89,3,0)*0.475*44/12</f>
        <v>6.3966858549134165E-9</v>
      </c>
      <c r="AX97" s="21">
        <f t="shared" si="60"/>
        <v>5.5448439379264851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1.1368683772161603E-13</v>
      </c>
      <c r="BE97" s="13">
        <f>BD97*VLOOKUP('Données projet'!$B$11,Paramètres!$A$1:$I$89,3,0)*VLOOKUP('Données projet'!$B$11,Paramètres!$A$1:$I$89,5,0)</f>
        <v>6.7984728957526396E-14</v>
      </c>
      <c r="BF97" s="13">
        <f t="shared" si="91"/>
        <v>1.0682447123141398E-12</v>
      </c>
      <c r="BG97" s="20">
        <f t="shared" si="61"/>
        <v>1.978932943548152E-12</v>
      </c>
      <c r="BH97" s="59">
        <f t="shared" si="62"/>
        <v>293.3333333333353</v>
      </c>
      <c r="BI97" s="59">
        <f ca="1">AVERAGE(OFFSET($BH$3,0,0,'Données projet'!$E$11+1,1))-AVERAGE(OFFSET($H$3,0,0,'Données projet'!$E$11+1,1))</f>
        <v>289.66713787052475</v>
      </c>
      <c r="BJ97" s="59">
        <f t="shared" si="92"/>
        <v>298.29439200198652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3.0579579395160703</v>
      </c>
      <c r="BR97" s="21">
        <f>EXP(-LN(2)/2)*BR96+(1-EXP(-LN(2)/2))/(LN(2)/2)*BL97*BO97*VLOOKUP('Données projet'!$B$11,Paramètres!$A$1:$I$89,3,0)*0.475*44/12</f>
        <v>6.6776923327392518E-9</v>
      </c>
      <c r="BS97" s="22">
        <f t="shared" si="63"/>
        <v>3.0579579461937625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2.5420376914553347E-13</v>
      </c>
      <c r="P98" s="13">
        <f t="shared" si="87"/>
        <v>3.4258699088369875E-12</v>
      </c>
      <c r="Q98" s="20">
        <f t="shared" si="54"/>
        <v>6.4094616558195571E-12</v>
      </c>
      <c r="R98" s="59">
        <f t="shared" si="55"/>
        <v>293.33333333333974</v>
      </c>
      <c r="S98" s="59">
        <f ca="1">AVERAGE(OFFSET($R$3,0,0,'Données projet'!$E$9+1,1))-AVERAGE(OFFSET($H$3,0,0,'Données projet'!$E$9+1,1))</f>
        <v>394.9953131332565</v>
      </c>
      <c r="T98" s="59">
        <f t="shared" si="88"/>
        <v>399.58193819355591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2.8369239149614351</v>
      </c>
      <c r="AA98" s="21">
        <f>EXP(-LN(2)/25)*AA97+(1-EXP(-LN(2)/25))/(LN(2)/25)*Calculateur!V98*Calculateur!X98*VLOOKUP('Données projet'!$B$9,Paramètres!$A$1:$I$89,3,0)*0.475*44/12</f>
        <v>5.5098788548995019</v>
      </c>
      <c r="AB98" s="21">
        <f>EXP(-LN(2)/2)*AB97+(1-EXP(-LN(2)/2))/(LN(2)/2)*V98*Y98*VLOOKUP('Données projet'!$B$9,Paramètres!$A$1:$I$89,3,0)*0.475*44/12</f>
        <v>5.3885016715738459E-9</v>
      </c>
      <c r="AC98" s="22">
        <f t="shared" si="57"/>
        <v>8.3468027752494383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-2.2737367544323206E-13</v>
      </c>
      <c r="AJ98" s="13">
        <f>AI98*VLOOKUP('Données projet'!$B$10,Paramètres!$A$1:$I$89,3,0)*VLOOKUP('Données projet'!$B$10,Paramètres!$A$1:$I$89,5,0)</f>
        <v>-1.0936673788819462E-13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364.67510777943329</v>
      </c>
      <c r="AO98" s="59">
        <f t="shared" si="90"/>
        <v>352.13878061387169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2.4410740663621664</v>
      </c>
      <c r="AV98" s="21">
        <f>EXP(-LN(2)/25)*AV97+(1-EXP(-LN(2)/25))/(LN(2)/25)*Calculateur!AQ98*Calculateur!AS98*VLOOKUP('Données projet'!$B$10,Paramètres!$A$1:$I$89,3,0)*0.475*44/12</f>
        <v>2.9714068383461254</v>
      </c>
      <c r="AW98" s="21">
        <f>EXP(-LN(2)/2)*AW97+(1-EXP(-LN(2)/2))/(LN(2)/2)*AQ98*AT98*VLOOKUP('Données projet'!$B$10,Paramètres!$A$1:$I$89,3,0)*0.475*44/12</f>
        <v>4.5231399451293448E-9</v>
      </c>
      <c r="AX98" s="21">
        <f t="shared" si="60"/>
        <v>5.4124809092314319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1.1368683772161603E-13</v>
      </c>
      <c r="BE98" s="13">
        <f>BD98*VLOOKUP('Données projet'!$B$11,Paramètres!$A$1:$I$89,3,0)*VLOOKUP('Données projet'!$B$11,Paramètres!$A$1:$I$89,5,0)</f>
        <v>6.7984728957526396E-14</v>
      </c>
      <c r="BF98" s="13">
        <f t="shared" si="91"/>
        <v>1.0682447123141398E-12</v>
      </c>
      <c r="BG98" s="20">
        <f t="shared" si="61"/>
        <v>1.978932943548152E-12</v>
      </c>
      <c r="BH98" s="59">
        <f t="shared" si="62"/>
        <v>293.3333333333353</v>
      </c>
      <c r="BI98" s="59">
        <f ca="1">AVERAGE(OFFSET($BH$3,0,0,'Données projet'!$E$11+1,1))-AVERAGE(OFFSET($H$3,0,0,'Données projet'!$E$11+1,1))</f>
        <v>289.66713787052475</v>
      </c>
      <c r="BJ98" s="59">
        <f t="shared" si="92"/>
        <v>298.29439200198652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2.9743379188489842</v>
      </c>
      <c r="BR98" s="21">
        <f>EXP(-LN(2)/2)*BR97+(1-EXP(-LN(2)/2))/(LN(2)/2)*BL98*BO98*VLOOKUP('Données projet'!$B$11,Paramètres!$A$1:$I$89,3,0)*0.475*44/12</f>
        <v>4.7218415311573401E-9</v>
      </c>
      <c r="BS98" s="22">
        <f t="shared" si="63"/>
        <v>2.9743379235708258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2.5420376914553347E-13</v>
      </c>
      <c r="P99" s="13">
        <f t="shared" si="87"/>
        <v>3.4258699088369875E-12</v>
      </c>
      <c r="Q99" s="20">
        <f t="shared" ref="Q99:Q130" si="107">(O99+P99)*0.475*44/12</f>
        <v>6.4094616558195571E-12</v>
      </c>
      <c r="R99" s="59">
        <f t="shared" si="55"/>
        <v>293.33333333333974</v>
      </c>
      <c r="S99" s="59">
        <f ca="1">AVERAGE(OFFSET($R$3,0,0,'Données projet'!$E$9+1,1))-AVERAGE(OFFSET($H$3,0,0,'Données projet'!$E$9+1,1))</f>
        <v>394.9953131332565</v>
      </c>
      <c r="T99" s="59">
        <f t="shared" si="88"/>
        <v>399.58193819355591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2.7812935673417716</v>
      </c>
      <c r="AA99" s="21">
        <f>EXP(-LN(2)/25)*AA98+(1-EXP(-LN(2)/25))/(LN(2)/25)*Calculateur!V99*Calculateur!X99*VLOOKUP('Données projet'!$B$9,Paramètres!$A$1:$I$89,3,0)*0.475*44/12</f>
        <v>5.3592109278603388</v>
      </c>
      <c r="AB99" s="21">
        <f>EXP(-LN(2)/2)*AB98+(1-EXP(-LN(2)/2))/(LN(2)/2)*V99*Y99*VLOOKUP('Données projet'!$B$9,Paramètres!$A$1:$I$89,3,0)*0.475*44/12</f>
        <v>3.8102460724049129E-9</v>
      </c>
      <c r="AC99" s="22">
        <f t="shared" si="57"/>
        <v>8.1405044990123567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-2.2737367544323206E-13</v>
      </c>
      <c r="AJ99" s="13">
        <f>AI99*VLOOKUP('Données projet'!$B$10,Paramètres!$A$1:$I$89,3,0)*VLOOKUP('Données projet'!$B$10,Paramètres!$A$1:$I$89,5,0)</f>
        <v>-1.0936673788819462E-13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364.67510777943329</v>
      </c>
      <c r="AO99" s="59">
        <f t="shared" si="90"/>
        <v>352.13878061387169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2.3932060928289673</v>
      </c>
      <c r="AV99" s="21">
        <f>EXP(-LN(2)/25)*AV98+(1-EXP(-LN(2)/25))/(LN(2)/25)*Calculateur!AQ99*Calculateur!AS99*VLOOKUP('Données projet'!$B$10,Paramètres!$A$1:$I$89,3,0)*0.475*44/12</f>
        <v>2.8901535620920562</v>
      </c>
      <c r="AW99" s="21">
        <f>EXP(-LN(2)/2)*AW98+(1-EXP(-LN(2)/2))/(LN(2)/2)*AQ99*AT99*VLOOKUP('Données projet'!$B$10,Paramètres!$A$1:$I$89,3,0)*0.475*44/12</f>
        <v>3.1983429274567083E-9</v>
      </c>
      <c r="AX99" s="21">
        <f t="shared" si="60"/>
        <v>5.283359658119366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1.1368683772161603E-13</v>
      </c>
      <c r="BE99" s="13">
        <f>BD99*VLOOKUP('Données projet'!$B$11,Paramètres!$A$1:$I$89,3,0)*VLOOKUP('Données projet'!$B$11,Paramètres!$A$1:$I$89,5,0)</f>
        <v>6.7984728957526396E-14</v>
      </c>
      <c r="BF99" s="13">
        <f t="shared" si="91"/>
        <v>1.0682447123141398E-12</v>
      </c>
      <c r="BG99" s="20">
        <f t="shared" si="61"/>
        <v>1.978932943548152E-12</v>
      </c>
      <c r="BH99" s="59">
        <f t="shared" si="62"/>
        <v>293.3333333333353</v>
      </c>
      <c r="BI99" s="59">
        <f ca="1">AVERAGE(OFFSET($BH$3,0,0,'Données projet'!$E$11+1,1))-AVERAGE(OFFSET($H$3,0,0,'Données projet'!$E$11+1,1))</f>
        <v>289.66713787052475</v>
      </c>
      <c r="BJ99" s="59">
        <f t="shared" si="92"/>
        <v>298.29439200198652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2.8930044920444256</v>
      </c>
      <c r="BR99" s="21">
        <f>EXP(-LN(2)/2)*BR98+(1-EXP(-LN(2)/2))/(LN(2)/2)*BL99*BO99*VLOOKUP('Données projet'!$B$11,Paramètres!$A$1:$I$89,3,0)*0.475*44/12</f>
        <v>3.3388461663696259E-9</v>
      </c>
      <c r="BS99" s="22">
        <f t="shared" si="63"/>
        <v>2.8930044953832716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2.5420376914553347E-13</v>
      </c>
      <c r="P100" s="13">
        <f t="shared" si="87"/>
        <v>3.4258699088369875E-12</v>
      </c>
      <c r="Q100" s="20">
        <f t="shared" si="107"/>
        <v>6.4094616558195571E-12</v>
      </c>
      <c r="R100" s="59">
        <f t="shared" si="55"/>
        <v>293.33333333333974</v>
      </c>
      <c r="S100" s="59">
        <f ca="1">AVERAGE(OFFSET($R$3,0,0,'Données projet'!$E$9+1,1))-AVERAGE(OFFSET($H$3,0,0,'Données projet'!$E$9+1,1))</f>
        <v>394.9953131332565</v>
      </c>
      <c r="T100" s="59">
        <f t="shared" si="88"/>
        <v>399.58193819355591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2.7267540969077677</v>
      </c>
      <c r="AA100" s="21">
        <f>EXP(-LN(2)/25)*AA99+(1-EXP(-LN(2)/25))/(LN(2)/25)*Calculateur!V100*Calculateur!X100*VLOOKUP('Données projet'!$B$9,Paramètres!$A$1:$I$89,3,0)*0.475*44/12</f>
        <v>5.2126630232093438</v>
      </c>
      <c r="AB100" s="21">
        <f>EXP(-LN(2)/2)*AB99+(1-EXP(-LN(2)/2))/(LN(2)/2)*V100*Y100*VLOOKUP('Données projet'!$B$9,Paramètres!$A$1:$I$89,3,0)*0.475*44/12</f>
        <v>2.6942508357869229E-9</v>
      </c>
      <c r="AC100" s="22">
        <f t="shared" si="57"/>
        <v>7.9394171228113626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-2.2737367544323206E-13</v>
      </c>
      <c r="AJ100" s="13">
        <f>AI100*VLOOKUP('Données projet'!$B$10,Paramètres!$A$1:$I$89,3,0)*VLOOKUP('Données projet'!$B$10,Paramètres!$A$1:$I$89,5,0)</f>
        <v>-1.0936673788819462E-13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364.67510777943329</v>
      </c>
      <c r="AO100" s="59">
        <f t="shared" si="90"/>
        <v>352.13878061387169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2.3462767810601735</v>
      </c>
      <c r="AV100" s="21">
        <f>EXP(-LN(2)/25)*AV99+(1-EXP(-LN(2)/25))/(LN(2)/25)*Calculateur!AQ100*Calculateur!AS100*VLOOKUP('Données projet'!$B$10,Paramètres!$A$1:$I$89,3,0)*0.475*44/12</f>
        <v>2.8111221609500787</v>
      </c>
      <c r="AW100" s="21">
        <f>EXP(-LN(2)/2)*AW99+(1-EXP(-LN(2)/2))/(LN(2)/2)*AQ100*AT100*VLOOKUP('Données projet'!$B$10,Paramètres!$A$1:$I$89,3,0)*0.475*44/12</f>
        <v>2.2615699725646724E-9</v>
      </c>
      <c r="AX100" s="21">
        <f t="shared" si="60"/>
        <v>5.1573989442718213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1.1368683772161603E-13</v>
      </c>
      <c r="BE100" s="13">
        <f>BD100*VLOOKUP('Données projet'!$B$11,Paramètres!$A$1:$I$89,3,0)*VLOOKUP('Données projet'!$B$11,Paramètres!$A$1:$I$89,5,0)</f>
        <v>6.7984728957526396E-14</v>
      </c>
      <c r="BF100" s="13">
        <f t="shared" si="91"/>
        <v>1.0682447123141398E-12</v>
      </c>
      <c r="BG100" s="20">
        <f t="shared" si="61"/>
        <v>1.978932943548152E-12</v>
      </c>
      <c r="BH100" s="59">
        <f t="shared" si="62"/>
        <v>293.3333333333353</v>
      </c>
      <c r="BI100" s="59">
        <f ca="1">AVERAGE(OFFSET($BH$3,0,0,'Données projet'!$E$11+1,1))-AVERAGE(OFFSET($H$3,0,0,'Données projet'!$E$11+1,1))</f>
        <v>289.66713787052475</v>
      </c>
      <c r="BJ100" s="59">
        <f t="shared" si="92"/>
        <v>298.29439200198652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2.8138951320729766</v>
      </c>
      <c r="BR100" s="21">
        <f>EXP(-LN(2)/2)*BR99+(1-EXP(-LN(2)/2))/(LN(2)/2)*BL100*BO100*VLOOKUP('Données projet'!$B$11,Paramètres!$A$1:$I$89,3,0)*0.475*44/12</f>
        <v>2.3609207655786701E-9</v>
      </c>
      <c r="BS100" s="22">
        <f t="shared" si="63"/>
        <v>2.8138951344338974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2.5420376914553347E-13</v>
      </c>
      <c r="P101" s="13">
        <f t="shared" si="87"/>
        <v>3.4258699088369875E-12</v>
      </c>
      <c r="Q101" s="20">
        <f t="shared" si="107"/>
        <v>6.4094616558195571E-12</v>
      </c>
      <c r="R101" s="59">
        <f t="shared" si="55"/>
        <v>293.33333333333974</v>
      </c>
      <c r="S101" s="59">
        <f ca="1">AVERAGE(OFFSET($R$3,0,0,'Données projet'!$E$9+1,1))-AVERAGE(OFFSET($H$3,0,0,'Données projet'!$E$9+1,1))</f>
        <v>394.9953131332565</v>
      </c>
      <c r="T101" s="59">
        <f t="shared" si="88"/>
        <v>399.58193819355591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2.6732841122231825</v>
      </c>
      <c r="AA101" s="21">
        <f>EXP(-LN(2)/25)*AA100+(1-EXP(-LN(2)/25))/(LN(2)/25)*Calculateur!V101*Calculateur!X101*VLOOKUP('Données projet'!$B$9,Paramètres!$A$1:$I$89,3,0)*0.475*44/12</f>
        <v>5.07012247871765</v>
      </c>
      <c r="AB101" s="21">
        <f>EXP(-LN(2)/2)*AB100+(1-EXP(-LN(2)/2))/(LN(2)/2)*V101*Y101*VLOOKUP('Données projet'!$B$9,Paramètres!$A$1:$I$89,3,0)*0.475*44/12</f>
        <v>1.9051230362024564E-9</v>
      </c>
      <c r="AC101" s="22">
        <f t="shared" si="57"/>
        <v>7.7434065928459557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-2.2737367544323206E-13</v>
      </c>
      <c r="AJ101" s="13">
        <f>AI101*VLOOKUP('Données projet'!$B$10,Paramètres!$A$1:$I$89,3,0)*VLOOKUP('Données projet'!$B$10,Paramètres!$A$1:$I$89,5,0)</f>
        <v>-1.0936673788819462E-13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364.67510777943329</v>
      </c>
      <c r="AO101" s="59">
        <f t="shared" si="90"/>
        <v>352.13878061387169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2.3002677244711118</v>
      </c>
      <c r="AV101" s="21">
        <f>EXP(-LN(2)/25)*AV100+(1-EXP(-LN(2)/25))/(LN(2)/25)*Calculateur!AQ101*Calculateur!AS101*VLOOKUP('Données projet'!$B$10,Paramètres!$A$1:$I$89,3,0)*0.475*44/12</f>
        <v>2.7342518776284095</v>
      </c>
      <c r="AW101" s="21">
        <f>EXP(-LN(2)/2)*AW100+(1-EXP(-LN(2)/2))/(LN(2)/2)*AQ101*AT101*VLOOKUP('Données projet'!$B$10,Paramètres!$A$1:$I$89,3,0)*0.475*44/12</f>
        <v>1.5991714637283541E-9</v>
      </c>
      <c r="AX101" s="21">
        <f t="shared" si="60"/>
        <v>5.0345196036986932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1.1368683772161603E-13</v>
      </c>
      <c r="BE101" s="13">
        <f>BD101*VLOOKUP('Données projet'!$B$11,Paramètres!$A$1:$I$89,3,0)*VLOOKUP('Données projet'!$B$11,Paramètres!$A$1:$I$89,5,0)</f>
        <v>6.7984728957526396E-14</v>
      </c>
      <c r="BF101" s="13">
        <f t="shared" si="91"/>
        <v>1.0682447123141398E-12</v>
      </c>
      <c r="BG101" s="20">
        <f t="shared" si="61"/>
        <v>1.978932943548152E-12</v>
      </c>
      <c r="BH101" s="59">
        <f t="shared" si="62"/>
        <v>293.3333333333353</v>
      </c>
      <c r="BI101" s="59">
        <f ca="1">AVERAGE(OFFSET($BH$3,0,0,'Données projet'!$E$11+1,1))-AVERAGE(OFFSET($H$3,0,0,'Données projet'!$E$11+1,1))</f>
        <v>289.66713787052475</v>
      </c>
      <c r="BJ101" s="59">
        <f t="shared" si="92"/>
        <v>298.29439200198652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2.7369490217101271</v>
      </c>
      <c r="BR101" s="21">
        <f>EXP(-LN(2)/2)*BR100+(1-EXP(-LN(2)/2))/(LN(2)/2)*BL101*BO101*VLOOKUP('Données projet'!$B$11,Paramètres!$A$1:$I$89,3,0)*0.475*44/12</f>
        <v>1.6694230831848129E-9</v>
      </c>
      <c r="BS101" s="22">
        <f t="shared" si="63"/>
        <v>2.7369490233795504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2.5420376914553347E-13</v>
      </c>
      <c r="P102" s="13">
        <f t="shared" si="87"/>
        <v>3.4258699088369875E-12</v>
      </c>
      <c r="Q102" s="20">
        <f t="shared" si="107"/>
        <v>6.4094616558195571E-12</v>
      </c>
      <c r="R102" s="59">
        <f t="shared" si="55"/>
        <v>293.33333333333974</v>
      </c>
      <c r="S102" s="59">
        <f ca="1">AVERAGE(OFFSET($R$3,0,0,'Données projet'!$E$9+1,1))-AVERAGE(OFFSET($H$3,0,0,'Données projet'!$E$9+1,1))</f>
        <v>394.9953131332565</v>
      </c>
      <c r="T102" s="59">
        <f t="shared" si="88"/>
        <v>399.58193819355591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2.6208626413247917</v>
      </c>
      <c r="AA102" s="21">
        <f>EXP(-LN(2)/25)*AA101+(1-EXP(-LN(2)/25))/(LN(2)/25)*Calculateur!V102*Calculateur!X102*VLOOKUP('Données projet'!$B$9,Paramètres!$A$1:$I$89,3,0)*0.475*44/12</f>
        <v>4.9314797129109627</v>
      </c>
      <c r="AB102" s="21">
        <f>EXP(-LN(2)/2)*AB101+(1-EXP(-LN(2)/2))/(LN(2)/2)*V102*Y102*VLOOKUP('Données projet'!$B$9,Paramètres!$A$1:$I$89,3,0)*0.475*44/12</f>
        <v>1.3471254178934615E-9</v>
      </c>
      <c r="AC102" s="22">
        <f t="shared" si="57"/>
        <v>7.5523423555828799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-2.2737367544323206E-13</v>
      </c>
      <c r="AJ102" s="13">
        <f>AI102*VLOOKUP('Données projet'!$B$10,Paramètres!$A$1:$I$89,3,0)*VLOOKUP('Données projet'!$B$10,Paramètres!$A$1:$I$89,5,0)</f>
        <v>-1.0936673788819462E-13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364.67510777943329</v>
      </c>
      <c r="AO102" s="59">
        <f t="shared" si="90"/>
        <v>352.13878061387169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2.2551608774190082</v>
      </c>
      <c r="AV102" s="21">
        <f>EXP(-LN(2)/25)*AV101+(1-EXP(-LN(2)/25))/(LN(2)/25)*Calculateur!AQ102*Calculateur!AS102*VLOOKUP('Données projet'!$B$10,Paramètres!$A$1:$I$89,3,0)*0.475*44/12</f>
        <v>2.6594836162466038</v>
      </c>
      <c r="AW102" s="21">
        <f>EXP(-LN(2)/2)*AW101+(1-EXP(-LN(2)/2))/(LN(2)/2)*AQ102*AT102*VLOOKUP('Données projet'!$B$10,Paramètres!$A$1:$I$89,3,0)*0.475*44/12</f>
        <v>1.1307849862823362E-9</v>
      </c>
      <c r="AX102" s="21">
        <f t="shared" si="60"/>
        <v>4.9146444947963976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1.1368683772161603E-13</v>
      </c>
      <c r="BE102" s="13">
        <f>BD102*VLOOKUP('Données projet'!$B$11,Paramètres!$A$1:$I$89,3,0)*VLOOKUP('Données projet'!$B$11,Paramètres!$A$1:$I$89,5,0)</f>
        <v>6.7984728957526396E-14</v>
      </c>
      <c r="BF102" s="13">
        <f t="shared" si="91"/>
        <v>1.0682447123141398E-12</v>
      </c>
      <c r="BG102" s="20">
        <f t="shared" si="61"/>
        <v>1.978932943548152E-12</v>
      </c>
      <c r="BH102" s="59">
        <f t="shared" si="62"/>
        <v>293.3333333333353</v>
      </c>
      <c r="BI102" s="59">
        <f ca="1">AVERAGE(OFFSET($BH$3,0,0,'Données projet'!$E$11+1,1))-AVERAGE(OFFSET($H$3,0,0,'Données projet'!$E$11+1,1))</f>
        <v>289.66713787052475</v>
      </c>
      <c r="BJ102" s="59">
        <f t="shared" si="92"/>
        <v>298.29439200198652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2.6621070067815702</v>
      </c>
      <c r="BR102" s="21">
        <f>EXP(-LN(2)/2)*BR101+(1-EXP(-LN(2)/2))/(LN(2)/2)*BL102*BO102*VLOOKUP('Données projet'!$B$11,Paramètres!$A$1:$I$89,3,0)*0.475*44/12</f>
        <v>1.180460382789335E-9</v>
      </c>
      <c r="BS102" s="22">
        <f t="shared" si="63"/>
        <v>2.6621070079620304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2.5420376914553347E-13</v>
      </c>
      <c r="P103" s="13">
        <f t="shared" si="87"/>
        <v>3.4258699088369875E-12</v>
      </c>
      <c r="Q103" s="20">
        <f t="shared" si="107"/>
        <v>6.4094616558195571E-12</v>
      </c>
      <c r="R103" s="59">
        <f t="shared" si="55"/>
        <v>293.33333333333974</v>
      </c>
      <c r="S103" s="59">
        <f ca="1">AVERAGE(OFFSET($R$3,0,0,'Données projet'!$E$9+1,1))-AVERAGE(OFFSET($H$3,0,0,'Données projet'!$E$9+1,1))</f>
        <v>394.9953131332565</v>
      </c>
      <c r="T103" s="59">
        <f t="shared" si="88"/>
        <v>399.58193819355591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2.5694691234967784</v>
      </c>
      <c r="AA103" s="21">
        <f>EXP(-LN(2)/25)*AA102+(1-EXP(-LN(2)/25))/(LN(2)/25)*Calculateur!V103*Calculateur!X103*VLOOKUP('Données projet'!$B$9,Paramètres!$A$1:$I$89,3,0)*0.475*44/12</f>
        <v>4.7966281408261651</v>
      </c>
      <c r="AB103" s="21">
        <f>EXP(-LN(2)/2)*AB102+(1-EXP(-LN(2)/2))/(LN(2)/2)*V103*Y103*VLOOKUP('Données projet'!$B$9,Paramètres!$A$1:$I$89,3,0)*0.475*44/12</f>
        <v>9.5256151810122822E-10</v>
      </c>
      <c r="AC103" s="22">
        <f t="shared" si="57"/>
        <v>7.3660972652755055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-2.2737367544323206E-13</v>
      </c>
      <c r="AJ103" s="13">
        <f>AI103*VLOOKUP('Données projet'!$B$10,Paramètres!$A$1:$I$89,3,0)*VLOOKUP('Données projet'!$B$10,Paramètres!$A$1:$I$89,5,0)</f>
        <v>-1.0936673788819462E-13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364.67510777943329</v>
      </c>
      <c r="AO103" s="59">
        <f t="shared" si="90"/>
        <v>352.13878061387169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2.210938548125136</v>
      </c>
      <c r="AV103" s="21">
        <f>EXP(-LN(2)/25)*AV102+(1-EXP(-LN(2)/25))/(LN(2)/25)*Calculateur!AQ103*Calculateur!AS103*VLOOKUP('Données projet'!$B$10,Paramètres!$A$1:$I$89,3,0)*0.475*44/12</f>
        <v>2.5867598969041752</v>
      </c>
      <c r="AW103" s="21">
        <f>EXP(-LN(2)/2)*AW102+(1-EXP(-LN(2)/2))/(LN(2)/2)*AQ103*AT103*VLOOKUP('Données projet'!$B$10,Paramètres!$A$1:$I$89,3,0)*0.475*44/12</f>
        <v>7.9958573186417707E-10</v>
      </c>
      <c r="AX103" s="21">
        <f t="shared" si="60"/>
        <v>4.7976984458288978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1.1368683772161603E-13</v>
      </c>
      <c r="BE103" s="13">
        <f>BD103*VLOOKUP('Données projet'!$B$11,Paramètres!$A$1:$I$89,3,0)*VLOOKUP('Données projet'!$B$11,Paramètres!$A$1:$I$89,5,0)</f>
        <v>6.7984728957526396E-14</v>
      </c>
      <c r="BF103" s="13">
        <f t="shared" si="91"/>
        <v>1.0682447123141398E-12</v>
      </c>
      <c r="BG103" s="20">
        <f t="shared" si="61"/>
        <v>1.978932943548152E-12</v>
      </c>
      <c r="BH103" s="59">
        <f t="shared" si="62"/>
        <v>293.3333333333353</v>
      </c>
      <c r="BI103" s="59">
        <f ca="1">AVERAGE(OFFSET($BH$3,0,0,'Données projet'!$E$11+1,1))-AVERAGE(OFFSET($H$3,0,0,'Données projet'!$E$11+1,1))</f>
        <v>289.66713787052475</v>
      </c>
      <c r="BJ103" s="59">
        <f t="shared" si="92"/>
        <v>298.29439200198652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2.5893115506870048</v>
      </c>
      <c r="BR103" s="21">
        <f>EXP(-LN(2)/2)*BR102+(1-EXP(-LN(2)/2))/(LN(2)/2)*BL103*BO103*VLOOKUP('Données projet'!$B$11,Paramètres!$A$1:$I$89,3,0)*0.475*44/12</f>
        <v>8.3471154159240647E-10</v>
      </c>
      <c r="BS103" s="22">
        <f t="shared" si="63"/>
        <v>2.5893115515217162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2.5420376914553347E-13</v>
      </c>
      <c r="P104" s="13">
        <f t="shared" si="87"/>
        <v>3.4258699088369875E-12</v>
      </c>
      <c r="Q104" s="20">
        <f t="shared" si="107"/>
        <v>6.4094616558195571E-12</v>
      </c>
      <c r="R104" s="59">
        <f t="shared" si="55"/>
        <v>293.33333333333974</v>
      </c>
      <c r="S104" s="59">
        <f ca="1">AVERAGE(OFFSET($R$3,0,0,'Données projet'!$E$9+1,1))-AVERAGE(OFFSET($H$3,0,0,'Données projet'!$E$9+1,1))</f>
        <v>394.9953131332565</v>
      </c>
      <c r="T104" s="59">
        <f t="shared" si="88"/>
        <v>399.58193819355591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2.5190834012064216</v>
      </c>
      <c r="AA104" s="21">
        <f>EXP(-LN(2)/25)*AA103+(1-EXP(-LN(2)/25))/(LN(2)/25)*Calculateur!V104*Calculateur!X104*VLOOKUP('Données projet'!$B$9,Paramètres!$A$1:$I$89,3,0)*0.475*44/12</f>
        <v>4.6654640920715629</v>
      </c>
      <c r="AB104" s="21">
        <f>EXP(-LN(2)/2)*AB103+(1-EXP(-LN(2)/2))/(LN(2)/2)*V104*Y104*VLOOKUP('Données projet'!$B$9,Paramètres!$A$1:$I$89,3,0)*0.475*44/12</f>
        <v>6.7356270894673074E-10</v>
      </c>
      <c r="AC104" s="22">
        <f t="shared" si="57"/>
        <v>7.1845474939515466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-2.2737367544323206E-13</v>
      </c>
      <c r="AJ104" s="13">
        <f>AI104*VLOOKUP('Données projet'!$B$10,Paramètres!$A$1:$I$89,3,0)*VLOOKUP('Données projet'!$B$10,Paramètres!$A$1:$I$89,5,0)</f>
        <v>-1.0936673788819462E-13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364.67510777943329</v>
      </c>
      <c r="AO104" s="59">
        <f t="shared" si="90"/>
        <v>352.13878061387169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2.1675833917357594</v>
      </c>
      <c r="AV104" s="21">
        <f>EXP(-LN(2)/25)*AV103+(1-EXP(-LN(2)/25))/(LN(2)/25)*Calculateur!AQ104*Calculateur!AS104*VLOOKUP('Données projet'!$B$10,Paramètres!$A$1:$I$89,3,0)*0.475*44/12</f>
        <v>2.5160248114915396</v>
      </c>
      <c r="AW104" s="21">
        <f>EXP(-LN(2)/2)*AW103+(1-EXP(-LN(2)/2))/(LN(2)/2)*AQ104*AT104*VLOOKUP('Données projet'!$B$10,Paramètres!$A$1:$I$89,3,0)*0.475*44/12</f>
        <v>5.653924931411681E-10</v>
      </c>
      <c r="AX104" s="21">
        <f t="shared" si="60"/>
        <v>4.6836082037926916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1.1368683772161603E-13</v>
      </c>
      <c r="BE104" s="13">
        <f>BD104*VLOOKUP('Données projet'!$B$11,Paramètres!$A$1:$I$89,3,0)*VLOOKUP('Données projet'!$B$11,Paramètres!$A$1:$I$89,5,0)</f>
        <v>6.7984728957526396E-14</v>
      </c>
      <c r="BF104" s="13">
        <f t="shared" si="91"/>
        <v>1.0682447123141398E-12</v>
      </c>
      <c r="BG104" s="20">
        <f t="shared" si="61"/>
        <v>1.978932943548152E-12</v>
      </c>
      <c r="BH104" s="59">
        <f t="shared" si="62"/>
        <v>293.3333333333353</v>
      </c>
      <c r="BI104" s="59">
        <f ca="1">AVERAGE(OFFSET($BH$3,0,0,'Données projet'!$E$11+1,1))-AVERAGE(OFFSET($H$3,0,0,'Données projet'!$E$11+1,1))</f>
        <v>289.66713787052475</v>
      </c>
      <c r="BJ104" s="59">
        <f t="shared" si="92"/>
        <v>298.29439200198652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2.518506690167492</v>
      </c>
      <c r="BR104" s="21">
        <f>EXP(-LN(2)/2)*BR103+(1-EXP(-LN(2)/2))/(LN(2)/2)*BL104*BO104*VLOOKUP('Données projet'!$B$11,Paramètres!$A$1:$I$89,3,0)*0.475*44/12</f>
        <v>5.9023019139466752E-10</v>
      </c>
      <c r="BS104" s="22">
        <f t="shared" si="63"/>
        <v>2.518506690757722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2.5420376914553347E-13</v>
      </c>
      <c r="P105" s="13">
        <f t="shared" si="87"/>
        <v>3.4258699088369875E-12</v>
      </c>
      <c r="Q105" s="20">
        <f t="shared" si="107"/>
        <v>6.4094616558195571E-12</v>
      </c>
      <c r="R105" s="59">
        <f t="shared" si="55"/>
        <v>293.33333333333974</v>
      </c>
      <c r="S105" s="59">
        <f ca="1">AVERAGE(OFFSET($R$3,0,0,'Données projet'!$E$9+1,1))-AVERAGE(OFFSET($H$3,0,0,'Données projet'!$E$9+1,1))</f>
        <v>394.9953131332565</v>
      </c>
      <c r="T105" s="59">
        <f t="shared" si="88"/>
        <v>399.58193819355591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2.4696857121979225</v>
      </c>
      <c r="AA105" s="21">
        <f>EXP(-LN(2)/25)*AA104+(1-EXP(-LN(2)/25))/(LN(2)/25)*Calculateur!V105*Calculateur!X105*VLOOKUP('Données projet'!$B$9,Paramètres!$A$1:$I$89,3,0)*0.475*44/12</f>
        <v>4.5378867311277729</v>
      </c>
      <c r="AB105" s="21">
        <f>EXP(-LN(2)/2)*AB104+(1-EXP(-LN(2)/2))/(LN(2)/2)*V105*Y105*VLOOKUP('Données projet'!$B$9,Paramètres!$A$1:$I$89,3,0)*0.475*44/12</f>
        <v>4.7628075905061411E-10</v>
      </c>
      <c r="AC105" s="22">
        <f t="shared" si="57"/>
        <v>7.0075724438019762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-2.2737367544323206E-13</v>
      </c>
      <c r="AJ105" s="13">
        <f>AI105*VLOOKUP('Données projet'!$B$10,Paramètres!$A$1:$I$89,3,0)*VLOOKUP('Données projet'!$B$10,Paramètres!$A$1:$I$89,5,0)</f>
        <v>-1.0936673788819462E-13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364.67510777943329</v>
      </c>
      <c r="AO105" s="59">
        <f t="shared" si="90"/>
        <v>352.13878061387169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2.1250784035191441</v>
      </c>
      <c r="AV105" s="21">
        <f>EXP(-LN(2)/25)*AV104+(1-EXP(-LN(2)/25))/(LN(2)/25)*Calculateur!AQ105*Calculateur!AS105*VLOOKUP('Données projet'!$B$10,Paramètres!$A$1:$I$89,3,0)*0.475*44/12</f>
        <v>2.447223980709309</v>
      </c>
      <c r="AW105" s="21">
        <f>EXP(-LN(2)/2)*AW104+(1-EXP(-LN(2)/2))/(LN(2)/2)*AQ105*AT105*VLOOKUP('Données projet'!$B$10,Paramètres!$A$1:$I$89,3,0)*0.475*44/12</f>
        <v>3.9979286593208853E-10</v>
      </c>
      <c r="AX105" s="21">
        <f t="shared" si="60"/>
        <v>4.5723023846282462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1.1368683772161603E-13</v>
      </c>
      <c r="BE105" s="13">
        <f>BD105*VLOOKUP('Données projet'!$B$11,Paramètres!$A$1:$I$89,3,0)*VLOOKUP('Données projet'!$B$11,Paramètres!$A$1:$I$89,5,0)</f>
        <v>6.7984728957526396E-14</v>
      </c>
      <c r="BF105" s="13">
        <f t="shared" si="91"/>
        <v>1.0682447123141398E-12</v>
      </c>
      <c r="BG105" s="20">
        <f t="shared" si="61"/>
        <v>1.978932943548152E-12</v>
      </c>
      <c r="BH105" s="59">
        <f t="shared" si="62"/>
        <v>293.3333333333353</v>
      </c>
      <c r="BI105" s="59">
        <f ca="1">AVERAGE(OFFSET($BH$3,0,0,'Données projet'!$E$11+1,1))-AVERAGE(OFFSET($H$3,0,0,'Données projet'!$E$11+1,1))</f>
        <v>289.66713787052475</v>
      </c>
      <c r="BJ105" s="59">
        <f t="shared" si="92"/>
        <v>298.29439200198652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2.449637992282351</v>
      </c>
      <c r="BR105" s="21">
        <f>EXP(-LN(2)/2)*BR104+(1-EXP(-LN(2)/2))/(LN(2)/2)*BL105*BO105*VLOOKUP('Données projet'!$B$11,Paramètres!$A$1:$I$89,3,0)*0.475*44/12</f>
        <v>4.1735577079620324E-10</v>
      </c>
      <c r="BS105" s="22">
        <f t="shared" si="63"/>
        <v>2.4496379926997069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2.5420376914553347E-13</v>
      </c>
      <c r="P106" s="13">
        <f t="shared" si="87"/>
        <v>3.4258699088369875E-12</v>
      </c>
      <c r="Q106" s="20">
        <f t="shared" si="107"/>
        <v>6.4094616558195571E-12</v>
      </c>
      <c r="R106" s="59">
        <f t="shared" si="55"/>
        <v>293.33333333333974</v>
      </c>
      <c r="S106" s="59">
        <f ca="1">AVERAGE(OFFSET($R$3,0,0,'Données projet'!$E$9+1,1))-AVERAGE(OFFSET($H$3,0,0,'Données projet'!$E$9+1,1))</f>
        <v>394.9953131332565</v>
      </c>
      <c r="T106" s="59">
        <f t="shared" si="88"/>
        <v>399.58193819355591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2.4212566817412653</v>
      </c>
      <c r="AA106" s="21">
        <f>EXP(-LN(2)/25)*AA105+(1-EXP(-LN(2)/25))/(LN(2)/25)*Calculateur!V106*Calculateur!X106*VLOOKUP('Données projet'!$B$9,Paramètres!$A$1:$I$89,3,0)*0.475*44/12</f>
        <v>4.4137979798279918</v>
      </c>
      <c r="AB106" s="21">
        <f>EXP(-LN(2)/2)*AB105+(1-EXP(-LN(2)/2))/(LN(2)/2)*V106*Y106*VLOOKUP('Données projet'!$B$9,Paramètres!$A$1:$I$89,3,0)*0.475*44/12</f>
        <v>3.3678135447336537E-10</v>
      </c>
      <c r="AC106" s="22">
        <f t="shared" si="57"/>
        <v>6.8350546619060388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-2.2737367544323206E-13</v>
      </c>
      <c r="AJ106" s="13">
        <f>AI106*VLOOKUP('Données projet'!$B$10,Paramètres!$A$1:$I$89,3,0)*VLOOKUP('Données projet'!$B$10,Paramètres!$A$1:$I$89,5,0)</f>
        <v>-1.0936673788819462E-13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364.67510777943329</v>
      </c>
      <c r="AO106" s="59">
        <f t="shared" si="90"/>
        <v>352.13878061387169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2.0834069121959735</v>
      </c>
      <c r="AV106" s="21">
        <f>EXP(-LN(2)/25)*AV105+(1-EXP(-LN(2)/25))/(LN(2)/25)*Calculateur!AQ106*Calculateur!AS106*VLOOKUP('Données projet'!$B$10,Paramètres!$A$1:$I$89,3,0)*0.475*44/12</f>
        <v>2.3803045122628972</v>
      </c>
      <c r="AW106" s="21">
        <f>EXP(-LN(2)/2)*AW105+(1-EXP(-LN(2)/2))/(LN(2)/2)*AQ106*AT106*VLOOKUP('Données projet'!$B$10,Paramètres!$A$1:$I$89,3,0)*0.475*44/12</f>
        <v>2.8269624657058405E-10</v>
      </c>
      <c r="AX106" s="21">
        <f t="shared" si="60"/>
        <v>4.4637114247415672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1.1368683772161603E-13</v>
      </c>
      <c r="BE106" s="13">
        <f>BD106*VLOOKUP('Données projet'!$B$11,Paramètres!$A$1:$I$89,3,0)*VLOOKUP('Données projet'!$B$11,Paramètres!$A$1:$I$89,5,0)</f>
        <v>6.7984728957526396E-14</v>
      </c>
      <c r="BF106" s="13">
        <f t="shared" si="91"/>
        <v>1.0682447123141398E-12</v>
      </c>
      <c r="BG106" s="20">
        <f t="shared" si="61"/>
        <v>1.978932943548152E-12</v>
      </c>
      <c r="BH106" s="59">
        <f t="shared" si="62"/>
        <v>293.3333333333353</v>
      </c>
      <c r="BI106" s="59">
        <f ca="1">AVERAGE(OFFSET($BH$3,0,0,'Données projet'!$E$11+1,1))-AVERAGE(OFFSET($H$3,0,0,'Données projet'!$E$11+1,1))</f>
        <v>289.66713787052475</v>
      </c>
      <c r="BJ106" s="59">
        <f t="shared" si="92"/>
        <v>298.29439200198652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2.3826525125625269</v>
      </c>
      <c r="BR106" s="21">
        <f>EXP(-LN(2)/2)*BR105+(1-EXP(-LN(2)/2))/(LN(2)/2)*BL106*BO106*VLOOKUP('Données projet'!$B$11,Paramètres!$A$1:$I$89,3,0)*0.475*44/12</f>
        <v>2.9511509569733376E-10</v>
      </c>
      <c r="BS106" s="22">
        <f t="shared" si="63"/>
        <v>2.3826525128576419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2.5420376914553347E-13</v>
      </c>
      <c r="P107" s="13">
        <f t="shared" si="87"/>
        <v>3.4258699088369875E-12</v>
      </c>
      <c r="Q107" s="20">
        <f t="shared" si="107"/>
        <v>6.4094616558195571E-12</v>
      </c>
      <c r="R107" s="59">
        <f t="shared" si="55"/>
        <v>293.33333333333974</v>
      </c>
      <c r="S107" s="59">
        <f ca="1">AVERAGE(OFFSET($R$3,0,0,'Données projet'!$E$9+1,1))-AVERAGE(OFFSET($H$3,0,0,'Données projet'!$E$9+1,1))</f>
        <v>394.9953131332565</v>
      </c>
      <c r="T107" s="59">
        <f t="shared" si="88"/>
        <v>399.58193819355591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2.3737773150330712</v>
      </c>
      <c r="AA107" s="21">
        <f>EXP(-LN(2)/25)*AA106+(1-EXP(-LN(2)/25))/(LN(2)/25)*Calculateur!V107*Calculateur!X107*VLOOKUP('Données projet'!$B$9,Paramètres!$A$1:$I$89,3,0)*0.475*44/12</f>
        <v>4.2931024419580472</v>
      </c>
      <c r="AB107" s="21">
        <f>EXP(-LN(2)/2)*AB106+(1-EXP(-LN(2)/2))/(LN(2)/2)*V107*Y107*VLOOKUP('Données projet'!$B$9,Paramètres!$A$1:$I$89,3,0)*0.475*44/12</f>
        <v>2.3814037952530705E-10</v>
      </c>
      <c r="AC107" s="22">
        <f t="shared" si="57"/>
        <v>6.6668797572292586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-2.2737367544323206E-13</v>
      </c>
      <c r="AJ107" s="13">
        <f>AI107*VLOOKUP('Données projet'!$B$10,Paramètres!$A$1:$I$89,3,0)*VLOOKUP('Données projet'!$B$10,Paramètres!$A$1:$I$89,5,0)</f>
        <v>-1.0936673788819462E-13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364.67510777943329</v>
      </c>
      <c r="AO107" s="59">
        <f t="shared" si="90"/>
        <v>352.13878061387169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2.0425525734005503</v>
      </c>
      <c r="AV107" s="21">
        <f>EXP(-LN(2)/25)*AV106+(1-EXP(-LN(2)/25))/(LN(2)/25)*Calculateur!AQ107*Calculateur!AS107*VLOOKUP('Données projet'!$B$10,Paramètres!$A$1:$I$89,3,0)*0.475*44/12</f>
        <v>2.315214960200294</v>
      </c>
      <c r="AW107" s="21">
        <f>EXP(-LN(2)/2)*AW106+(1-EXP(-LN(2)/2))/(LN(2)/2)*AQ107*AT107*VLOOKUP('Données projet'!$B$10,Paramètres!$A$1:$I$89,3,0)*0.475*44/12</f>
        <v>1.9989643296604427E-10</v>
      </c>
      <c r="AX107" s="21">
        <f t="shared" si="60"/>
        <v>4.3577675338007404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1.1368683772161603E-13</v>
      </c>
      <c r="BE107" s="13">
        <f>BD107*VLOOKUP('Données projet'!$B$11,Paramètres!$A$1:$I$89,3,0)*VLOOKUP('Données projet'!$B$11,Paramètres!$A$1:$I$89,5,0)</f>
        <v>6.7984728957526396E-14</v>
      </c>
      <c r="BF107" s="13">
        <f t="shared" si="91"/>
        <v>1.0682447123141398E-12</v>
      </c>
      <c r="BG107" s="20">
        <f t="shared" si="61"/>
        <v>1.978932943548152E-12</v>
      </c>
      <c r="BH107" s="59">
        <f t="shared" si="62"/>
        <v>293.3333333333353</v>
      </c>
      <c r="BI107" s="59">
        <f ca="1">AVERAGE(OFFSET($BH$3,0,0,'Données projet'!$E$11+1,1))-AVERAGE(OFFSET($H$3,0,0,'Données projet'!$E$11+1,1))</f>
        <v>289.66713787052475</v>
      </c>
      <c r="BJ107" s="59">
        <f t="shared" si="92"/>
        <v>298.29439200198652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2.3174987543082546</v>
      </c>
      <c r="BR107" s="21">
        <f>EXP(-LN(2)/2)*BR106+(1-EXP(-LN(2)/2))/(LN(2)/2)*BL107*BO107*VLOOKUP('Données projet'!$B$11,Paramètres!$A$1:$I$89,3,0)*0.475*44/12</f>
        <v>2.0867788539810162E-10</v>
      </c>
      <c r="BS107" s="22">
        <f t="shared" si="63"/>
        <v>2.3174987545169325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2.5420376914553347E-13</v>
      </c>
      <c r="P108" s="13">
        <f t="shared" si="87"/>
        <v>3.4258699088369875E-12</v>
      </c>
      <c r="Q108" s="20">
        <f t="shared" si="107"/>
        <v>6.4094616558195571E-12</v>
      </c>
      <c r="R108" s="59">
        <f t="shared" si="55"/>
        <v>293.33333333333974</v>
      </c>
      <c r="S108" s="59">
        <f ca="1">AVERAGE(OFFSET($R$3,0,0,'Données projet'!$E$9+1,1))-AVERAGE(OFFSET($H$3,0,0,'Données projet'!$E$9+1,1))</f>
        <v>394.9953131332565</v>
      </c>
      <c r="T108" s="59">
        <f t="shared" si="88"/>
        <v>399.58193819355591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2.3272289897464704</v>
      </c>
      <c r="AA108" s="21">
        <f>EXP(-LN(2)/25)*AA107+(1-EXP(-LN(2)/25))/(LN(2)/25)*Calculateur!V108*Calculateur!X108*VLOOKUP('Données projet'!$B$9,Paramètres!$A$1:$I$89,3,0)*0.475*44/12</f>
        <v>4.175707329918259</v>
      </c>
      <c r="AB108" s="21">
        <f>EXP(-LN(2)/2)*AB107+(1-EXP(-LN(2)/2))/(LN(2)/2)*V108*Y108*VLOOKUP('Données projet'!$B$9,Paramètres!$A$1:$I$89,3,0)*0.475*44/12</f>
        <v>1.6839067723668268E-10</v>
      </c>
      <c r="AC108" s="22">
        <f t="shared" si="57"/>
        <v>6.50293631983312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-2.2737367544323206E-13</v>
      </c>
      <c r="AJ108" s="13">
        <f>AI108*VLOOKUP('Données projet'!$B$10,Paramètres!$A$1:$I$89,3,0)*VLOOKUP('Données projet'!$B$10,Paramètres!$A$1:$I$89,5,0)</f>
        <v>-1.0936673788819462E-13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364.67510777943329</v>
      </c>
      <c r="AO108" s="59">
        <f t="shared" si="90"/>
        <v>352.13878061387169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2.0024993632702195</v>
      </c>
      <c r="AV108" s="21">
        <f>EXP(-LN(2)/25)*AV107+(1-EXP(-LN(2)/25))/(LN(2)/25)*Calculateur!AQ108*Calculateur!AS108*VLOOKUP('Données projet'!$B$10,Paramètres!$A$1:$I$89,3,0)*0.475*44/12</f>
        <v>2.2519052853617536</v>
      </c>
      <c r="AW108" s="21">
        <f>EXP(-LN(2)/2)*AW107+(1-EXP(-LN(2)/2))/(LN(2)/2)*AQ108*AT108*VLOOKUP('Données projet'!$B$10,Paramètres!$A$1:$I$89,3,0)*0.475*44/12</f>
        <v>1.4134812328529203E-10</v>
      </c>
      <c r="AX108" s="21">
        <f t="shared" si="60"/>
        <v>4.2544046487733214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1.1368683772161603E-13</v>
      </c>
      <c r="BE108" s="13">
        <f>BD108*VLOOKUP('Données projet'!$B$11,Paramètres!$A$1:$I$89,3,0)*VLOOKUP('Données projet'!$B$11,Paramètres!$A$1:$I$89,5,0)</f>
        <v>6.7984728957526396E-14</v>
      </c>
      <c r="BF108" s="13">
        <f t="shared" si="91"/>
        <v>1.0682447123141398E-12</v>
      </c>
      <c r="BG108" s="20">
        <f t="shared" si="61"/>
        <v>1.978932943548152E-12</v>
      </c>
      <c r="BH108" s="59">
        <f t="shared" si="62"/>
        <v>293.3333333333353</v>
      </c>
      <c r="BI108" s="59">
        <f ca="1">AVERAGE(OFFSET($BH$3,0,0,'Données projet'!$E$11+1,1))-AVERAGE(OFFSET($H$3,0,0,'Données projet'!$E$11+1,1))</f>
        <v>289.66713787052475</v>
      </c>
      <c r="BJ108" s="59">
        <f t="shared" si="92"/>
        <v>298.29439200198652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2.2541266289997326</v>
      </c>
      <c r="BR108" s="21">
        <f>EXP(-LN(2)/2)*BR107+(1-EXP(-LN(2)/2))/(LN(2)/2)*BL108*BO108*VLOOKUP('Données projet'!$B$11,Paramètres!$A$1:$I$89,3,0)*0.475*44/12</f>
        <v>1.4755754784866688E-10</v>
      </c>
      <c r="BS108" s="22">
        <f t="shared" si="63"/>
        <v>2.2541266291472901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2.5420376914553347E-13</v>
      </c>
      <c r="P109" s="13">
        <f t="shared" si="87"/>
        <v>3.4258699088369875E-12</v>
      </c>
      <c r="Q109" s="20">
        <f t="shared" si="107"/>
        <v>6.4094616558195571E-12</v>
      </c>
      <c r="R109" s="59">
        <f t="shared" si="55"/>
        <v>293.33333333333974</v>
      </c>
      <c r="S109" s="59">
        <f ca="1">AVERAGE(OFFSET($R$3,0,0,'Données projet'!$E$9+1,1))-AVERAGE(OFFSET($H$3,0,0,'Données projet'!$E$9+1,1))</f>
        <v>394.9953131332565</v>
      </c>
      <c r="T109" s="59">
        <f t="shared" si="88"/>
        <v>399.58193819355591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2.2815934487270648</v>
      </c>
      <c r="AA109" s="21">
        <f>EXP(-LN(2)/25)*AA108+(1-EXP(-LN(2)/25))/(LN(2)/25)*Calculateur!V109*Calculateur!X109*VLOOKUP('Données projet'!$B$9,Paramètres!$A$1:$I$89,3,0)*0.475*44/12</f>
        <v>4.0615223933907396</v>
      </c>
      <c r="AB109" s="21">
        <f>EXP(-LN(2)/2)*AB108+(1-EXP(-LN(2)/2))/(LN(2)/2)*V109*Y109*VLOOKUP('Données projet'!$B$9,Paramètres!$A$1:$I$89,3,0)*0.475*44/12</f>
        <v>1.1907018976265353E-10</v>
      </c>
      <c r="AC109" s="22">
        <f t="shared" si="57"/>
        <v>6.3431158422368741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-2.2737367544323206E-13</v>
      </c>
      <c r="AJ109" s="13">
        <f>AI109*VLOOKUP('Données projet'!$B$10,Paramètres!$A$1:$I$89,3,0)*VLOOKUP('Données projet'!$B$10,Paramètres!$A$1:$I$89,5,0)</f>
        <v>-1.0936673788819462E-13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364.67510777943329</v>
      </c>
      <c r="AO109" s="59">
        <f t="shared" si="90"/>
        <v>352.13878061387169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1.9632315721604985</v>
      </c>
      <c r="AV109" s="21">
        <f>EXP(-LN(2)/25)*AV108+(1-EXP(-LN(2)/25))/(LN(2)/25)*Calculateur!AQ109*Calculateur!AS109*VLOOKUP('Données projet'!$B$10,Paramètres!$A$1:$I$89,3,0)*0.475*44/12</f>
        <v>2.1903268169109844</v>
      </c>
      <c r="AW109" s="21">
        <f>EXP(-LN(2)/2)*AW108+(1-EXP(-LN(2)/2))/(LN(2)/2)*AQ109*AT109*VLOOKUP('Données projet'!$B$10,Paramètres!$A$1:$I$89,3,0)*0.475*44/12</f>
        <v>9.9948216483022133E-11</v>
      </c>
      <c r="AX109" s="21">
        <f t="shared" si="60"/>
        <v>4.1535583891714314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1.1368683772161603E-13</v>
      </c>
      <c r="BE109" s="13">
        <f>BD109*VLOOKUP('Données projet'!$B$11,Paramètres!$A$1:$I$89,3,0)*VLOOKUP('Données projet'!$B$11,Paramètres!$A$1:$I$89,5,0)</f>
        <v>6.7984728957526396E-14</v>
      </c>
      <c r="BF109" s="13">
        <f t="shared" si="91"/>
        <v>1.0682447123141398E-12</v>
      </c>
      <c r="BG109" s="20">
        <f t="shared" si="61"/>
        <v>1.978932943548152E-12</v>
      </c>
      <c r="BH109" s="59">
        <f t="shared" si="62"/>
        <v>293.3333333333353</v>
      </c>
      <c r="BI109" s="59">
        <f ca="1">AVERAGE(OFFSET($BH$3,0,0,'Données projet'!$E$11+1,1))-AVERAGE(OFFSET($H$3,0,0,'Données projet'!$E$11+1,1))</f>
        <v>289.66713787052475</v>
      </c>
      <c r="BJ109" s="59">
        <f t="shared" si="92"/>
        <v>298.29439200198652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2.1924874177903675</v>
      </c>
      <c r="BR109" s="21">
        <f>EXP(-LN(2)/2)*BR108+(1-EXP(-LN(2)/2))/(LN(2)/2)*BL109*BO109*VLOOKUP('Données projet'!$B$11,Paramètres!$A$1:$I$89,3,0)*0.475*44/12</f>
        <v>1.0433894269905081E-10</v>
      </c>
      <c r="BS109" s="22">
        <f t="shared" si="63"/>
        <v>2.1924874178947062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2.5420376914553347E-13</v>
      </c>
      <c r="P110" s="13">
        <f t="shared" si="87"/>
        <v>3.4258699088369875E-12</v>
      </c>
      <c r="Q110" s="20">
        <f t="shared" si="107"/>
        <v>6.4094616558195571E-12</v>
      </c>
      <c r="R110" s="59">
        <f t="shared" si="55"/>
        <v>293.33333333333974</v>
      </c>
      <c r="S110" s="59">
        <f ca="1">AVERAGE(OFFSET($R$3,0,0,'Données projet'!$E$9+1,1))-AVERAGE(OFFSET($H$3,0,0,'Données projet'!$E$9+1,1))</f>
        <v>394.9953131332565</v>
      </c>
      <c r="T110" s="59">
        <f t="shared" si="88"/>
        <v>399.58193819355591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2.2368527928321185</v>
      </c>
      <c r="AA110" s="21">
        <f>EXP(-LN(2)/25)*AA109+(1-EXP(-LN(2)/25))/(LN(2)/25)*Calculateur!V110*Calculateur!X110*VLOOKUP('Données projet'!$B$9,Paramètres!$A$1:$I$89,3,0)*0.475*44/12</f>
        <v>3.9504598499572898</v>
      </c>
      <c r="AB110" s="21">
        <f>EXP(-LN(2)/2)*AB109+(1-EXP(-LN(2)/2))/(LN(2)/2)*V110*Y110*VLOOKUP('Données projet'!$B$9,Paramètres!$A$1:$I$89,3,0)*0.475*44/12</f>
        <v>8.4195338618341342E-11</v>
      </c>
      <c r="AC110" s="22">
        <f t="shared" si="57"/>
        <v>6.1873126428736036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-2.2737367544323206E-13</v>
      </c>
      <c r="AJ110" s="13">
        <f>AI110*VLOOKUP('Données projet'!$B$10,Paramètres!$A$1:$I$89,3,0)*VLOOKUP('Données projet'!$B$10,Paramètres!$A$1:$I$89,5,0)</f>
        <v>-1.0936673788819462E-13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364.67510777943329</v>
      </c>
      <c r="AO110" s="59">
        <f t="shared" si="90"/>
        <v>352.13878061387169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1.9247337984834514</v>
      </c>
      <c r="AV110" s="21">
        <f>EXP(-LN(2)/25)*AV109+(1-EXP(-LN(2)/25))/(LN(2)/25)*Calculateur!AQ110*Calculateur!AS110*VLOOKUP('Données projet'!$B$10,Paramètres!$A$1:$I$89,3,0)*0.475*44/12</f>
        <v>2.1304322149182724</v>
      </c>
      <c r="AW110" s="21">
        <f>EXP(-LN(2)/2)*AW109+(1-EXP(-LN(2)/2))/(LN(2)/2)*AQ110*AT110*VLOOKUP('Données projet'!$B$10,Paramètres!$A$1:$I$89,3,0)*0.475*44/12</f>
        <v>7.0674061642646013E-11</v>
      </c>
      <c r="AX110" s="21">
        <f t="shared" si="60"/>
        <v>4.0551660134723981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1.1368683772161603E-13</v>
      </c>
      <c r="BE110" s="13">
        <f>BD110*VLOOKUP('Données projet'!$B$11,Paramètres!$A$1:$I$89,3,0)*VLOOKUP('Données projet'!$B$11,Paramètres!$A$1:$I$89,5,0)</f>
        <v>6.7984728957526396E-14</v>
      </c>
      <c r="BF110" s="13">
        <f t="shared" si="91"/>
        <v>1.0682447123141398E-12</v>
      </c>
      <c r="BG110" s="20">
        <f t="shared" si="61"/>
        <v>1.978932943548152E-12</v>
      </c>
      <c r="BH110" s="59">
        <f t="shared" si="62"/>
        <v>293.3333333333353</v>
      </c>
      <c r="BI110" s="59">
        <f ca="1">AVERAGE(OFFSET($BH$3,0,0,'Données projet'!$E$11+1,1))-AVERAGE(OFFSET($H$3,0,0,'Données projet'!$E$11+1,1))</f>
        <v>289.66713787052475</v>
      </c>
      <c r="BJ110" s="59">
        <f t="shared" si="92"/>
        <v>298.29439200198652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2.1325337340529877</v>
      </c>
      <c r="BR110" s="21">
        <f>EXP(-LN(2)/2)*BR109+(1-EXP(-LN(2)/2))/(LN(2)/2)*BL110*BO110*VLOOKUP('Données projet'!$B$11,Paramètres!$A$1:$I$89,3,0)*0.475*44/12</f>
        <v>7.377877392433344E-11</v>
      </c>
      <c r="BS110" s="22">
        <f t="shared" si="63"/>
        <v>2.1325337341267665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2.5420376914553347E-13</v>
      </c>
      <c r="P111" s="13">
        <f t="shared" si="87"/>
        <v>3.4258699088369875E-12</v>
      </c>
      <c r="Q111" s="20">
        <f t="shared" si="107"/>
        <v>6.4094616558195571E-12</v>
      </c>
      <c r="R111" s="59">
        <f t="shared" si="55"/>
        <v>293.33333333333974</v>
      </c>
      <c r="S111" s="59">
        <f ca="1">AVERAGE(OFFSET($R$3,0,0,'Données projet'!$E$9+1,1))-AVERAGE(OFFSET($H$3,0,0,'Données projet'!$E$9+1,1))</f>
        <v>394.9953131332565</v>
      </c>
      <c r="T111" s="59">
        <f t="shared" si="88"/>
        <v>399.58193819355591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2.1929894739101665</v>
      </c>
      <c r="AA111" s="21">
        <f>EXP(-LN(2)/25)*AA110+(1-EXP(-LN(2)/25))/(LN(2)/25)*Calculateur!V111*Calculateur!X111*VLOOKUP('Données projet'!$B$9,Paramètres!$A$1:$I$89,3,0)*0.475*44/12</f>
        <v>3.8424343176145532</v>
      </c>
      <c r="AB111" s="21">
        <f>EXP(-LN(2)/2)*AB110+(1-EXP(-LN(2)/2))/(LN(2)/2)*V111*Y111*VLOOKUP('Données projet'!$B$9,Paramètres!$A$1:$I$89,3,0)*0.475*44/12</f>
        <v>5.9535094881326764E-11</v>
      </c>
      <c r="AC111" s="22">
        <f t="shared" si="57"/>
        <v>6.0354237915842548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-2.2737367544323206E-13</v>
      </c>
      <c r="AJ111" s="13">
        <f>AI111*VLOOKUP('Données projet'!$B$10,Paramètres!$A$1:$I$89,3,0)*VLOOKUP('Données projet'!$B$10,Paramètres!$A$1:$I$89,5,0)</f>
        <v>-1.0936673788819462E-13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364.67510777943329</v>
      </c>
      <c r="AO111" s="59">
        <f t="shared" si="90"/>
        <v>352.13878061387169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1.8869909426668878</v>
      </c>
      <c r="AV111" s="21">
        <f>EXP(-LN(2)/25)*AV110+(1-EXP(-LN(2)/25))/(LN(2)/25)*Calculateur!AQ111*Calculateur!AS111*VLOOKUP('Données projet'!$B$10,Paramètres!$A$1:$I$89,3,0)*0.475*44/12</f>
        <v>2.0721754339667711</v>
      </c>
      <c r="AW111" s="21">
        <f>EXP(-LN(2)/2)*AW110+(1-EXP(-LN(2)/2))/(LN(2)/2)*AQ111*AT111*VLOOKUP('Données projet'!$B$10,Paramètres!$A$1:$I$89,3,0)*0.475*44/12</f>
        <v>4.9974108241511067E-11</v>
      </c>
      <c r="AX111" s="21">
        <f t="shared" si="60"/>
        <v>3.9591663766836334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1.1368683772161603E-13</v>
      </c>
      <c r="BE111" s="13">
        <f>BD111*VLOOKUP('Données projet'!$B$11,Paramètres!$A$1:$I$89,3,0)*VLOOKUP('Données projet'!$B$11,Paramètres!$A$1:$I$89,5,0)</f>
        <v>6.7984728957526396E-14</v>
      </c>
      <c r="BF111" s="13">
        <f t="shared" si="91"/>
        <v>1.0682447123141398E-12</v>
      </c>
      <c r="BG111" s="20">
        <f t="shared" si="61"/>
        <v>1.978932943548152E-12</v>
      </c>
      <c r="BH111" s="59">
        <f t="shared" si="62"/>
        <v>293.3333333333353</v>
      </c>
      <c r="BI111" s="59">
        <f ca="1">AVERAGE(OFFSET($BH$3,0,0,'Données projet'!$E$11+1,1))-AVERAGE(OFFSET($H$3,0,0,'Données projet'!$E$11+1,1))</f>
        <v>289.66713787052475</v>
      </c>
      <c r="BJ111" s="59">
        <f t="shared" si="92"/>
        <v>298.29439200198652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2.0742194869502337</v>
      </c>
      <c r="BR111" s="21">
        <f>EXP(-LN(2)/2)*BR110+(1-EXP(-LN(2)/2))/(LN(2)/2)*BL111*BO111*VLOOKUP('Données projet'!$B$11,Paramètres!$A$1:$I$89,3,0)*0.475*44/12</f>
        <v>5.2169471349525405E-11</v>
      </c>
      <c r="BS111" s="22">
        <f t="shared" si="63"/>
        <v>2.0742194870024031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2.5420376914553347E-13</v>
      </c>
      <c r="P112" s="13">
        <f t="shared" si="87"/>
        <v>3.4258699088369875E-12</v>
      </c>
      <c r="Q112" s="20">
        <f t="shared" si="107"/>
        <v>6.4094616558195571E-12</v>
      </c>
      <c r="R112" s="59">
        <f t="shared" si="55"/>
        <v>293.33333333333974</v>
      </c>
      <c r="S112" s="59">
        <f ca="1">AVERAGE(OFFSET($R$3,0,0,'Données projet'!$E$9+1,1))-AVERAGE(OFFSET($H$3,0,0,'Données projet'!$E$9+1,1))</f>
        <v>394.9953131332565</v>
      </c>
      <c r="T112" s="59">
        <f t="shared" si="88"/>
        <v>399.58193819355591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2.1499862879182912</v>
      </c>
      <c r="AA112" s="21">
        <f>EXP(-LN(2)/25)*AA111+(1-EXP(-LN(2)/25))/(LN(2)/25)*Calculateur!V112*Calculateur!X112*VLOOKUP('Données projet'!$B$9,Paramètres!$A$1:$I$89,3,0)*0.475*44/12</f>
        <v>3.7373627491345447</v>
      </c>
      <c r="AB112" s="21">
        <f>EXP(-LN(2)/2)*AB111+(1-EXP(-LN(2)/2))/(LN(2)/2)*V112*Y112*VLOOKUP('Données projet'!$B$9,Paramètres!$A$1:$I$89,3,0)*0.475*44/12</f>
        <v>4.2097669309170671E-11</v>
      </c>
      <c r="AC112" s="22">
        <f t="shared" si="57"/>
        <v>5.8873490370949337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-2.2737367544323206E-13</v>
      </c>
      <c r="AJ112" s="13">
        <f>AI112*VLOOKUP('Données projet'!$B$10,Paramètres!$A$1:$I$89,3,0)*VLOOKUP('Données projet'!$B$10,Paramètres!$A$1:$I$89,5,0)</f>
        <v>-1.0936673788819462E-13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364.67510777943329</v>
      </c>
      <c r="AO112" s="59">
        <f t="shared" si="90"/>
        <v>352.13878061387169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1.8499882012320181</v>
      </c>
      <c r="AV112" s="21">
        <f>EXP(-LN(2)/25)*AV111+(1-EXP(-LN(2)/25))/(LN(2)/25)*Calculateur!AQ112*Calculateur!AS112*VLOOKUP('Données projet'!$B$10,Paramètres!$A$1:$I$89,3,0)*0.475*44/12</f>
        <v>2.0155116877539796</v>
      </c>
      <c r="AW112" s="21">
        <f>EXP(-LN(2)/2)*AW111+(1-EXP(-LN(2)/2))/(LN(2)/2)*AQ112*AT112*VLOOKUP('Données projet'!$B$10,Paramètres!$A$1:$I$89,3,0)*0.475*44/12</f>
        <v>3.5337030821323006E-11</v>
      </c>
      <c r="AX112" s="21">
        <f t="shared" si="60"/>
        <v>3.8654998890213346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1.1368683772161603E-13</v>
      </c>
      <c r="BE112" s="13">
        <f>BD112*VLOOKUP('Données projet'!$B$11,Paramètres!$A$1:$I$89,3,0)*VLOOKUP('Données projet'!$B$11,Paramètres!$A$1:$I$89,5,0)</f>
        <v>6.7984728957526396E-14</v>
      </c>
      <c r="BF112" s="13">
        <f t="shared" si="91"/>
        <v>1.0682447123141398E-12</v>
      </c>
      <c r="BG112" s="20">
        <f t="shared" si="61"/>
        <v>1.978932943548152E-12</v>
      </c>
      <c r="BH112" s="59">
        <f t="shared" si="62"/>
        <v>293.3333333333353</v>
      </c>
      <c r="BI112" s="59">
        <f ca="1">AVERAGE(OFFSET($BH$3,0,0,'Données projet'!$E$11+1,1))-AVERAGE(OFFSET($H$3,0,0,'Données projet'!$E$11+1,1))</f>
        <v>289.66713787052475</v>
      </c>
      <c r="BJ112" s="59">
        <f t="shared" si="92"/>
        <v>298.29439200198652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2.0174998460011175</v>
      </c>
      <c r="BR112" s="21">
        <f>EXP(-LN(2)/2)*BR111+(1-EXP(-LN(2)/2))/(LN(2)/2)*BL112*BO112*VLOOKUP('Données projet'!$B$11,Paramètres!$A$1:$I$89,3,0)*0.475*44/12</f>
        <v>3.688938696216672E-11</v>
      </c>
      <c r="BS112" s="22">
        <f t="shared" si="63"/>
        <v>2.0174998460380071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2.5420376914553347E-13</v>
      </c>
      <c r="P113" s="13">
        <f t="shared" si="87"/>
        <v>3.4258699088369875E-12</v>
      </c>
      <c r="Q113" s="20">
        <f t="shared" si="107"/>
        <v>6.4094616558195571E-12</v>
      </c>
      <c r="R113" s="59">
        <f t="shared" si="55"/>
        <v>293.33333333333974</v>
      </c>
      <c r="S113" s="59">
        <f ca="1">AVERAGE(OFFSET($R$3,0,0,'Données projet'!$E$9+1,1))-AVERAGE(OFFSET($H$3,0,0,'Données projet'!$E$9+1,1))</f>
        <v>394.9953131332565</v>
      </c>
      <c r="T113" s="59">
        <f t="shared" si="88"/>
        <v>399.58193819355591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2.1078263681743628</v>
      </c>
      <c r="AA113" s="21">
        <f>EXP(-LN(2)/25)*AA112+(1-EXP(-LN(2)/25))/(LN(2)/25)*Calculateur!V113*Calculateur!X113*VLOOKUP('Données projet'!$B$9,Paramètres!$A$1:$I$89,3,0)*0.475*44/12</f>
        <v>3.6351643682200954</v>
      </c>
      <c r="AB113" s="21">
        <f>EXP(-LN(2)/2)*AB112+(1-EXP(-LN(2)/2))/(LN(2)/2)*V113*Y113*VLOOKUP('Données projet'!$B$9,Paramètres!$A$1:$I$89,3,0)*0.475*44/12</f>
        <v>2.9767547440663382E-11</v>
      </c>
      <c r="AC113" s="22">
        <f t="shared" si="57"/>
        <v>5.7429907364242254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-2.2737367544323206E-13</v>
      </c>
      <c r="AJ113" s="13">
        <f>AI113*VLOOKUP('Données projet'!$B$10,Paramètres!$A$1:$I$89,3,0)*VLOOKUP('Données projet'!$B$10,Paramètres!$A$1:$I$89,5,0)</f>
        <v>-1.0936673788819462E-13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364.67510777943329</v>
      </c>
      <c r="AO113" s="59">
        <f t="shared" si="90"/>
        <v>352.13878061387169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1.8137110609872427</v>
      </c>
      <c r="AV113" s="21">
        <f>EXP(-LN(2)/25)*AV112+(1-EXP(-LN(2)/25))/(LN(2)/25)*Calculateur!AQ113*Calculateur!AS113*VLOOKUP('Données projet'!$B$10,Paramètres!$A$1:$I$89,3,0)*0.475*44/12</f>
        <v>1.9603974146611938</v>
      </c>
      <c r="AW113" s="21">
        <f>EXP(-LN(2)/2)*AW112+(1-EXP(-LN(2)/2))/(LN(2)/2)*AQ113*AT113*VLOOKUP('Données projet'!$B$10,Paramètres!$A$1:$I$89,3,0)*0.475*44/12</f>
        <v>2.4987054120755533E-11</v>
      </c>
      <c r="AX113" s="21">
        <f t="shared" si="60"/>
        <v>3.7741084756734233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1.1368683772161603E-13</v>
      </c>
      <c r="BE113" s="13">
        <f>BD113*VLOOKUP('Données projet'!$B$11,Paramètres!$A$1:$I$89,3,0)*VLOOKUP('Données projet'!$B$11,Paramètres!$A$1:$I$89,5,0)</f>
        <v>6.7984728957526396E-14</v>
      </c>
      <c r="BF113" s="13">
        <f t="shared" si="91"/>
        <v>1.0682447123141398E-12</v>
      </c>
      <c r="BG113" s="20">
        <f t="shared" si="61"/>
        <v>1.978932943548152E-12</v>
      </c>
      <c r="BH113" s="59">
        <f t="shared" si="62"/>
        <v>293.3333333333353</v>
      </c>
      <c r="BI113" s="59">
        <f ca="1">AVERAGE(OFFSET($BH$3,0,0,'Données projet'!$E$11+1,1))-AVERAGE(OFFSET($H$3,0,0,'Données projet'!$E$11+1,1))</f>
        <v>289.66713787052475</v>
      </c>
      <c r="BJ113" s="59">
        <f t="shared" si="92"/>
        <v>298.29439200198652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1.9623312066165111</v>
      </c>
      <c r="BR113" s="21">
        <f>EXP(-LN(2)/2)*BR112+(1-EXP(-LN(2)/2))/(LN(2)/2)*BL113*BO113*VLOOKUP('Données projet'!$B$11,Paramètres!$A$1:$I$89,3,0)*0.475*44/12</f>
        <v>2.6084735674762702E-11</v>
      </c>
      <c r="BS113" s="22">
        <f t="shared" si="63"/>
        <v>1.9623312066425957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2.5420376914553347E-13</v>
      </c>
      <c r="P114" s="13">
        <f t="shared" si="87"/>
        <v>3.4258699088369875E-12</v>
      </c>
      <c r="Q114" s="20">
        <f t="shared" si="107"/>
        <v>6.4094616558195571E-12</v>
      </c>
      <c r="R114" s="59">
        <f t="shared" si="55"/>
        <v>293.33333333333974</v>
      </c>
      <c r="S114" s="59">
        <f ca="1">AVERAGE(OFFSET($R$3,0,0,'Données projet'!$E$9+1,1))-AVERAGE(OFFSET($H$3,0,0,'Données projet'!$E$9+1,1))</f>
        <v>394.9953131332565</v>
      </c>
      <c r="T114" s="59">
        <f t="shared" si="88"/>
        <v>399.58193819355591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2.066493178741601</v>
      </c>
      <c r="AA114" s="21">
        <f>EXP(-LN(2)/25)*AA113+(1-EXP(-LN(2)/25))/(LN(2)/25)*Calculateur!V114*Calculateur!X114*VLOOKUP('Données projet'!$B$9,Paramètres!$A$1:$I$89,3,0)*0.475*44/12</f>
        <v>3.535760607406131</v>
      </c>
      <c r="AB114" s="21">
        <f>EXP(-LN(2)/2)*AB113+(1-EXP(-LN(2)/2))/(LN(2)/2)*V114*Y114*VLOOKUP('Données projet'!$B$9,Paramètres!$A$1:$I$89,3,0)*0.475*44/12</f>
        <v>2.1048834654585336E-11</v>
      </c>
      <c r="AC114" s="22">
        <f t="shared" si="57"/>
        <v>5.6022537861687809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-2.2737367544323206E-13</v>
      </c>
      <c r="AJ114" s="13">
        <f>AI114*VLOOKUP('Données projet'!$B$10,Paramètres!$A$1:$I$89,3,0)*VLOOKUP('Données projet'!$B$10,Paramètres!$A$1:$I$89,5,0)</f>
        <v>-1.0936673788819462E-13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364.67510777943329</v>
      </c>
      <c r="AO114" s="59">
        <f t="shared" si="90"/>
        <v>352.13878061387169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1.7781452933357964</v>
      </c>
      <c r="AV114" s="21">
        <f>EXP(-LN(2)/25)*AV113+(1-EXP(-LN(2)/25))/(LN(2)/25)*Calculateur!AQ114*Calculateur!AS114*VLOOKUP('Données projet'!$B$10,Paramètres!$A$1:$I$89,3,0)*0.475*44/12</f>
        <v>1.906790244264464</v>
      </c>
      <c r="AW114" s="21">
        <f>EXP(-LN(2)/2)*AW113+(1-EXP(-LN(2)/2))/(LN(2)/2)*AQ114*AT114*VLOOKUP('Données projet'!$B$10,Paramètres!$A$1:$I$89,3,0)*0.475*44/12</f>
        <v>1.7668515410661503E-11</v>
      </c>
      <c r="AX114" s="21">
        <f t="shared" si="60"/>
        <v>3.6849355376179291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1.1368683772161603E-13</v>
      </c>
      <c r="BE114" s="13">
        <f>BD114*VLOOKUP('Données projet'!$B$11,Paramètres!$A$1:$I$89,3,0)*VLOOKUP('Données projet'!$B$11,Paramètres!$A$1:$I$89,5,0)</f>
        <v>6.7984728957526396E-14</v>
      </c>
      <c r="BF114" s="13">
        <f t="shared" si="91"/>
        <v>1.0682447123141398E-12</v>
      </c>
      <c r="BG114" s="20">
        <f t="shared" si="61"/>
        <v>1.978932943548152E-12</v>
      </c>
      <c r="BH114" s="59">
        <f t="shared" si="62"/>
        <v>293.3333333333353</v>
      </c>
      <c r="BI114" s="59">
        <f ca="1">AVERAGE(OFFSET($BH$3,0,0,'Données projet'!$E$11+1,1))-AVERAGE(OFFSET($H$3,0,0,'Données projet'!$E$11+1,1))</f>
        <v>289.66713787052475</v>
      </c>
      <c r="BJ114" s="59">
        <f t="shared" si="92"/>
        <v>298.29439200198652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1.9086711565770693</v>
      </c>
      <c r="BR114" s="21">
        <f>EXP(-LN(2)/2)*BR113+(1-EXP(-LN(2)/2))/(LN(2)/2)*BL114*BO114*VLOOKUP('Données projet'!$B$11,Paramètres!$A$1:$I$89,3,0)*0.475*44/12</f>
        <v>1.844469348108336E-11</v>
      </c>
      <c r="BS114" s="22">
        <f t="shared" si="63"/>
        <v>1.9086711565955141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2.5420376914553347E-13</v>
      </c>
      <c r="P115" s="13">
        <f t="shared" si="87"/>
        <v>3.4258699088369875E-12</v>
      </c>
      <c r="Q115" s="20">
        <f t="shared" si="107"/>
        <v>6.4094616558195571E-12</v>
      </c>
      <c r="R115" s="59">
        <f t="shared" si="55"/>
        <v>293.33333333333974</v>
      </c>
      <c r="S115" s="59">
        <f ca="1">AVERAGE(OFFSET($R$3,0,0,'Données projet'!$E$9+1,1))-AVERAGE(OFFSET($H$3,0,0,'Données projet'!$E$9+1,1))</f>
        <v>394.9953131332565</v>
      </c>
      <c r="T115" s="59">
        <f t="shared" si="88"/>
        <v>399.58193819355591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2.0259705079428594</v>
      </c>
      <c r="AA115" s="21">
        <f>EXP(-LN(2)/25)*AA114+(1-EXP(-LN(2)/25))/(LN(2)/25)*Calculateur!V115*Calculateur!X115*VLOOKUP('Données projet'!$B$9,Paramètres!$A$1:$I$89,3,0)*0.475*44/12</f>
        <v>3.439075047659041</v>
      </c>
      <c r="AB115" s="21">
        <f>EXP(-LN(2)/2)*AB114+(1-EXP(-LN(2)/2))/(LN(2)/2)*V115*Y115*VLOOKUP('Données projet'!$B$9,Paramètres!$A$1:$I$89,3,0)*0.475*44/12</f>
        <v>1.4883773720331691E-11</v>
      </c>
      <c r="AC115" s="22">
        <f t="shared" si="57"/>
        <v>5.4650455556167845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-2.2737367544323206E-13</v>
      </c>
      <c r="AJ115" s="13">
        <f>AI115*VLOOKUP('Données projet'!$B$10,Paramètres!$A$1:$I$89,3,0)*VLOOKUP('Données projet'!$B$10,Paramètres!$A$1:$I$89,5,0)</f>
        <v>-1.0936673788819462E-13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364.67510777943329</v>
      </c>
      <c r="AO115" s="59">
        <f t="shared" si="90"/>
        <v>352.13878061387169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1.7432769486950188</v>
      </c>
      <c r="AV115" s="21">
        <f>EXP(-LN(2)/25)*AV114+(1-EXP(-LN(2)/25))/(LN(2)/25)*Calculateur!AQ115*Calculateur!AS115*VLOOKUP('Données projet'!$B$10,Paramètres!$A$1:$I$89,3,0)*0.475*44/12</f>
        <v>1.8546489647613114</v>
      </c>
      <c r="AW115" s="21">
        <f>EXP(-LN(2)/2)*AW114+(1-EXP(-LN(2)/2))/(LN(2)/2)*AQ115*AT115*VLOOKUP('Données projet'!$B$10,Paramètres!$A$1:$I$89,3,0)*0.475*44/12</f>
        <v>1.2493527060377767E-11</v>
      </c>
      <c r="AX115" s="21">
        <f t="shared" si="60"/>
        <v>3.5979259134688237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1.1368683772161603E-13</v>
      </c>
      <c r="BE115" s="13">
        <f>BD115*VLOOKUP('Données projet'!$B$11,Paramètres!$A$1:$I$89,3,0)*VLOOKUP('Données projet'!$B$11,Paramètres!$A$1:$I$89,5,0)</f>
        <v>6.7984728957526396E-14</v>
      </c>
      <c r="BF115" s="13">
        <f t="shared" si="91"/>
        <v>1.0682447123141398E-12</v>
      </c>
      <c r="BG115" s="20">
        <f t="shared" si="61"/>
        <v>1.978932943548152E-12</v>
      </c>
      <c r="BH115" s="59">
        <f t="shared" si="62"/>
        <v>293.3333333333353</v>
      </c>
      <c r="BI115" s="59">
        <f ca="1">AVERAGE(OFFSET($BH$3,0,0,'Données projet'!$E$11+1,1))-AVERAGE(OFFSET($H$3,0,0,'Données projet'!$E$11+1,1))</f>
        <v>289.66713787052475</v>
      </c>
      <c r="BJ115" s="59">
        <f t="shared" si="92"/>
        <v>298.29439200198652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1.8564784434278156</v>
      </c>
      <c r="BR115" s="21">
        <f>EXP(-LN(2)/2)*BR114+(1-EXP(-LN(2)/2))/(LN(2)/2)*BL115*BO115*VLOOKUP('Données projet'!$B$11,Paramètres!$A$1:$I$89,3,0)*0.475*44/12</f>
        <v>1.3042367837381351E-11</v>
      </c>
      <c r="BS115" s="22">
        <f t="shared" si="63"/>
        <v>1.8564784434408581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2.5420376914553347E-13</v>
      </c>
      <c r="P116" s="13">
        <f t="shared" si="87"/>
        <v>3.4258699088369875E-12</v>
      </c>
      <c r="Q116" s="20">
        <f t="shared" si="107"/>
        <v>6.4094616558195571E-12</v>
      </c>
      <c r="R116" s="59">
        <f t="shared" si="55"/>
        <v>293.33333333333974</v>
      </c>
      <c r="S116" s="59">
        <f ca="1">AVERAGE(OFFSET($R$3,0,0,'Données projet'!$E$9+1,1))-AVERAGE(OFFSET($H$3,0,0,'Données projet'!$E$9+1,1))</f>
        <v>394.9953131332565</v>
      </c>
      <c r="T116" s="59">
        <f t="shared" si="88"/>
        <v>399.58193819355591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1.9862424620020926</v>
      </c>
      <c r="AA116" s="21">
        <f>EXP(-LN(2)/25)*AA115+(1-EXP(-LN(2)/25))/(LN(2)/25)*Calculateur!V116*Calculateur!X116*VLOOKUP('Données projet'!$B$9,Paramètres!$A$1:$I$89,3,0)*0.475*44/12</f>
        <v>3.345033359627708</v>
      </c>
      <c r="AB116" s="21">
        <f>EXP(-LN(2)/2)*AB115+(1-EXP(-LN(2)/2))/(LN(2)/2)*V116*Y116*VLOOKUP('Données projet'!$B$9,Paramètres!$A$1:$I$89,3,0)*0.475*44/12</f>
        <v>1.0524417327292668E-11</v>
      </c>
      <c r="AC116" s="22">
        <f t="shared" si="57"/>
        <v>5.3312758216403244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-2.2737367544323206E-13</v>
      </c>
      <c r="AJ116" s="13">
        <f>AI116*VLOOKUP('Données projet'!$B$10,Paramètres!$A$1:$I$89,3,0)*VLOOKUP('Données projet'!$B$10,Paramètres!$A$1:$I$89,5,0)</f>
        <v>-1.0936673788819462E-13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364.67510777943329</v>
      </c>
      <c r="AO116" s="59">
        <f t="shared" si="90"/>
        <v>352.13878061387169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1.7090923510250566</v>
      </c>
      <c r="AV116" s="21">
        <f>EXP(-LN(2)/25)*AV115+(1-EXP(-LN(2)/25))/(LN(2)/25)*Calculateur!AQ116*Calculateur!AS116*VLOOKUP('Données projet'!$B$10,Paramètres!$A$1:$I$89,3,0)*0.475*44/12</f>
        <v>1.803933491288163</v>
      </c>
      <c r="AW116" s="21">
        <f>EXP(-LN(2)/2)*AW115+(1-EXP(-LN(2)/2))/(LN(2)/2)*AQ116*AT116*VLOOKUP('Données projet'!$B$10,Paramètres!$A$1:$I$89,3,0)*0.475*44/12</f>
        <v>8.8342577053307516E-12</v>
      </c>
      <c r="AX116" s="21">
        <f t="shared" si="60"/>
        <v>3.5130258423220542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1.1368683772161603E-13</v>
      </c>
      <c r="BE116" s="13">
        <f>BD116*VLOOKUP('Données projet'!$B$11,Paramètres!$A$1:$I$89,3,0)*VLOOKUP('Données projet'!$B$11,Paramètres!$A$1:$I$89,5,0)</f>
        <v>6.7984728957526396E-14</v>
      </c>
      <c r="BF116" s="13">
        <f t="shared" si="91"/>
        <v>1.0682447123141398E-12</v>
      </c>
      <c r="BG116" s="20">
        <f t="shared" si="61"/>
        <v>1.978932943548152E-12</v>
      </c>
      <c r="BH116" s="59">
        <f t="shared" si="62"/>
        <v>293.3333333333353</v>
      </c>
      <c r="BI116" s="59">
        <f ca="1">AVERAGE(OFFSET($BH$3,0,0,'Données projet'!$E$11+1,1))-AVERAGE(OFFSET($H$3,0,0,'Données projet'!$E$11+1,1))</f>
        <v>289.66713787052475</v>
      </c>
      <c r="BJ116" s="59">
        <f t="shared" si="92"/>
        <v>298.29439200198652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1.8057129427643237</v>
      </c>
      <c r="BR116" s="21">
        <f>EXP(-LN(2)/2)*BR115+(1-EXP(-LN(2)/2))/(LN(2)/2)*BL116*BO116*VLOOKUP('Données projet'!$B$11,Paramètres!$A$1:$I$89,3,0)*0.475*44/12</f>
        <v>9.2223467405416799E-12</v>
      </c>
      <c r="BS116" s="22">
        <f t="shared" si="63"/>
        <v>1.8057129427735461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2.5420376914553347E-13</v>
      </c>
      <c r="P117" s="13">
        <f t="shared" si="87"/>
        <v>3.4258699088369875E-12</v>
      </c>
      <c r="Q117" s="20">
        <f t="shared" si="107"/>
        <v>6.4094616558195571E-12</v>
      </c>
      <c r="R117" s="59">
        <f t="shared" si="55"/>
        <v>293.33333333333974</v>
      </c>
      <c r="S117" s="59">
        <f ca="1">AVERAGE(OFFSET($R$3,0,0,'Données projet'!$E$9+1,1))-AVERAGE(OFFSET($H$3,0,0,'Données projet'!$E$9+1,1))</f>
        <v>394.9953131332565</v>
      </c>
      <c r="T117" s="59">
        <f t="shared" si="88"/>
        <v>399.58193819355591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1.9472934588105089</v>
      </c>
      <c r="AA117" s="21">
        <f>EXP(-LN(2)/25)*AA116+(1-EXP(-LN(2)/25))/(LN(2)/25)*Calculateur!V117*Calculateur!X117*VLOOKUP('Données projet'!$B$9,Paramètres!$A$1:$I$89,3,0)*0.475*44/12</f>
        <v>3.2535632465010291</v>
      </c>
      <c r="AB117" s="21">
        <f>EXP(-LN(2)/2)*AB116+(1-EXP(-LN(2)/2))/(LN(2)/2)*V117*Y117*VLOOKUP('Données projet'!$B$9,Paramètres!$A$1:$I$89,3,0)*0.475*44/12</f>
        <v>7.4418868601658455E-12</v>
      </c>
      <c r="AC117" s="22">
        <f t="shared" si="57"/>
        <v>5.20085670531898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-2.2737367544323206E-13</v>
      </c>
      <c r="AJ117" s="13">
        <f>AI117*VLOOKUP('Données projet'!$B$10,Paramètres!$A$1:$I$89,3,0)*VLOOKUP('Données projet'!$B$10,Paramètres!$A$1:$I$89,5,0)</f>
        <v>-1.0936673788819462E-13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364.67510777943329</v>
      </c>
      <c r="AO117" s="59">
        <f t="shared" si="90"/>
        <v>352.13878061387169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1.6755780924648567</v>
      </c>
      <c r="AV117" s="21">
        <f>EXP(-LN(2)/25)*AV116+(1-EXP(-LN(2)/25))/(LN(2)/25)*Calculateur!AQ117*Calculateur!AS117*VLOOKUP('Données projet'!$B$10,Paramètres!$A$1:$I$89,3,0)*0.475*44/12</f>
        <v>1.7546048351041488</v>
      </c>
      <c r="AW117" s="21">
        <f>EXP(-LN(2)/2)*AW116+(1-EXP(-LN(2)/2))/(LN(2)/2)*AQ117*AT117*VLOOKUP('Données projet'!$B$10,Paramètres!$A$1:$I$89,3,0)*0.475*44/12</f>
        <v>6.2467635301888833E-12</v>
      </c>
      <c r="AX117" s="21">
        <f t="shared" si="60"/>
        <v>3.430182927575252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1.1368683772161603E-13</v>
      </c>
      <c r="BE117" s="13">
        <f>BD117*VLOOKUP('Données projet'!$B$11,Paramètres!$A$1:$I$89,3,0)*VLOOKUP('Données projet'!$B$11,Paramètres!$A$1:$I$89,5,0)</f>
        <v>6.7984728957526396E-14</v>
      </c>
      <c r="BF117" s="13">
        <f t="shared" si="91"/>
        <v>1.0682447123141398E-12</v>
      </c>
      <c r="BG117" s="20">
        <f t="shared" si="61"/>
        <v>1.978932943548152E-12</v>
      </c>
      <c r="BH117" s="59">
        <f t="shared" si="62"/>
        <v>293.3333333333353</v>
      </c>
      <c r="BI117" s="59">
        <f ca="1">AVERAGE(OFFSET($BH$3,0,0,'Données projet'!$E$11+1,1))-AVERAGE(OFFSET($H$3,0,0,'Données projet'!$E$11+1,1))</f>
        <v>289.66713787052475</v>
      </c>
      <c r="BJ117" s="59">
        <f t="shared" si="92"/>
        <v>298.29439200198652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1.7563356273861166</v>
      </c>
      <c r="BR117" s="21">
        <f>EXP(-LN(2)/2)*BR116+(1-EXP(-LN(2)/2))/(LN(2)/2)*BL117*BO117*VLOOKUP('Données projet'!$B$11,Paramètres!$A$1:$I$89,3,0)*0.475*44/12</f>
        <v>6.5211839186906756E-12</v>
      </c>
      <c r="BS117" s="22">
        <f t="shared" si="63"/>
        <v>1.7563356273926378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2.5420376914553347E-13</v>
      </c>
      <c r="P118" s="13">
        <f t="shared" si="87"/>
        <v>3.4258699088369875E-12</v>
      </c>
      <c r="Q118" s="20">
        <f t="shared" si="107"/>
        <v>6.4094616558195571E-12</v>
      </c>
      <c r="R118" s="59">
        <f t="shared" si="55"/>
        <v>293.33333333333974</v>
      </c>
      <c r="S118" s="59">
        <f ca="1">AVERAGE(OFFSET($R$3,0,0,'Données projet'!$E$9+1,1))-AVERAGE(OFFSET($H$3,0,0,'Données projet'!$E$9+1,1))</f>
        <v>394.9953131332565</v>
      </c>
      <c r="T118" s="59">
        <f t="shared" si="88"/>
        <v>399.58193819355591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1.909108221814966</v>
      </c>
      <c r="AA118" s="21">
        <f>EXP(-LN(2)/25)*AA117+(1-EXP(-LN(2)/25))/(LN(2)/25)*Calculateur!V118*Calculateur!X118*VLOOKUP('Données projet'!$B$9,Paramètres!$A$1:$I$89,3,0)*0.475*44/12</f>
        <v>3.1645943884280037</v>
      </c>
      <c r="AB118" s="21">
        <f>EXP(-LN(2)/2)*AB117+(1-EXP(-LN(2)/2))/(LN(2)/2)*V118*Y118*VLOOKUP('Données projet'!$B$9,Paramètres!$A$1:$I$89,3,0)*0.475*44/12</f>
        <v>5.2622086636463339E-12</v>
      </c>
      <c r="AC118" s="22">
        <f t="shared" si="57"/>
        <v>5.0737026102482323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-2.2737367544323206E-13</v>
      </c>
      <c r="AJ118" s="13">
        <f>AI118*VLOOKUP('Données projet'!$B$10,Paramètres!$A$1:$I$89,3,0)*VLOOKUP('Données projet'!$B$10,Paramètres!$A$1:$I$89,5,0)</f>
        <v>-1.0936673788819462E-13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364.67510777943329</v>
      </c>
      <c r="AO118" s="59">
        <f t="shared" si="90"/>
        <v>352.13878061387169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1.6427210280733429</v>
      </c>
      <c r="AV118" s="21">
        <f>EXP(-LN(2)/25)*AV117+(1-EXP(-LN(2)/25))/(LN(2)/25)*Calculateur!AQ118*Calculateur!AS118*VLOOKUP('Données projet'!$B$10,Paramètres!$A$1:$I$89,3,0)*0.475*44/12</f>
        <v>1.7066250736175677</v>
      </c>
      <c r="AW118" s="21">
        <f>EXP(-LN(2)/2)*AW117+(1-EXP(-LN(2)/2))/(LN(2)/2)*AQ118*AT118*VLOOKUP('Données projet'!$B$10,Paramètres!$A$1:$I$89,3,0)*0.475*44/12</f>
        <v>4.4171288526653758E-12</v>
      </c>
      <c r="AX118" s="21">
        <f t="shared" si="60"/>
        <v>3.3493461016953274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1.1368683772161603E-13</v>
      </c>
      <c r="BE118" s="13">
        <f>BD118*VLOOKUP('Données projet'!$B$11,Paramètres!$A$1:$I$89,3,0)*VLOOKUP('Données projet'!$B$11,Paramètres!$A$1:$I$89,5,0)</f>
        <v>6.7984728957526396E-14</v>
      </c>
      <c r="BF118" s="13">
        <f t="shared" si="91"/>
        <v>1.0682447123141398E-12</v>
      </c>
      <c r="BG118" s="20">
        <f t="shared" si="61"/>
        <v>1.978932943548152E-12</v>
      </c>
      <c r="BH118" s="59">
        <f t="shared" si="62"/>
        <v>293.3333333333353</v>
      </c>
      <c r="BI118" s="59">
        <f ca="1">AVERAGE(OFFSET($BH$3,0,0,'Données projet'!$E$11+1,1))-AVERAGE(OFFSET($H$3,0,0,'Données projet'!$E$11+1,1))</f>
        <v>289.66713787052475</v>
      </c>
      <c r="BJ118" s="59">
        <f t="shared" si="92"/>
        <v>298.29439200198652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1.7083085372935667</v>
      </c>
      <c r="BR118" s="21">
        <f>EXP(-LN(2)/2)*BR117+(1-EXP(-LN(2)/2))/(LN(2)/2)*BL118*BO118*VLOOKUP('Données projet'!$B$11,Paramètres!$A$1:$I$89,3,0)*0.475*44/12</f>
        <v>4.61117337027084E-12</v>
      </c>
      <c r="BS118" s="22">
        <f t="shared" si="63"/>
        <v>1.7083085372981779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2.5420376914553347E-13</v>
      </c>
      <c r="P119" s="13">
        <f t="shared" si="87"/>
        <v>3.4258699088369875E-12</v>
      </c>
      <c r="Q119" s="20">
        <f t="shared" si="107"/>
        <v>6.4094616558195571E-12</v>
      </c>
      <c r="R119" s="59">
        <f t="shared" si="55"/>
        <v>293.33333333333974</v>
      </c>
      <c r="S119" s="59">
        <f ca="1">AVERAGE(OFFSET($R$3,0,0,'Données projet'!$E$9+1,1))-AVERAGE(OFFSET($H$3,0,0,'Données projet'!$E$9+1,1))</f>
        <v>394.9953131332565</v>
      </c>
      <c r="T119" s="59">
        <f t="shared" si="88"/>
        <v>399.58193819355591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1.8716717740262108</v>
      </c>
      <c r="AA119" s="21">
        <f>EXP(-LN(2)/25)*AA118+(1-EXP(-LN(2)/25))/(LN(2)/25)*Calculateur!V119*Calculateur!X119*VLOOKUP('Données projet'!$B$9,Paramètres!$A$1:$I$89,3,0)*0.475*44/12</f>
        <v>3.078058388457654</v>
      </c>
      <c r="AB119" s="21">
        <f>EXP(-LN(2)/2)*AB118+(1-EXP(-LN(2)/2))/(LN(2)/2)*V119*Y119*VLOOKUP('Données projet'!$B$9,Paramètres!$A$1:$I$89,3,0)*0.475*44/12</f>
        <v>3.7209434300829227E-12</v>
      </c>
      <c r="AC119" s="22">
        <f t="shared" si="57"/>
        <v>4.9497301624875858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-2.2737367544323206E-13</v>
      </c>
      <c r="AJ119" s="13">
        <f>AI119*VLOOKUP('Données projet'!$B$10,Paramètres!$A$1:$I$89,3,0)*VLOOKUP('Données projet'!$B$10,Paramètres!$A$1:$I$89,5,0)</f>
        <v>-1.0936673788819462E-13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364.67510777943329</v>
      </c>
      <c r="AO119" s="59">
        <f t="shared" si="90"/>
        <v>352.13878061387169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1.6105082706737164</v>
      </c>
      <c r="AV119" s="21">
        <f>EXP(-LN(2)/25)*AV118+(1-EXP(-LN(2)/25))/(LN(2)/25)*Calculateur!AQ119*Calculateur!AS119*VLOOKUP('Données projet'!$B$10,Paramètres!$A$1:$I$89,3,0)*0.475*44/12</f>
        <v>1.6599573212319831</v>
      </c>
      <c r="AW119" s="21">
        <f>EXP(-LN(2)/2)*AW118+(1-EXP(-LN(2)/2))/(LN(2)/2)*AQ119*AT119*VLOOKUP('Données projet'!$B$10,Paramètres!$A$1:$I$89,3,0)*0.475*44/12</f>
        <v>3.1233817650944417E-12</v>
      </c>
      <c r="AX119" s="21">
        <f t="shared" si="60"/>
        <v>3.2704655919088226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1.1368683772161603E-13</v>
      </c>
      <c r="BE119" s="13">
        <f>BD119*VLOOKUP('Données projet'!$B$11,Paramètres!$A$1:$I$89,3,0)*VLOOKUP('Données projet'!$B$11,Paramètres!$A$1:$I$89,5,0)</f>
        <v>6.7984728957526396E-14</v>
      </c>
      <c r="BF119" s="13">
        <f t="shared" si="91"/>
        <v>1.0682447123141398E-12</v>
      </c>
      <c r="BG119" s="20">
        <f t="shared" si="61"/>
        <v>1.978932943548152E-12</v>
      </c>
      <c r="BH119" s="59">
        <f t="shared" si="62"/>
        <v>293.3333333333353</v>
      </c>
      <c r="BI119" s="59">
        <f ca="1">AVERAGE(OFFSET($BH$3,0,0,'Données projet'!$E$11+1,1))-AVERAGE(OFFSET($H$3,0,0,'Données projet'!$E$11+1,1))</f>
        <v>289.66713787052475</v>
      </c>
      <c r="BJ119" s="59">
        <f t="shared" si="92"/>
        <v>298.29439200198652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1.6615947505052324</v>
      </c>
      <c r="BR119" s="21">
        <f>EXP(-LN(2)/2)*BR118+(1-EXP(-LN(2)/2))/(LN(2)/2)*BL119*BO119*VLOOKUP('Données projet'!$B$11,Paramètres!$A$1:$I$89,3,0)*0.475*44/12</f>
        <v>3.2605919593453378E-12</v>
      </c>
      <c r="BS119" s="22">
        <f t="shared" si="63"/>
        <v>1.6615947505084929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2.5420376914553347E-13</v>
      </c>
      <c r="P120" s="13">
        <f t="shared" si="87"/>
        <v>3.4258699088369875E-12</v>
      </c>
      <c r="Q120" s="20">
        <f t="shared" si="107"/>
        <v>6.4094616558195571E-12</v>
      </c>
      <c r="R120" s="59">
        <f t="shared" si="55"/>
        <v>293.33333333333974</v>
      </c>
      <c r="S120" s="59">
        <f ca="1">AVERAGE(OFFSET($R$3,0,0,'Données projet'!$E$9+1,1))-AVERAGE(OFFSET($H$3,0,0,'Données projet'!$E$9+1,1))</f>
        <v>394.9953131332565</v>
      </c>
      <c r="T120" s="59">
        <f t="shared" si="88"/>
        <v>399.58193819355591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1.8349694321446146</v>
      </c>
      <c r="AA120" s="21">
        <f>EXP(-LN(2)/25)*AA119+(1-EXP(-LN(2)/25))/(LN(2)/25)*Calculateur!V120*Calculateur!X120*VLOOKUP('Données projet'!$B$9,Paramètres!$A$1:$I$89,3,0)*0.475*44/12</f>
        <v>2.9938887199572237</v>
      </c>
      <c r="AB120" s="21">
        <f>EXP(-LN(2)/2)*AB119+(1-EXP(-LN(2)/2))/(LN(2)/2)*V120*Y120*VLOOKUP('Données projet'!$B$9,Paramètres!$A$1:$I$89,3,0)*0.475*44/12</f>
        <v>2.6311043318231669E-12</v>
      </c>
      <c r="AC120" s="22">
        <f t="shared" si="57"/>
        <v>4.8288581521044689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-2.2737367544323206E-13</v>
      </c>
      <c r="AJ120" s="13">
        <f>AI120*VLOOKUP('Données projet'!$B$10,Paramètres!$A$1:$I$89,3,0)*VLOOKUP('Données projet'!$B$10,Paramètres!$A$1:$I$89,5,0)</f>
        <v>-1.0936673788819462E-13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364.67510777943329</v>
      </c>
      <c r="AO120" s="59">
        <f t="shared" si="90"/>
        <v>352.13878061387169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1.5789271857988545</v>
      </c>
      <c r="AV120" s="21">
        <f>EXP(-LN(2)/25)*AV119+(1-EXP(-LN(2)/25))/(LN(2)/25)*Calculateur!AQ120*Calculateur!AS120*VLOOKUP('Données projet'!$B$10,Paramètres!$A$1:$I$89,3,0)*0.475*44/12</f>
        <v>1.6145657009895329</v>
      </c>
      <c r="AW120" s="21">
        <f>EXP(-LN(2)/2)*AW119+(1-EXP(-LN(2)/2))/(LN(2)/2)*AQ120*AT120*VLOOKUP('Données projet'!$B$10,Paramètres!$A$1:$I$89,3,0)*0.475*44/12</f>
        <v>2.2085644263326879E-12</v>
      </c>
      <c r="AX120" s="21">
        <f t="shared" si="60"/>
        <v>3.1934928867905961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1.1368683772161603E-13</v>
      </c>
      <c r="BE120" s="13">
        <f>BD120*VLOOKUP('Données projet'!$B$11,Paramètres!$A$1:$I$89,3,0)*VLOOKUP('Données projet'!$B$11,Paramètres!$A$1:$I$89,5,0)</f>
        <v>6.7984728957526396E-14</v>
      </c>
      <c r="BF120" s="13">
        <f t="shared" si="91"/>
        <v>1.0682447123141398E-12</v>
      </c>
      <c r="BG120" s="20">
        <f t="shared" si="61"/>
        <v>1.978932943548152E-12</v>
      </c>
      <c r="BH120" s="59">
        <f t="shared" si="62"/>
        <v>293.3333333333353</v>
      </c>
      <c r="BI120" s="59">
        <f ca="1">AVERAGE(OFFSET($BH$3,0,0,'Données projet'!$E$11+1,1))-AVERAGE(OFFSET($H$3,0,0,'Données projet'!$E$11+1,1))</f>
        <v>289.66713787052475</v>
      </c>
      <c r="BJ120" s="59">
        <f t="shared" si="92"/>
        <v>298.29439200198652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1.6161583546731966</v>
      </c>
      <c r="BR120" s="21">
        <f>EXP(-LN(2)/2)*BR119+(1-EXP(-LN(2)/2))/(LN(2)/2)*BL120*BO120*VLOOKUP('Données projet'!$B$11,Paramètres!$A$1:$I$89,3,0)*0.475*44/12</f>
        <v>2.30558668513542E-12</v>
      </c>
      <c r="BS120" s="22">
        <f t="shared" si="63"/>
        <v>1.6161583546755021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2.5420376914553347E-13</v>
      </c>
      <c r="P121" s="13">
        <f t="shared" si="87"/>
        <v>3.4258699088369875E-12</v>
      </c>
      <c r="Q121" s="20">
        <f t="shared" si="107"/>
        <v>6.4094616558195571E-12</v>
      </c>
      <c r="R121" s="59">
        <f t="shared" si="55"/>
        <v>293.33333333333974</v>
      </c>
      <c r="S121" s="59">
        <f ca="1">AVERAGE(OFFSET($R$3,0,0,'Données projet'!$E$9+1,1))-AVERAGE(OFFSET($H$3,0,0,'Données projet'!$E$9+1,1))</f>
        <v>394.9953131332565</v>
      </c>
      <c r="T121" s="59">
        <f t="shared" si="88"/>
        <v>399.58193819355591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1.7989868008010985</v>
      </c>
      <c r="AA121" s="21">
        <f>EXP(-LN(2)/25)*AA120+(1-EXP(-LN(2)/25))/(LN(2)/25)*Calculateur!V121*Calculateur!X121*VLOOKUP('Données projet'!$B$9,Paramètres!$A$1:$I$89,3,0)*0.475*44/12</f>
        <v>2.9120206754682281</v>
      </c>
      <c r="AB121" s="21">
        <f>EXP(-LN(2)/2)*AB120+(1-EXP(-LN(2)/2))/(LN(2)/2)*V121*Y121*VLOOKUP('Données projet'!$B$9,Paramètres!$A$1:$I$89,3,0)*0.475*44/12</f>
        <v>1.8604717150414614E-12</v>
      </c>
      <c r="AC121" s="22">
        <f t="shared" si="57"/>
        <v>4.7110074762711873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-2.2737367544323206E-13</v>
      </c>
      <c r="AJ121" s="13">
        <f>AI121*VLOOKUP('Données projet'!$B$10,Paramètres!$A$1:$I$89,3,0)*VLOOKUP('Données projet'!$B$10,Paramètres!$A$1:$I$89,5,0)</f>
        <v>-1.0936673788819462E-13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364.67510777943329</v>
      </c>
      <c r="AO121" s="59">
        <f t="shared" si="90"/>
        <v>352.13878061387169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1.547965386735829</v>
      </c>
      <c r="AV121" s="21">
        <f>EXP(-LN(2)/25)*AV120+(1-EXP(-LN(2)/25))/(LN(2)/25)*Calculateur!AQ121*Calculateur!AS121*VLOOKUP('Données projet'!$B$10,Paramètres!$A$1:$I$89,3,0)*0.475*44/12</f>
        <v>1.570415316989654</v>
      </c>
      <c r="AW121" s="21">
        <f>EXP(-LN(2)/2)*AW120+(1-EXP(-LN(2)/2))/(LN(2)/2)*AQ121*AT121*VLOOKUP('Données projet'!$B$10,Paramètres!$A$1:$I$89,3,0)*0.475*44/12</f>
        <v>1.5616908825472208E-12</v>
      </c>
      <c r="AX121" s="21">
        <f t="shared" si="60"/>
        <v>3.1183807037270448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1.1368683772161603E-13</v>
      </c>
      <c r="BE121" s="13">
        <f>BD121*VLOOKUP('Données projet'!$B$11,Paramètres!$A$1:$I$89,3,0)*VLOOKUP('Données projet'!$B$11,Paramètres!$A$1:$I$89,5,0)</f>
        <v>6.7984728957526396E-14</v>
      </c>
      <c r="BF121" s="13">
        <f t="shared" si="91"/>
        <v>1.0682447123141398E-12</v>
      </c>
      <c r="BG121" s="20">
        <f t="shared" si="61"/>
        <v>1.978932943548152E-12</v>
      </c>
      <c r="BH121" s="59">
        <f t="shared" si="62"/>
        <v>293.3333333333353</v>
      </c>
      <c r="BI121" s="59">
        <f ca="1">AVERAGE(OFFSET($BH$3,0,0,'Données projet'!$E$11+1,1))-AVERAGE(OFFSET($H$3,0,0,'Données projet'!$E$11+1,1))</f>
        <v>289.66713787052475</v>
      </c>
      <c r="BJ121" s="59">
        <f t="shared" si="92"/>
        <v>298.29439200198652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1.5719644194745839</v>
      </c>
      <c r="BR121" s="21">
        <f>EXP(-LN(2)/2)*BR120+(1-EXP(-LN(2)/2))/(LN(2)/2)*BL121*BO121*VLOOKUP('Données projet'!$B$11,Paramètres!$A$1:$I$89,3,0)*0.475*44/12</f>
        <v>1.6302959796726689E-12</v>
      </c>
      <c r="BS121" s="22">
        <f t="shared" si="63"/>
        <v>1.5719644194762141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2.5420376914553347E-13</v>
      </c>
      <c r="P122" s="13">
        <f t="shared" si="87"/>
        <v>3.4258699088369875E-12</v>
      </c>
      <c r="Q122" s="20">
        <f t="shared" si="107"/>
        <v>6.4094616558195571E-12</v>
      </c>
      <c r="R122" s="59">
        <f t="shared" si="55"/>
        <v>293.33333333333974</v>
      </c>
      <c r="S122" s="59">
        <f ca="1">AVERAGE(OFFSET($R$3,0,0,'Données projet'!$E$9+1,1))-AVERAGE(OFFSET($H$3,0,0,'Données projet'!$E$9+1,1))</f>
        <v>394.9953131332565</v>
      </c>
      <c r="T122" s="59">
        <f t="shared" si="88"/>
        <v>399.58193819355591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1.7637097669109907</v>
      </c>
      <c r="AA122" s="21">
        <f>EXP(-LN(2)/25)*AA121+(1-EXP(-LN(2)/25))/(LN(2)/25)*Calculateur!V122*Calculateur!X122*VLOOKUP('Données projet'!$B$9,Paramètres!$A$1:$I$89,3,0)*0.475*44/12</f>
        <v>2.8323913169610377</v>
      </c>
      <c r="AB122" s="21">
        <f>EXP(-LN(2)/2)*AB121+(1-EXP(-LN(2)/2))/(LN(2)/2)*V122*Y122*VLOOKUP('Données projet'!$B$9,Paramètres!$A$1:$I$89,3,0)*0.475*44/12</f>
        <v>1.3155521659115835E-12</v>
      </c>
      <c r="AC122" s="22">
        <f t="shared" si="57"/>
        <v>4.5961010838733438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-2.2737367544323206E-13</v>
      </c>
      <c r="AJ122" s="13">
        <f>AI122*VLOOKUP('Données projet'!$B$10,Paramètres!$A$1:$I$89,3,0)*VLOOKUP('Données projet'!$B$10,Paramètres!$A$1:$I$89,5,0)</f>
        <v>-1.0936673788819462E-13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364.67510777943329</v>
      </c>
      <c r="AO122" s="59">
        <f t="shared" si="90"/>
        <v>352.13878061387169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1.5176107296675967</v>
      </c>
      <c r="AV122" s="21">
        <f>EXP(-LN(2)/25)*AV121+(1-EXP(-LN(2)/25))/(LN(2)/25)*Calculateur!AQ122*Calculateur!AS122*VLOOKUP('Données projet'!$B$10,Paramètres!$A$1:$I$89,3,0)*0.475*44/12</f>
        <v>1.5274722275620196</v>
      </c>
      <c r="AW122" s="21">
        <f>EXP(-LN(2)/2)*AW121+(1-EXP(-LN(2)/2))/(LN(2)/2)*AQ122*AT122*VLOOKUP('Données projet'!$B$10,Paramètres!$A$1:$I$89,3,0)*0.475*44/12</f>
        <v>1.1042822131663439E-12</v>
      </c>
      <c r="AX122" s="21">
        <f t="shared" si="60"/>
        <v>3.0450829572307208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1.1368683772161603E-13</v>
      </c>
      <c r="BE122" s="13">
        <f>BD122*VLOOKUP('Données projet'!$B$11,Paramètres!$A$1:$I$89,3,0)*VLOOKUP('Données projet'!$B$11,Paramètres!$A$1:$I$89,5,0)</f>
        <v>6.7984728957526396E-14</v>
      </c>
      <c r="BF122" s="13">
        <f t="shared" si="91"/>
        <v>1.0682447123141398E-12</v>
      </c>
      <c r="BG122" s="20">
        <f t="shared" si="61"/>
        <v>1.978932943548152E-12</v>
      </c>
      <c r="BH122" s="59">
        <f t="shared" si="62"/>
        <v>293.3333333333353</v>
      </c>
      <c r="BI122" s="59">
        <f ca="1">AVERAGE(OFFSET($BH$3,0,0,'Données projet'!$E$11+1,1))-AVERAGE(OFFSET($H$3,0,0,'Données projet'!$E$11+1,1))</f>
        <v>289.66713787052475</v>
      </c>
      <c r="BJ122" s="59">
        <f t="shared" si="92"/>
        <v>298.29439200198652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1.5289789697580354</v>
      </c>
      <c r="BR122" s="21">
        <f>EXP(-LN(2)/2)*BR121+(1-EXP(-LN(2)/2))/(LN(2)/2)*BL122*BO122*VLOOKUP('Données projet'!$B$11,Paramètres!$A$1:$I$89,3,0)*0.475*44/12</f>
        <v>1.15279334256771E-12</v>
      </c>
      <c r="BS122" s="22">
        <f t="shared" si="63"/>
        <v>1.5289789697591882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2.5420376914553347E-13</v>
      </c>
      <c r="P123" s="13">
        <f t="shared" si="87"/>
        <v>3.4258699088369875E-12</v>
      </c>
      <c r="Q123" s="20">
        <f t="shared" si="107"/>
        <v>6.4094616558195571E-12</v>
      </c>
      <c r="R123" s="59">
        <f t="shared" si="55"/>
        <v>293.33333333333974</v>
      </c>
      <c r="S123" s="59">
        <f ca="1">AVERAGE(OFFSET($R$3,0,0,'Données projet'!$E$9+1,1))-AVERAGE(OFFSET($H$3,0,0,'Données projet'!$E$9+1,1))</f>
        <v>394.9953131332565</v>
      </c>
      <c r="T123" s="59">
        <f t="shared" si="88"/>
        <v>399.58193819355591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1.7291244941386019</v>
      </c>
      <c r="AA123" s="21">
        <f>EXP(-LN(2)/25)*AA122+(1-EXP(-LN(2)/25))/(LN(2)/25)*Calculateur!V123*Calculateur!X123*VLOOKUP('Données projet'!$B$9,Paramètres!$A$1:$I$89,3,0)*0.475*44/12</f>
        <v>2.7549394274497523</v>
      </c>
      <c r="AB123" s="21">
        <f>EXP(-LN(2)/2)*AB122+(1-EXP(-LN(2)/2))/(LN(2)/2)*V123*Y123*VLOOKUP('Données projet'!$B$9,Paramètres!$A$1:$I$89,3,0)*0.475*44/12</f>
        <v>9.3023585752073068E-13</v>
      </c>
      <c r="AC123" s="22">
        <f t="shared" si="57"/>
        <v>4.4840639215892839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-2.2737367544323206E-13</v>
      </c>
      <c r="AJ123" s="13">
        <f>AI123*VLOOKUP('Données projet'!$B$10,Paramètres!$A$1:$I$89,3,0)*VLOOKUP('Données projet'!$B$10,Paramètres!$A$1:$I$89,5,0)</f>
        <v>-1.0936673788819462E-13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364.67510777943329</v>
      </c>
      <c r="AO123" s="59">
        <f t="shared" si="90"/>
        <v>352.13878061387169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1.4878513089099599</v>
      </c>
      <c r="AV123" s="21">
        <f>EXP(-LN(2)/25)*AV122+(1-EXP(-LN(2)/25))/(LN(2)/25)*Calculateur!AQ123*Calculateur!AS123*VLOOKUP('Données projet'!$B$10,Paramètres!$A$1:$I$89,3,0)*0.475*44/12</f>
        <v>1.4857034191730629</v>
      </c>
      <c r="AW123" s="21">
        <f>EXP(-LN(2)/2)*AW122+(1-EXP(-LN(2)/2))/(LN(2)/2)*AQ123*AT123*VLOOKUP('Données projet'!$B$10,Paramètres!$A$1:$I$89,3,0)*0.475*44/12</f>
        <v>7.8084544127361042E-13</v>
      </c>
      <c r="AX123" s="21">
        <f t="shared" si="60"/>
        <v>2.9735547280838035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1.1368683772161603E-13</v>
      </c>
      <c r="BE123" s="13">
        <f>BD123*VLOOKUP('Données projet'!$B$11,Paramètres!$A$1:$I$89,3,0)*VLOOKUP('Données projet'!$B$11,Paramètres!$A$1:$I$89,5,0)</f>
        <v>6.7984728957526396E-14</v>
      </c>
      <c r="BF123" s="13">
        <f t="shared" si="91"/>
        <v>1.0682447123141398E-12</v>
      </c>
      <c r="BG123" s="20">
        <f t="shared" si="61"/>
        <v>1.978932943548152E-12</v>
      </c>
      <c r="BH123" s="59">
        <f t="shared" si="62"/>
        <v>293.3333333333353</v>
      </c>
      <c r="BI123" s="59">
        <f ca="1">AVERAGE(OFFSET($BH$3,0,0,'Données projet'!$E$11+1,1))-AVERAGE(OFFSET($H$3,0,0,'Données projet'!$E$11+1,1))</f>
        <v>289.66713787052475</v>
      </c>
      <c r="BJ123" s="59">
        <f t="shared" si="92"/>
        <v>298.29439200198652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1.4871689594244923</v>
      </c>
      <c r="BR123" s="21">
        <f>EXP(-LN(2)/2)*BR122+(1-EXP(-LN(2)/2))/(LN(2)/2)*BL123*BO123*VLOOKUP('Données projet'!$B$11,Paramètres!$A$1:$I$89,3,0)*0.475*44/12</f>
        <v>8.1514798983633445E-13</v>
      </c>
      <c r="BS123" s="22">
        <f t="shared" si="63"/>
        <v>1.4871689594253075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2.5420376914553347E-13</v>
      </c>
      <c r="P124" s="13">
        <f t="shared" si="87"/>
        <v>3.4258699088369875E-12</v>
      </c>
      <c r="Q124" s="20">
        <f t="shared" si="107"/>
        <v>6.4094616558195571E-12</v>
      </c>
      <c r="R124" s="59">
        <f t="shared" si="55"/>
        <v>293.33333333333974</v>
      </c>
      <c r="S124" s="59">
        <f ca="1">AVERAGE(OFFSET($R$3,0,0,'Données projet'!$E$9+1,1))-AVERAGE(OFFSET($H$3,0,0,'Données projet'!$E$9+1,1))</f>
        <v>394.9953131332565</v>
      </c>
      <c r="T124" s="59">
        <f t="shared" si="88"/>
        <v>399.58193819355591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1.6952174174703463</v>
      </c>
      <c r="AA124" s="21">
        <f>EXP(-LN(2)/25)*AA123+(1-EXP(-LN(2)/25))/(LN(2)/25)*Calculateur!V124*Calculateur!X124*VLOOKUP('Données projet'!$B$9,Paramètres!$A$1:$I$89,3,0)*0.475*44/12</f>
        <v>2.6796054639301707</v>
      </c>
      <c r="AB124" s="21">
        <f>EXP(-LN(2)/2)*AB123+(1-EXP(-LN(2)/2))/(LN(2)/2)*V124*Y124*VLOOKUP('Données projet'!$B$9,Paramètres!$A$1:$I$89,3,0)*0.475*44/12</f>
        <v>6.5777608295579173E-13</v>
      </c>
      <c r="AC124" s="22">
        <f t="shared" si="57"/>
        <v>4.3748228814011751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-2.2737367544323206E-13</v>
      </c>
      <c r="AJ124" s="13">
        <f>AI124*VLOOKUP('Données projet'!$B$10,Paramètres!$A$1:$I$89,3,0)*VLOOKUP('Données projet'!$B$10,Paramètres!$A$1:$I$89,5,0)</f>
        <v>-1.0936673788819462E-13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364.67510777943329</v>
      </c>
      <c r="AO124" s="59">
        <f t="shared" si="90"/>
        <v>352.13878061387169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1.4586754522419259</v>
      </c>
      <c r="AV124" s="21">
        <f>EXP(-LN(2)/25)*AV123+(1-EXP(-LN(2)/25))/(LN(2)/25)*Calculateur!AQ124*Calculateur!AS124*VLOOKUP('Données projet'!$B$10,Paramètres!$A$1:$I$89,3,0)*0.475*44/12</f>
        <v>1.4450767810460283</v>
      </c>
      <c r="AW124" s="21">
        <f>EXP(-LN(2)/2)*AW123+(1-EXP(-LN(2)/2))/(LN(2)/2)*AQ124*AT124*VLOOKUP('Données projet'!$B$10,Paramètres!$A$1:$I$89,3,0)*0.475*44/12</f>
        <v>5.5214110658317197E-13</v>
      </c>
      <c r="AX124" s="21">
        <f t="shared" si="60"/>
        <v>2.9037522332885062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1.1368683772161603E-13</v>
      </c>
      <c r="BE124" s="13">
        <f>BD124*VLOOKUP('Données projet'!$B$11,Paramètres!$A$1:$I$89,3,0)*VLOOKUP('Données projet'!$B$11,Paramètres!$A$1:$I$89,5,0)</f>
        <v>6.7984728957526396E-14</v>
      </c>
      <c r="BF124" s="13">
        <f t="shared" si="91"/>
        <v>1.0682447123141398E-12</v>
      </c>
      <c r="BG124" s="20">
        <f t="shared" si="61"/>
        <v>1.978932943548152E-12</v>
      </c>
      <c r="BH124" s="59">
        <f t="shared" si="62"/>
        <v>293.3333333333353</v>
      </c>
      <c r="BI124" s="59">
        <f ca="1">AVERAGE(OFFSET($BH$3,0,0,'Données projet'!$E$11+1,1))-AVERAGE(OFFSET($H$3,0,0,'Données projet'!$E$11+1,1))</f>
        <v>289.66713787052475</v>
      </c>
      <c r="BJ124" s="59">
        <f t="shared" si="92"/>
        <v>298.29439200198652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1.446502246022213</v>
      </c>
      <c r="BR124" s="21">
        <f>EXP(-LN(2)/2)*BR123+(1-EXP(-LN(2)/2))/(LN(2)/2)*BL124*BO124*VLOOKUP('Données projet'!$B$11,Paramètres!$A$1:$I$89,3,0)*0.475*44/12</f>
        <v>5.76396671283855E-13</v>
      </c>
      <c r="BS124" s="22">
        <f t="shared" si="63"/>
        <v>1.4465022460227894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2.5420376914553347E-13</v>
      </c>
      <c r="P125" s="13">
        <f t="shared" si="87"/>
        <v>3.4258699088369875E-12</v>
      </c>
      <c r="Q125" s="20">
        <f t="shared" si="107"/>
        <v>6.4094616558195571E-12</v>
      </c>
      <c r="R125" s="59">
        <f t="shared" si="55"/>
        <v>293.33333333333974</v>
      </c>
      <c r="S125" s="59">
        <f ca="1">AVERAGE(OFFSET($R$3,0,0,'Données projet'!$E$9+1,1))-AVERAGE(OFFSET($H$3,0,0,'Données projet'!$E$9+1,1))</f>
        <v>394.9953131332565</v>
      </c>
      <c r="T125" s="59">
        <f t="shared" si="88"/>
        <v>399.58193819355591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1.6619752378942803</v>
      </c>
      <c r="AA125" s="21">
        <f>EXP(-LN(2)/25)*AA124+(1-EXP(-LN(2)/25))/(LN(2)/25)*Calculateur!V125*Calculateur!X125*VLOOKUP('Données projet'!$B$9,Paramètres!$A$1:$I$89,3,0)*0.475*44/12</f>
        <v>2.6063315116046732</v>
      </c>
      <c r="AB125" s="21">
        <f>EXP(-LN(2)/2)*AB124+(1-EXP(-LN(2)/2))/(LN(2)/2)*V125*Y125*VLOOKUP('Données projet'!$B$9,Paramètres!$A$1:$I$89,3,0)*0.475*44/12</f>
        <v>4.6511792876036534E-13</v>
      </c>
      <c r="AC125" s="22">
        <f t="shared" si="57"/>
        <v>4.2683067494994189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-2.2737367544323206E-13</v>
      </c>
      <c r="AJ125" s="13">
        <f>AI125*VLOOKUP('Données projet'!$B$10,Paramètres!$A$1:$I$89,3,0)*VLOOKUP('Données projet'!$B$10,Paramètres!$A$1:$I$89,5,0)</f>
        <v>-1.0936673788819462E-13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364.67510777943329</v>
      </c>
      <c r="AO125" s="59">
        <f t="shared" si="90"/>
        <v>352.13878061387169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1.4300717163276366</v>
      </c>
      <c r="AV125" s="21">
        <f>EXP(-LN(2)/25)*AV124+(1-EXP(-LN(2)/25))/(LN(2)/25)*Calculateur!AQ125*Calculateur!AS125*VLOOKUP('Données projet'!$B$10,Paramètres!$A$1:$I$89,3,0)*0.475*44/12</f>
        <v>1.4055610804750396</v>
      </c>
      <c r="AW125" s="21">
        <f>EXP(-LN(2)/2)*AW124+(1-EXP(-LN(2)/2))/(LN(2)/2)*AQ125*AT125*VLOOKUP('Données projet'!$B$10,Paramètres!$A$1:$I$89,3,0)*0.475*44/12</f>
        <v>3.9042272063680521E-13</v>
      </c>
      <c r="AX125" s="21">
        <f t="shared" si="60"/>
        <v>2.8356327968030666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1.1368683772161603E-13</v>
      </c>
      <c r="BE125" s="13">
        <f>BD125*VLOOKUP('Données projet'!$B$11,Paramètres!$A$1:$I$89,3,0)*VLOOKUP('Données projet'!$B$11,Paramètres!$A$1:$I$89,5,0)</f>
        <v>6.7984728957526396E-14</v>
      </c>
      <c r="BF125" s="13">
        <f t="shared" si="91"/>
        <v>1.0682447123141398E-12</v>
      </c>
      <c r="BG125" s="20">
        <f t="shared" si="61"/>
        <v>1.978932943548152E-12</v>
      </c>
      <c r="BH125" s="59">
        <f t="shared" si="62"/>
        <v>293.3333333333353</v>
      </c>
      <c r="BI125" s="59">
        <f ca="1">AVERAGE(OFFSET($BH$3,0,0,'Données projet'!$E$11+1,1))-AVERAGE(OFFSET($H$3,0,0,'Données projet'!$E$11+1,1))</f>
        <v>289.66713787052475</v>
      </c>
      <c r="BJ125" s="59">
        <f t="shared" si="92"/>
        <v>298.29439200198652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1.4069475660364885</v>
      </c>
      <c r="BR125" s="21">
        <f>EXP(-LN(2)/2)*BR124+(1-EXP(-LN(2)/2))/(LN(2)/2)*BL125*BO125*VLOOKUP('Données projet'!$B$11,Paramètres!$A$1:$I$89,3,0)*0.475*44/12</f>
        <v>4.0757399491816722E-13</v>
      </c>
      <c r="BS125" s="22">
        <f t="shared" si="63"/>
        <v>1.4069475660368962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2.5420376914553347E-13</v>
      </c>
      <c r="P126" s="13">
        <f t="shared" si="87"/>
        <v>3.4258699088369875E-12</v>
      </c>
      <c r="Q126" s="20">
        <f t="shared" si="107"/>
        <v>6.4094616558195571E-12</v>
      </c>
      <c r="R126" s="59">
        <f t="shared" si="55"/>
        <v>293.33333333333974</v>
      </c>
      <c r="S126" s="59">
        <f ca="1">AVERAGE(OFFSET($R$3,0,0,'Données projet'!$E$9+1,1))-AVERAGE(OFFSET($H$3,0,0,'Données projet'!$E$9+1,1))</f>
        <v>394.9953131332565</v>
      </c>
      <c r="T126" s="59">
        <f t="shared" si="88"/>
        <v>399.58193819355591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1.6293849171839736</v>
      </c>
      <c r="AA126" s="21">
        <f>EXP(-LN(2)/25)*AA125+(1-EXP(-LN(2)/25))/(LN(2)/25)*Calculateur!V126*Calculateur!X126*VLOOKUP('Données projet'!$B$9,Paramètres!$A$1:$I$89,3,0)*0.475*44/12</f>
        <v>2.5350612393588263</v>
      </c>
      <c r="AB126" s="21">
        <f>EXP(-LN(2)/2)*AB125+(1-EXP(-LN(2)/2))/(LN(2)/2)*V126*Y126*VLOOKUP('Données projet'!$B$9,Paramètres!$A$1:$I$89,3,0)*0.475*44/12</f>
        <v>3.2888804147789587E-13</v>
      </c>
      <c r="AC126" s="22">
        <f t="shared" si="57"/>
        <v>4.1644461565431286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-2.2737367544323206E-13</v>
      </c>
      <c r="AJ126" s="13">
        <f>AI126*VLOOKUP('Données projet'!$B$10,Paramètres!$A$1:$I$89,3,0)*VLOOKUP('Données projet'!$B$10,Paramètres!$A$1:$I$89,5,0)</f>
        <v>-1.0936673788819462E-13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364.67510777943329</v>
      </c>
      <c r="AO126" s="59">
        <f t="shared" si="90"/>
        <v>352.13878061387169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1.4020288822280704</v>
      </c>
      <c r="AV126" s="21">
        <f>EXP(-LN(2)/25)*AV125+(1-EXP(-LN(2)/25))/(LN(2)/25)*Calculateur!AQ126*Calculateur!AS126*VLOOKUP('Données projet'!$B$10,Paramètres!$A$1:$I$89,3,0)*0.475*44/12</f>
        <v>1.367125938814205</v>
      </c>
      <c r="AW126" s="21">
        <f>EXP(-LN(2)/2)*AW125+(1-EXP(-LN(2)/2))/(LN(2)/2)*AQ126*AT126*VLOOKUP('Données projet'!$B$10,Paramètres!$A$1:$I$89,3,0)*0.475*44/12</f>
        <v>2.7607055329158599E-13</v>
      </c>
      <c r="AX126" s="21">
        <f t="shared" si="60"/>
        <v>2.7691548210425516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1.1368683772161603E-13</v>
      </c>
      <c r="BE126" s="13">
        <f>BD126*VLOOKUP('Données projet'!$B$11,Paramètres!$A$1:$I$89,3,0)*VLOOKUP('Données projet'!$B$11,Paramètres!$A$1:$I$89,5,0)</f>
        <v>6.7984728957526396E-14</v>
      </c>
      <c r="BF126" s="13">
        <f t="shared" si="91"/>
        <v>1.0682447123141398E-12</v>
      </c>
      <c r="BG126" s="20">
        <f t="shared" si="61"/>
        <v>1.978932943548152E-12</v>
      </c>
      <c r="BH126" s="59">
        <f t="shared" si="62"/>
        <v>293.3333333333353</v>
      </c>
      <c r="BI126" s="59">
        <f ca="1">AVERAGE(OFFSET($BH$3,0,0,'Données projet'!$E$11+1,1))-AVERAGE(OFFSET($H$3,0,0,'Données projet'!$E$11+1,1))</f>
        <v>289.66713787052475</v>
      </c>
      <c r="BJ126" s="59">
        <f t="shared" si="92"/>
        <v>298.29439200198652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1.3684745108550638</v>
      </c>
      <c r="BR126" s="21">
        <f>EXP(-LN(2)/2)*BR125+(1-EXP(-LN(2)/2))/(LN(2)/2)*BL126*BO126*VLOOKUP('Données projet'!$B$11,Paramètres!$A$1:$I$89,3,0)*0.475*44/12</f>
        <v>2.881983356419275E-13</v>
      </c>
      <c r="BS126" s="22">
        <f t="shared" si="63"/>
        <v>1.368474510855352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2.5420376914553347E-13</v>
      </c>
      <c r="P127" s="13">
        <f t="shared" si="87"/>
        <v>3.4258699088369875E-12</v>
      </c>
      <c r="Q127" s="20">
        <f t="shared" si="107"/>
        <v>6.4094616558195571E-12</v>
      </c>
      <c r="R127" s="59">
        <f t="shared" si="55"/>
        <v>293.33333333333974</v>
      </c>
      <c r="S127" s="59">
        <f ca="1">AVERAGE(OFFSET($R$3,0,0,'Données projet'!$E$9+1,1))-AVERAGE(OFFSET($H$3,0,0,'Données projet'!$E$9+1,1))</f>
        <v>394.9953131332565</v>
      </c>
      <c r="T127" s="59">
        <f t="shared" si="88"/>
        <v>399.58193819355591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1.5974336727846632</v>
      </c>
      <c r="AA127" s="21">
        <f>EXP(-LN(2)/25)*AA126+(1-EXP(-LN(2)/25))/(LN(2)/25)*Calculateur!V127*Calculateur!X127*VLOOKUP('Données projet'!$B$9,Paramètres!$A$1:$I$89,3,0)*0.475*44/12</f>
        <v>2.4657398564554827</v>
      </c>
      <c r="AB127" s="21">
        <f>EXP(-LN(2)/2)*AB126+(1-EXP(-LN(2)/2))/(LN(2)/2)*V127*Y127*VLOOKUP('Données projet'!$B$9,Paramètres!$A$1:$I$89,3,0)*0.475*44/12</f>
        <v>2.3255896438018267E-13</v>
      </c>
      <c r="AC127" s="22">
        <f t="shared" si="57"/>
        <v>4.0631735292403786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-2.2737367544323206E-13</v>
      </c>
      <c r="AJ127" s="13">
        <f>AI127*VLOOKUP('Données projet'!$B$10,Paramètres!$A$1:$I$89,3,0)*VLOOKUP('Données projet'!$B$10,Paramètres!$A$1:$I$89,5,0)</f>
        <v>-1.0936673788819462E-13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364.67510777943329</v>
      </c>
      <c r="AO127" s="59">
        <f t="shared" si="90"/>
        <v>352.13878061387169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1.3745359510007569</v>
      </c>
      <c r="AV127" s="21">
        <f>EXP(-LN(2)/25)*AV126+(1-EXP(-LN(2)/25))/(LN(2)/25)*Calculateur!AQ127*Calculateur!AS127*VLOOKUP('Données projet'!$B$10,Paramètres!$A$1:$I$89,3,0)*0.475*44/12</f>
        <v>1.3297418081233021</v>
      </c>
      <c r="AW127" s="21">
        <f>EXP(-LN(2)/2)*AW126+(1-EXP(-LN(2)/2))/(LN(2)/2)*AQ127*AT127*VLOOKUP('Données projet'!$B$10,Paramètres!$A$1:$I$89,3,0)*0.475*44/12</f>
        <v>1.952113603184026E-13</v>
      </c>
      <c r="AX127" s="21">
        <f t="shared" si="60"/>
        <v>2.7042777591242544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1.1368683772161603E-13</v>
      </c>
      <c r="BE127" s="13">
        <f>BD127*VLOOKUP('Données projet'!$B$11,Paramètres!$A$1:$I$89,3,0)*VLOOKUP('Données projet'!$B$11,Paramètres!$A$1:$I$89,5,0)</f>
        <v>6.7984728957526396E-14</v>
      </c>
      <c r="BF127" s="13">
        <f t="shared" si="91"/>
        <v>1.0682447123141398E-12</v>
      </c>
      <c r="BG127" s="20">
        <f t="shared" si="61"/>
        <v>1.978932943548152E-12</v>
      </c>
      <c r="BH127" s="59">
        <f t="shared" si="62"/>
        <v>293.3333333333353</v>
      </c>
      <c r="BI127" s="59">
        <f ca="1">AVERAGE(OFFSET($BH$3,0,0,'Données projet'!$E$11+1,1))-AVERAGE(OFFSET($H$3,0,0,'Données projet'!$E$11+1,1))</f>
        <v>289.66713787052475</v>
      </c>
      <c r="BJ127" s="59">
        <f t="shared" si="92"/>
        <v>298.29439200198652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1.3310535033907853</v>
      </c>
      <c r="BR127" s="21">
        <f>EXP(-LN(2)/2)*BR126+(1-EXP(-LN(2)/2))/(LN(2)/2)*BL127*BO127*VLOOKUP('Données projet'!$B$11,Paramètres!$A$1:$I$89,3,0)*0.475*44/12</f>
        <v>2.0378699745908361E-13</v>
      </c>
      <c r="BS127" s="22">
        <f t="shared" si="63"/>
        <v>1.3310535033909892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2.5420376914553347E-13</v>
      </c>
      <c r="P128" s="13">
        <f t="shared" si="87"/>
        <v>3.4258699088369875E-12</v>
      </c>
      <c r="Q128" s="20">
        <f t="shared" si="107"/>
        <v>6.4094616558195571E-12</v>
      </c>
      <c r="R128" s="59">
        <f t="shared" si="55"/>
        <v>293.33333333333974</v>
      </c>
      <c r="S128" s="59">
        <f ca="1">AVERAGE(OFFSET($R$3,0,0,'Données projet'!$E$9+1,1))-AVERAGE(OFFSET($H$3,0,0,'Données projet'!$E$9+1,1))</f>
        <v>394.9953131332565</v>
      </c>
      <c r="T128" s="59">
        <f t="shared" si="88"/>
        <v>399.58193819355591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1.5661089727996884</v>
      </c>
      <c r="AA128" s="21">
        <f>EXP(-LN(2)/25)*AA127+(1-EXP(-LN(2)/25))/(LN(2)/25)*Calculateur!V128*Calculateur!X128*VLOOKUP('Données projet'!$B$9,Paramètres!$A$1:$I$89,3,0)*0.475*44/12</f>
        <v>2.3983140704130839</v>
      </c>
      <c r="AB128" s="21">
        <f>EXP(-LN(2)/2)*AB127+(1-EXP(-LN(2)/2))/(LN(2)/2)*V128*Y128*VLOOKUP('Données projet'!$B$9,Paramètres!$A$1:$I$89,3,0)*0.475*44/12</f>
        <v>1.6444402073894793E-13</v>
      </c>
      <c r="AC128" s="22">
        <f t="shared" si="57"/>
        <v>3.9644230432129364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-2.2737367544323206E-13</v>
      </c>
      <c r="AJ128" s="13">
        <f>AI128*VLOOKUP('Données projet'!$B$10,Paramètres!$A$1:$I$89,3,0)*VLOOKUP('Données projet'!$B$10,Paramètres!$A$1:$I$89,5,0)</f>
        <v>-1.0936673788819462E-13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364.67510777943329</v>
      </c>
      <c r="AO128" s="59">
        <f t="shared" si="90"/>
        <v>352.13878061387169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1.3475821393857785</v>
      </c>
      <c r="AV128" s="21">
        <f>EXP(-LN(2)/25)*AV127+(1-EXP(-LN(2)/25))/(LN(2)/25)*Calculateur!AQ128*Calculateur!AS128*VLOOKUP('Données projet'!$B$10,Paramètres!$A$1:$I$89,3,0)*0.475*44/12</f>
        <v>1.2933799484520878</v>
      </c>
      <c r="AW128" s="21">
        <f>EXP(-LN(2)/2)*AW127+(1-EXP(-LN(2)/2))/(LN(2)/2)*AQ128*AT128*VLOOKUP('Données projet'!$B$10,Paramètres!$A$1:$I$89,3,0)*0.475*44/12</f>
        <v>1.3803527664579299E-13</v>
      </c>
      <c r="AX128" s="21">
        <f t="shared" si="60"/>
        <v>2.6409620878380045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1.1368683772161603E-13</v>
      </c>
      <c r="BE128" s="13">
        <f>BD128*VLOOKUP('Données projet'!$B$11,Paramètres!$A$1:$I$89,3,0)*VLOOKUP('Données projet'!$B$11,Paramètres!$A$1:$I$89,5,0)</f>
        <v>6.7984728957526396E-14</v>
      </c>
      <c r="BF128" s="13">
        <f t="shared" si="91"/>
        <v>1.0682447123141398E-12</v>
      </c>
      <c r="BG128" s="20">
        <f t="shared" si="61"/>
        <v>1.978932943548152E-12</v>
      </c>
      <c r="BH128" s="59">
        <f t="shared" si="62"/>
        <v>293.3333333333353</v>
      </c>
      <c r="BI128" s="59">
        <f ca="1">AVERAGE(OFFSET($BH$3,0,0,'Données projet'!$E$11+1,1))-AVERAGE(OFFSET($H$3,0,0,'Données projet'!$E$11+1,1))</f>
        <v>289.66713787052475</v>
      </c>
      <c r="BJ128" s="59">
        <f t="shared" si="92"/>
        <v>298.29439200198652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1.2946557753435026</v>
      </c>
      <c r="BR128" s="21">
        <f>EXP(-LN(2)/2)*BR127+(1-EXP(-LN(2)/2))/(LN(2)/2)*BL128*BO128*VLOOKUP('Données projet'!$B$11,Paramètres!$A$1:$I$89,3,0)*0.475*44/12</f>
        <v>1.4409916782096375E-13</v>
      </c>
      <c r="BS128" s="22">
        <f t="shared" si="63"/>
        <v>1.2946557753436467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2.5420376914553347E-13</v>
      </c>
      <c r="P129" s="13">
        <f t="shared" si="87"/>
        <v>3.4258699088369875E-12</v>
      </c>
      <c r="Q129" s="20">
        <f t="shared" si="107"/>
        <v>6.4094616558195571E-12</v>
      </c>
      <c r="R129" s="59">
        <f t="shared" si="55"/>
        <v>293.33333333333974</v>
      </c>
      <c r="S129" s="59">
        <f ca="1">AVERAGE(OFFSET($R$3,0,0,'Données projet'!$E$9+1,1))-AVERAGE(OFFSET($H$3,0,0,'Données projet'!$E$9+1,1))</f>
        <v>394.9953131332565</v>
      </c>
      <c r="T129" s="59">
        <f t="shared" si="88"/>
        <v>399.58193819355591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1.5353985310752385</v>
      </c>
      <c r="AA129" s="21">
        <f>EXP(-LN(2)/25)*AA128+(1-EXP(-LN(2)/25))/(LN(2)/25)*Calculateur!V129*Calculateur!X129*VLOOKUP('Données projet'!$B$9,Paramètres!$A$1:$I$89,3,0)*0.475*44/12</f>
        <v>2.3327320460357823</v>
      </c>
      <c r="AB129" s="21">
        <f>EXP(-LN(2)/2)*AB128+(1-EXP(-LN(2)/2))/(LN(2)/2)*V129*Y129*VLOOKUP('Données projet'!$B$9,Paramètres!$A$1:$I$89,3,0)*0.475*44/12</f>
        <v>1.1627948219009134E-13</v>
      </c>
      <c r="AC129" s="22">
        <f t="shared" si="57"/>
        <v>3.8681305771111374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-2.2737367544323206E-13</v>
      </c>
      <c r="AJ129" s="13">
        <f>AI129*VLOOKUP('Données projet'!$B$10,Paramètres!$A$1:$I$89,3,0)*VLOOKUP('Données projet'!$B$10,Paramètres!$A$1:$I$89,5,0)</f>
        <v>-1.0936673788819462E-13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364.67510777943329</v>
      </c>
      <c r="AO129" s="59">
        <f t="shared" si="90"/>
        <v>352.13878061387169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1.3211568755763683</v>
      </c>
      <c r="AV129" s="21">
        <f>EXP(-LN(2)/25)*AV128+(1-EXP(-LN(2)/25))/(LN(2)/25)*Calculateur!AQ129*Calculateur!AS129*VLOOKUP('Données projet'!$B$10,Paramètres!$A$1:$I$89,3,0)*0.475*44/12</f>
        <v>1.25801240574577</v>
      </c>
      <c r="AW129" s="21">
        <f>EXP(-LN(2)/2)*AW128+(1-EXP(-LN(2)/2))/(LN(2)/2)*AQ129*AT129*VLOOKUP('Données projet'!$B$10,Paramètres!$A$1:$I$89,3,0)*0.475*44/12</f>
        <v>9.7605680159201302E-14</v>
      </c>
      <c r="AX129" s="21">
        <f t="shared" si="60"/>
        <v>2.579169281322236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1.1368683772161603E-13</v>
      </c>
      <c r="BE129" s="13">
        <f>BD129*VLOOKUP('Données projet'!$B$11,Paramètres!$A$1:$I$89,3,0)*VLOOKUP('Données projet'!$B$11,Paramètres!$A$1:$I$89,5,0)</f>
        <v>6.7984728957526396E-14</v>
      </c>
      <c r="BF129" s="13">
        <f t="shared" si="91"/>
        <v>1.0682447123141398E-12</v>
      </c>
      <c r="BG129" s="20">
        <f t="shared" si="61"/>
        <v>1.978932943548152E-12</v>
      </c>
      <c r="BH129" s="59">
        <f t="shared" si="62"/>
        <v>293.3333333333353</v>
      </c>
      <c r="BI129" s="59">
        <f ca="1">AVERAGE(OFFSET($BH$3,0,0,'Données projet'!$E$11+1,1))-AVERAGE(OFFSET($H$3,0,0,'Données projet'!$E$11+1,1))</f>
        <v>289.66713787052475</v>
      </c>
      <c r="BJ129" s="59">
        <f t="shared" si="92"/>
        <v>298.29439200198652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1.2592533450837462</v>
      </c>
      <c r="BR129" s="21">
        <f>EXP(-LN(2)/2)*BR128+(1-EXP(-LN(2)/2))/(LN(2)/2)*BL129*BO129*VLOOKUP('Données projet'!$B$11,Paramètres!$A$1:$I$89,3,0)*0.475*44/12</f>
        <v>1.0189349872954181E-13</v>
      </c>
      <c r="BS129" s="22">
        <f t="shared" si="63"/>
        <v>1.2592533450838481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2.5420376914553347E-13</v>
      </c>
      <c r="P130" s="13">
        <f t="shared" si="87"/>
        <v>3.4258699088369875E-12</v>
      </c>
      <c r="Q130" s="20">
        <f t="shared" si="107"/>
        <v>6.4094616558195571E-12</v>
      </c>
      <c r="R130" s="59">
        <f t="shared" si="55"/>
        <v>293.33333333333974</v>
      </c>
      <c r="S130" s="59">
        <f ca="1">AVERAGE(OFFSET($R$3,0,0,'Données projet'!$E$9+1,1))-AVERAGE(OFFSET($H$3,0,0,'Données projet'!$E$9+1,1))</f>
        <v>394.9953131332565</v>
      </c>
      <c r="T130" s="59">
        <f t="shared" si="88"/>
        <v>399.58193819355591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1.5052903023814852</v>
      </c>
      <c r="AA130" s="21">
        <f>EXP(-LN(2)/25)*AA129+(1-EXP(-LN(2)/25))/(LN(2)/25)*Calculateur!V130*Calculateur!X130*VLOOKUP('Données projet'!$B$9,Paramètres!$A$1:$I$89,3,0)*0.475*44/12</f>
        <v>2.2689433655638869</v>
      </c>
      <c r="AB130" s="21">
        <f>EXP(-LN(2)/2)*AB129+(1-EXP(-LN(2)/2))/(LN(2)/2)*V130*Y130*VLOOKUP('Données projet'!$B$9,Paramètres!$A$1:$I$89,3,0)*0.475*44/12</f>
        <v>8.2222010369473967E-14</v>
      </c>
      <c r="AC130" s="22">
        <f t="shared" si="57"/>
        <v>3.7742336679454542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-2.2737367544323206E-13</v>
      </c>
      <c r="AJ130" s="13">
        <f>AI130*VLOOKUP('Données projet'!$B$10,Paramètres!$A$1:$I$89,3,0)*VLOOKUP('Données projet'!$B$10,Paramètres!$A$1:$I$89,5,0)</f>
        <v>-1.0936673788819462E-13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364.67510777943329</v>
      </c>
      <c r="AO130" s="59">
        <f t="shared" si="90"/>
        <v>352.13878061387169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1.2952497950724411</v>
      </c>
      <c r="AV130" s="21">
        <f>EXP(-LN(2)/25)*AV129+(1-EXP(-LN(2)/25))/(LN(2)/25)*Calculateur!AQ130*Calculateur!AS130*VLOOKUP('Données projet'!$B$10,Paramètres!$A$1:$I$89,3,0)*0.475*44/12</f>
        <v>1.2236119903546547</v>
      </c>
      <c r="AW130" s="21">
        <f>EXP(-LN(2)/2)*AW129+(1-EXP(-LN(2)/2))/(LN(2)/2)*AQ130*AT130*VLOOKUP('Données projet'!$B$10,Paramètres!$A$1:$I$89,3,0)*0.475*44/12</f>
        <v>6.9017638322896497E-14</v>
      </c>
      <c r="AX130" s="21">
        <f t="shared" si="60"/>
        <v>2.5188617854271649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1.1368683772161603E-13</v>
      </c>
      <c r="BE130" s="13">
        <f>BD130*VLOOKUP('Données projet'!$B$11,Paramètres!$A$1:$I$89,3,0)*VLOOKUP('Données projet'!$B$11,Paramètres!$A$1:$I$89,5,0)</f>
        <v>6.7984728957526396E-14</v>
      </c>
      <c r="BF130" s="13">
        <f t="shared" si="91"/>
        <v>1.0682447123141398E-12</v>
      </c>
      <c r="BG130" s="20">
        <f t="shared" si="61"/>
        <v>1.978932943548152E-12</v>
      </c>
      <c r="BH130" s="59">
        <f t="shared" si="62"/>
        <v>293.3333333333353</v>
      </c>
      <c r="BI130" s="59">
        <f ca="1">AVERAGE(OFFSET($BH$3,0,0,'Données projet'!$E$11+1,1))-AVERAGE(OFFSET($H$3,0,0,'Données projet'!$E$11+1,1))</f>
        <v>289.66713787052475</v>
      </c>
      <c r="BJ130" s="59">
        <f t="shared" si="92"/>
        <v>298.29439200198652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1.2248189961411757</v>
      </c>
      <c r="BR130" s="21">
        <f>EXP(-LN(2)/2)*BR129+(1-EXP(-LN(2)/2))/(LN(2)/2)*BL130*BO130*VLOOKUP('Données projet'!$B$11,Paramètres!$A$1:$I$89,3,0)*0.475*44/12</f>
        <v>7.2049583910481875E-14</v>
      </c>
      <c r="BS130" s="22">
        <f t="shared" si="63"/>
        <v>1.2248189961412477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2.5420376914553347E-13</v>
      </c>
      <c r="P131" s="13">
        <f t="shared" si="87"/>
        <v>3.4258699088369875E-12</v>
      </c>
      <c r="Q131" s="20">
        <f t="shared" ref="Q131:Q153" si="108">(O131+P131)*0.475*44/12</f>
        <v>6.4094616558195571E-12</v>
      </c>
      <c r="R131" s="59">
        <f t="shared" ref="R131:R194" si="109">Q131+(I131+J131)*44/12</f>
        <v>293.33333333333974</v>
      </c>
      <c r="S131" s="59">
        <f ca="1">AVERAGE(OFFSET($R$3,0,0,'Données projet'!$E$9+1,1))-AVERAGE(OFFSET($H$3,0,0,'Données projet'!$E$9+1,1))</f>
        <v>394.9953131332565</v>
      </c>
      <c r="T131" s="59">
        <f t="shared" si="88"/>
        <v>399.58193819355591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1.4757724776882102</v>
      </c>
      <c r="AA131" s="21">
        <f>EXP(-LN(2)/25)*AA130+(1-EXP(-LN(2)/25))/(LN(2)/25)*Calculateur!V131*Calculateur!X131*VLOOKUP('Données projet'!$B$9,Paramètres!$A$1:$I$89,3,0)*0.475*44/12</f>
        <v>2.2068989899139964</v>
      </c>
      <c r="AB131" s="21">
        <f>EXP(-LN(2)/2)*AB130+(1-EXP(-LN(2)/2))/(LN(2)/2)*V131*Y131*VLOOKUP('Données projet'!$B$9,Paramètres!$A$1:$I$89,3,0)*0.475*44/12</f>
        <v>5.8139741095045668E-14</v>
      </c>
      <c r="AC131" s="22">
        <f t="shared" si="57"/>
        <v>3.6826714676022649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-2.2737367544323206E-13</v>
      </c>
      <c r="AJ131" s="13">
        <f>AI131*VLOOKUP('Données projet'!$B$10,Paramètres!$A$1:$I$89,3,0)*VLOOKUP('Données projet'!$B$10,Paramètres!$A$1:$I$89,5,0)</f>
        <v>-1.0936673788819462E-13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364.67510777943329</v>
      </c>
      <c r="AO131" s="59">
        <f t="shared" si="90"/>
        <v>352.13878061387169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1.269850736615437</v>
      </c>
      <c r="AV131" s="21">
        <f>EXP(-LN(2)/25)*AV130+(1-EXP(-LN(2)/25))/(LN(2)/25)*Calculateur!AQ131*Calculateur!AS131*VLOOKUP('Données projet'!$B$10,Paramètres!$A$1:$I$89,3,0)*0.475*44/12</f>
        <v>1.1901522561314488</v>
      </c>
      <c r="AW131" s="21">
        <f>EXP(-LN(2)/2)*AW130+(1-EXP(-LN(2)/2))/(LN(2)/2)*AQ131*AT131*VLOOKUP('Données projet'!$B$10,Paramètres!$A$1:$I$89,3,0)*0.475*44/12</f>
        <v>4.8802840079600651E-14</v>
      </c>
      <c r="AX131" s="21">
        <f t="shared" si="60"/>
        <v>2.4600029927469347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1.1368683772161603E-13</v>
      </c>
      <c r="BE131" s="13">
        <f>BD131*VLOOKUP('Données projet'!$B$11,Paramètres!$A$1:$I$89,3,0)*VLOOKUP('Données projet'!$B$11,Paramètres!$A$1:$I$89,5,0)</f>
        <v>6.7984728957526396E-14</v>
      </c>
      <c r="BF131" s="13">
        <f t="shared" si="91"/>
        <v>1.0682447123141398E-12</v>
      </c>
      <c r="BG131" s="20">
        <f t="shared" si="61"/>
        <v>1.978932943548152E-12</v>
      </c>
      <c r="BH131" s="59">
        <f t="shared" si="62"/>
        <v>293.3333333333353</v>
      </c>
      <c r="BI131" s="59">
        <f ca="1">AVERAGE(OFFSET($BH$3,0,0,'Données projet'!$E$11+1,1))-AVERAGE(OFFSET($H$3,0,0,'Données projet'!$E$11+1,1))</f>
        <v>289.66713787052475</v>
      </c>
      <c r="BJ131" s="59">
        <f t="shared" si="92"/>
        <v>298.29439200198652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1.1913262562812637</v>
      </c>
      <c r="BR131" s="21">
        <f>EXP(-LN(2)/2)*BR130+(1-EXP(-LN(2)/2))/(LN(2)/2)*BL131*BO131*VLOOKUP('Données projet'!$B$11,Paramètres!$A$1:$I$89,3,0)*0.475*44/12</f>
        <v>5.0946749364770903E-14</v>
      </c>
      <c r="BS131" s="22">
        <f t="shared" si="63"/>
        <v>1.1913262562813145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2.5420376914553347E-13</v>
      </c>
      <c r="P132" s="13">
        <f t="shared" si="87"/>
        <v>3.4258699088369875E-12</v>
      </c>
      <c r="Q132" s="20">
        <f t="shared" si="108"/>
        <v>6.4094616558195571E-12</v>
      </c>
      <c r="R132" s="59">
        <f t="shared" si="109"/>
        <v>293.33333333333974</v>
      </c>
      <c r="S132" s="59">
        <f ca="1">AVERAGE(OFFSET($R$3,0,0,'Données projet'!$E$9+1,1))-AVERAGE(OFFSET($H$3,0,0,'Données projet'!$E$9+1,1))</f>
        <v>394.9953131332565</v>
      </c>
      <c r="T132" s="59">
        <f t="shared" si="88"/>
        <v>399.58193819355591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1.4468334795330751</v>
      </c>
      <c r="AA132" s="21">
        <f>EXP(-LN(2)/25)*AA131+(1-EXP(-LN(2)/25))/(LN(2)/25)*Calculateur!V132*Calculateur!X132*VLOOKUP('Données projet'!$B$9,Paramètres!$A$1:$I$89,3,0)*0.475*44/12</f>
        <v>2.1465512209790241</v>
      </c>
      <c r="AB132" s="21">
        <f>EXP(-LN(2)/2)*AB131+(1-EXP(-LN(2)/2))/(LN(2)/2)*V132*Y132*VLOOKUP('Données projet'!$B$9,Paramètres!$A$1:$I$89,3,0)*0.475*44/12</f>
        <v>4.1111005184736983E-14</v>
      </c>
      <c r="AC132" s="22">
        <f t="shared" ref="AC132:AC153" si="111">SUM(Z132:AB132)</f>
        <v>3.5933847005121407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-2.2737367544323206E-13</v>
      </c>
      <c r="AJ132" s="13">
        <f>AI132*VLOOKUP('Données projet'!$B$10,Paramètres!$A$1:$I$89,3,0)*VLOOKUP('Données projet'!$B$10,Paramètres!$A$1:$I$89,5,0)</f>
        <v>-1.0936673788819462E-13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364.67510777943329</v>
      </c>
      <c r="AO132" s="59">
        <f t="shared" si="90"/>
        <v>352.13878061387169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1.2449497382028789</v>
      </c>
      <c r="AV132" s="21">
        <f>EXP(-LN(2)/25)*AV131+(1-EXP(-LN(2)/25))/(LN(2)/25)*Calculateur!AQ132*Calculateur!AS132*VLOOKUP('Données projet'!$B$10,Paramètres!$A$1:$I$89,3,0)*0.475*44/12</f>
        <v>1.1576074801001472</v>
      </c>
      <c r="AW132" s="21">
        <f>EXP(-LN(2)/2)*AW131+(1-EXP(-LN(2)/2))/(LN(2)/2)*AQ132*AT132*VLOOKUP('Données projet'!$B$10,Paramètres!$A$1:$I$89,3,0)*0.475*44/12</f>
        <v>3.4508819161448248E-14</v>
      </c>
      <c r="AX132" s="21">
        <f t="shared" ref="AX132:AX153" si="114">SUM(AU132:AW132)</f>
        <v>2.4025572183030608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1.1368683772161603E-13</v>
      </c>
      <c r="BE132" s="13">
        <f>BD132*VLOOKUP('Données projet'!$B$11,Paramètres!$A$1:$I$89,3,0)*VLOOKUP('Données projet'!$B$11,Paramètres!$A$1:$I$89,5,0)</f>
        <v>6.7984728957526396E-14</v>
      </c>
      <c r="BF132" s="13">
        <f t="shared" si="91"/>
        <v>1.0682447123141398E-12</v>
      </c>
      <c r="BG132" s="20">
        <f t="shared" ref="BG132:BG153" si="115">(BE132+BF132)*0.475*44/12</f>
        <v>1.978932943548152E-12</v>
      </c>
      <c r="BH132" s="59">
        <f t="shared" ref="BH132:BH195" si="116">BG132+(AY132+AZ132)*44/12</f>
        <v>293.3333333333353</v>
      </c>
      <c r="BI132" s="59">
        <f ca="1">AVERAGE(OFFSET($BH$3,0,0,'Données projet'!$E$11+1,1))-AVERAGE(OFFSET($H$3,0,0,'Données projet'!$E$11+1,1))</f>
        <v>289.66713787052475</v>
      </c>
      <c r="BJ132" s="59">
        <f t="shared" si="92"/>
        <v>298.29439200198652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1.1587493771541275</v>
      </c>
      <c r="BR132" s="21">
        <f>EXP(-LN(2)/2)*BR131+(1-EXP(-LN(2)/2))/(LN(2)/2)*BL132*BO132*VLOOKUP('Données projet'!$B$11,Paramètres!$A$1:$I$89,3,0)*0.475*44/12</f>
        <v>3.6024791955240937E-14</v>
      </c>
      <c r="BS132" s="22">
        <f t="shared" ref="BS132:BS153" si="117">SUM(BP132:BR132)</f>
        <v>1.1587493771541635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2.5420376914553347E-13</v>
      </c>
      <c r="P133" s="13">
        <f t="shared" ref="P133:P196" si="141">EXP(-1.0587+0.8836*LN(O133)+0.284)</f>
        <v>3.4258699088369875E-12</v>
      </c>
      <c r="Q133" s="20">
        <f t="shared" si="108"/>
        <v>6.4094616558195571E-12</v>
      </c>
      <c r="R133" s="59">
        <f t="shared" si="109"/>
        <v>293.33333333333974</v>
      </c>
      <c r="S133" s="59">
        <f ca="1">AVERAGE(OFFSET($R$3,0,0,'Données projet'!$E$9+1,1))-AVERAGE(OFFSET($H$3,0,0,'Données projet'!$E$9+1,1))</f>
        <v>394.9953131332565</v>
      </c>
      <c r="T133" s="59">
        <f t="shared" ref="T133:T196" si="142">$T$3</f>
        <v>399.58193819355591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1.4184619574807162</v>
      </c>
      <c r="AA133" s="21">
        <f>EXP(-LN(2)/25)*AA132+(1-EXP(-LN(2)/25))/(LN(2)/25)*Calculateur!V133*Calculateur!X133*VLOOKUP('Données projet'!$B$9,Paramètres!$A$1:$I$89,3,0)*0.475*44/12</f>
        <v>2.0878536649591299</v>
      </c>
      <c r="AB133" s="21">
        <f>EXP(-LN(2)/2)*AB132+(1-EXP(-LN(2)/2))/(LN(2)/2)*V133*Y133*VLOOKUP('Données projet'!$B$9,Paramètres!$A$1:$I$89,3,0)*0.475*44/12</f>
        <v>2.9069870547522834E-14</v>
      </c>
      <c r="AC133" s="22">
        <f t="shared" si="111"/>
        <v>3.506315622439875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-2.2737367544323206E-13</v>
      </c>
      <c r="AJ133" s="13">
        <f>AI133*VLOOKUP('Données projet'!$B$10,Paramètres!$A$1:$I$89,3,0)*VLOOKUP('Données projet'!$B$10,Paramètres!$A$1:$I$89,5,0)</f>
        <v>-1.0936673788819462E-13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364.67510777943329</v>
      </c>
      <c r="AO133" s="59">
        <f t="shared" ref="AO133:AO196" si="144">$AO$3</f>
        <v>352.13878061387169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1.2205370331810816</v>
      </c>
      <c r="AV133" s="21">
        <f>EXP(-LN(2)/25)*AV132+(1-EXP(-LN(2)/25))/(LN(2)/25)*Calculateur!AQ133*Calculateur!AS133*VLOOKUP('Données projet'!$B$10,Paramètres!$A$1:$I$89,3,0)*0.475*44/12</f>
        <v>1.125952642680877</v>
      </c>
      <c r="AW133" s="21">
        <f>EXP(-LN(2)/2)*AW132+(1-EXP(-LN(2)/2))/(LN(2)/2)*AQ133*AT133*VLOOKUP('Données projet'!$B$10,Paramètres!$A$1:$I$89,3,0)*0.475*44/12</f>
        <v>2.4401420039800326E-14</v>
      </c>
      <c r="AX133" s="21">
        <f t="shared" si="114"/>
        <v>2.3464896758619829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1.1368683772161603E-13</v>
      </c>
      <c r="BE133" s="13">
        <f>BD133*VLOOKUP('Données projet'!$B$11,Paramètres!$A$1:$I$89,3,0)*VLOOKUP('Données projet'!$B$11,Paramètres!$A$1:$I$89,5,0)</f>
        <v>6.7984728957526396E-14</v>
      </c>
      <c r="BF133" s="13">
        <f t="shared" ref="BF133:BF153" si="145">EXP(-1.0587+0.8836*LN(BE133)+0.284)</f>
        <v>1.0682447123141398E-12</v>
      </c>
      <c r="BG133" s="20">
        <f t="shared" si="115"/>
        <v>1.978932943548152E-12</v>
      </c>
      <c r="BH133" s="59">
        <f t="shared" si="116"/>
        <v>293.3333333333353</v>
      </c>
      <c r="BI133" s="59">
        <f ca="1">AVERAGE(OFFSET($BH$3,0,0,'Données projet'!$E$11+1,1))-AVERAGE(OFFSET($H$3,0,0,'Données projet'!$E$11+1,1))</f>
        <v>289.66713787052475</v>
      </c>
      <c r="BJ133" s="59">
        <f t="shared" ref="BJ133:BJ196" si="146">$BJ$3</f>
        <v>298.29439200198652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1.1270633144998665</v>
      </c>
      <c r="BR133" s="21">
        <f>EXP(-LN(2)/2)*BR132+(1-EXP(-LN(2)/2))/(LN(2)/2)*BL133*BO133*VLOOKUP('Données projet'!$B$11,Paramètres!$A$1:$I$89,3,0)*0.475*44/12</f>
        <v>2.5473374682385451E-14</v>
      </c>
      <c r="BS133" s="22">
        <f t="shared" si="117"/>
        <v>1.1270633144998921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2.5420376914553347E-13</v>
      </c>
      <c r="P134" s="13">
        <f t="shared" si="141"/>
        <v>3.4258699088369875E-12</v>
      </c>
      <c r="Q134" s="20">
        <f t="shared" si="108"/>
        <v>6.4094616558195571E-12</v>
      </c>
      <c r="R134" s="59">
        <f t="shared" si="109"/>
        <v>293.33333333333974</v>
      </c>
      <c r="S134" s="59">
        <f ca="1">AVERAGE(OFFSET($R$3,0,0,'Données projet'!$E$9+1,1))-AVERAGE(OFFSET($H$3,0,0,'Données projet'!$E$9+1,1))</f>
        <v>394.9953131332565</v>
      </c>
      <c r="T134" s="59">
        <f t="shared" si="142"/>
        <v>399.58193819355591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1.3906467836708845</v>
      </c>
      <c r="AA134" s="21">
        <f>EXP(-LN(2)/25)*AA133+(1-EXP(-LN(2)/25))/(LN(2)/25)*Calculateur!V134*Calculateur!X134*VLOOKUP('Données projet'!$B$9,Paramètres!$A$1:$I$89,3,0)*0.475*44/12</f>
        <v>2.0307611966953703</v>
      </c>
      <c r="AB134" s="21">
        <f>EXP(-LN(2)/2)*AB133+(1-EXP(-LN(2)/2))/(LN(2)/2)*V134*Y134*VLOOKUP('Données projet'!$B$9,Paramètres!$A$1:$I$89,3,0)*0.475*44/12</f>
        <v>2.0555502592368492E-14</v>
      </c>
      <c r="AC134" s="22">
        <f t="shared" si="111"/>
        <v>3.4214079803662751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-2.2737367544323206E-13</v>
      </c>
      <c r="AJ134" s="13">
        <f>AI134*VLOOKUP('Données projet'!$B$10,Paramètres!$A$1:$I$89,3,0)*VLOOKUP('Données projet'!$B$10,Paramètres!$A$1:$I$89,5,0)</f>
        <v>-1.0936673788819462E-13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364.67510777943329</v>
      </c>
      <c r="AO134" s="59">
        <f t="shared" si="144"/>
        <v>352.13878061387169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1.1966030464144821</v>
      </c>
      <c r="AV134" s="21">
        <f>EXP(-LN(2)/25)*AV133+(1-EXP(-LN(2)/25))/(LN(2)/25)*Calculateur!AQ134*Calculateur!AS134*VLOOKUP('Données projet'!$B$10,Paramètres!$A$1:$I$89,3,0)*0.475*44/12</f>
        <v>1.0951634084554924</v>
      </c>
      <c r="AW134" s="21">
        <f>EXP(-LN(2)/2)*AW133+(1-EXP(-LN(2)/2))/(LN(2)/2)*AQ134*AT134*VLOOKUP('Données projet'!$B$10,Paramètres!$A$1:$I$89,3,0)*0.475*44/12</f>
        <v>1.7254409580724124E-14</v>
      </c>
      <c r="AX134" s="21">
        <f t="shared" si="114"/>
        <v>2.2917664548699919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1.1368683772161603E-13</v>
      </c>
      <c r="BE134" s="13">
        <f>BD134*VLOOKUP('Données projet'!$B$11,Paramètres!$A$1:$I$89,3,0)*VLOOKUP('Données projet'!$B$11,Paramètres!$A$1:$I$89,5,0)</f>
        <v>6.7984728957526396E-14</v>
      </c>
      <c r="BF134" s="13">
        <f t="shared" si="145"/>
        <v>1.0682447123141398E-12</v>
      </c>
      <c r="BG134" s="20">
        <f t="shared" si="115"/>
        <v>1.978932943548152E-12</v>
      </c>
      <c r="BH134" s="59">
        <f t="shared" si="116"/>
        <v>293.3333333333353</v>
      </c>
      <c r="BI134" s="59">
        <f ca="1">AVERAGE(OFFSET($BH$3,0,0,'Données projet'!$E$11+1,1))-AVERAGE(OFFSET($H$3,0,0,'Données projet'!$E$11+1,1))</f>
        <v>289.66713787052475</v>
      </c>
      <c r="BJ134" s="59">
        <f t="shared" si="146"/>
        <v>298.29439200198652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1.096243708895184</v>
      </c>
      <c r="BR134" s="21">
        <f>EXP(-LN(2)/2)*BR133+(1-EXP(-LN(2)/2))/(LN(2)/2)*BL134*BO134*VLOOKUP('Données projet'!$B$11,Paramètres!$A$1:$I$89,3,0)*0.475*44/12</f>
        <v>1.8012395977620469E-14</v>
      </c>
      <c r="BS134" s="22">
        <f t="shared" si="117"/>
        <v>1.096243708895202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2.5420376914553347E-13</v>
      </c>
      <c r="P135" s="13">
        <f t="shared" si="141"/>
        <v>3.4258699088369875E-12</v>
      </c>
      <c r="Q135" s="20">
        <f t="shared" si="108"/>
        <v>6.4094616558195571E-12</v>
      </c>
      <c r="R135" s="59">
        <f t="shared" si="109"/>
        <v>293.33333333333974</v>
      </c>
      <c r="S135" s="59">
        <f ca="1">AVERAGE(OFFSET($R$3,0,0,'Données projet'!$E$9+1,1))-AVERAGE(OFFSET($H$3,0,0,'Données projet'!$E$9+1,1))</f>
        <v>394.9953131332565</v>
      </c>
      <c r="T135" s="59">
        <f t="shared" si="142"/>
        <v>399.58193819355591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1.3633770484538825</v>
      </c>
      <c r="AA135" s="21">
        <f>EXP(-LN(2)/25)*AA134+(1-EXP(-LN(2)/25))/(LN(2)/25)*Calculateur!V135*Calculateur!X135*VLOOKUP('Données projet'!$B$9,Paramètres!$A$1:$I$89,3,0)*0.475*44/12</f>
        <v>1.9752299249786454</v>
      </c>
      <c r="AB135" s="21">
        <f>EXP(-LN(2)/2)*AB134+(1-EXP(-LN(2)/2))/(LN(2)/2)*V135*Y135*VLOOKUP('Données projet'!$B$9,Paramètres!$A$1:$I$89,3,0)*0.475*44/12</f>
        <v>1.4534935273761417E-14</v>
      </c>
      <c r="AC135" s="22">
        <f t="shared" si="111"/>
        <v>3.3386069734325425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-2.2737367544323206E-13</v>
      </c>
      <c r="AJ135" s="13">
        <f>AI135*VLOOKUP('Données projet'!$B$10,Paramètres!$A$1:$I$89,3,0)*VLOOKUP('Données projet'!$B$10,Paramètres!$A$1:$I$89,5,0)</f>
        <v>-1.0936673788819462E-13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364.67510777943329</v>
      </c>
      <c r="AO135" s="59">
        <f t="shared" si="144"/>
        <v>352.13878061387169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1.1731383905300852</v>
      </c>
      <c r="AV135" s="21">
        <f>EXP(-LN(2)/25)*AV134+(1-EXP(-LN(2)/25))/(LN(2)/25)*Calculateur!AQ135*Calculateur!AS135*VLOOKUP('Données projet'!$B$10,Paramètres!$A$1:$I$89,3,0)*0.475*44/12</f>
        <v>1.0652161074591364</v>
      </c>
      <c r="AW135" s="21">
        <f>EXP(-LN(2)/2)*AW134+(1-EXP(-LN(2)/2))/(LN(2)/2)*AQ135*AT135*VLOOKUP('Données projet'!$B$10,Paramètres!$A$1:$I$89,3,0)*0.475*44/12</f>
        <v>1.2200710019900163E-14</v>
      </c>
      <c r="AX135" s="21">
        <f t="shared" si="114"/>
        <v>2.2383544979892336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1.1368683772161603E-13</v>
      </c>
      <c r="BE135" s="13">
        <f>BD135*VLOOKUP('Données projet'!$B$11,Paramètres!$A$1:$I$89,3,0)*VLOOKUP('Données projet'!$B$11,Paramètres!$A$1:$I$89,5,0)</f>
        <v>6.7984728957526396E-14</v>
      </c>
      <c r="BF135" s="13">
        <f t="shared" si="145"/>
        <v>1.0682447123141398E-12</v>
      </c>
      <c r="BG135" s="20">
        <f t="shared" si="115"/>
        <v>1.978932943548152E-12</v>
      </c>
      <c r="BH135" s="59">
        <f t="shared" si="116"/>
        <v>293.3333333333353</v>
      </c>
      <c r="BI135" s="59">
        <f ca="1">AVERAGE(OFFSET($BH$3,0,0,'Données projet'!$E$11+1,1))-AVERAGE(OFFSET($H$3,0,0,'Données projet'!$E$11+1,1))</f>
        <v>289.66713787052475</v>
      </c>
      <c r="BJ135" s="59">
        <f t="shared" si="146"/>
        <v>298.29439200198652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1.0662668670264941</v>
      </c>
      <c r="BR135" s="21">
        <f>EXP(-LN(2)/2)*BR134+(1-EXP(-LN(2)/2))/(LN(2)/2)*BL135*BO135*VLOOKUP('Données projet'!$B$11,Paramètres!$A$1:$I$89,3,0)*0.475*44/12</f>
        <v>1.2736687341192726E-14</v>
      </c>
      <c r="BS135" s="22">
        <f t="shared" si="117"/>
        <v>1.0662668670265067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2.5420376914553347E-13</v>
      </c>
      <c r="P136" s="13">
        <f t="shared" si="141"/>
        <v>3.4258699088369875E-12</v>
      </c>
      <c r="Q136" s="20">
        <f t="shared" si="108"/>
        <v>6.4094616558195571E-12</v>
      </c>
      <c r="R136" s="59">
        <f t="shared" si="109"/>
        <v>293.33333333333974</v>
      </c>
      <c r="S136" s="59">
        <f ca="1">AVERAGE(OFFSET($R$3,0,0,'Données projet'!$E$9+1,1))-AVERAGE(OFFSET($H$3,0,0,'Données projet'!$E$9+1,1))</f>
        <v>394.9953131332565</v>
      </c>
      <c r="T136" s="59">
        <f t="shared" si="142"/>
        <v>399.58193819355591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1.3366420561115899</v>
      </c>
      <c r="AA136" s="21">
        <f>EXP(-LN(2)/25)*AA135+(1-EXP(-LN(2)/25))/(LN(2)/25)*Calculateur!V136*Calculateur!X136*VLOOKUP('Données projet'!$B$9,Paramètres!$A$1:$I$89,3,0)*0.475*44/12</f>
        <v>1.9212171588072771</v>
      </c>
      <c r="AB136" s="21">
        <f>EXP(-LN(2)/2)*AB135+(1-EXP(-LN(2)/2))/(LN(2)/2)*V136*Y136*VLOOKUP('Données projet'!$B$9,Paramètres!$A$1:$I$89,3,0)*0.475*44/12</f>
        <v>1.0277751296184246E-14</v>
      </c>
      <c r="AC136" s="22">
        <f t="shared" si="111"/>
        <v>3.2578592149188772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-2.2737367544323206E-13</v>
      </c>
      <c r="AJ136" s="13">
        <f>AI136*VLOOKUP('Données projet'!$B$10,Paramètres!$A$1:$I$89,3,0)*VLOOKUP('Données projet'!$B$10,Paramètres!$A$1:$I$89,5,0)</f>
        <v>-1.0936673788819462E-13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364.67510777943329</v>
      </c>
      <c r="AO136" s="59">
        <f t="shared" si="144"/>
        <v>352.13878061387169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1.1501338622355544</v>
      </c>
      <c r="AV136" s="21">
        <f>EXP(-LN(2)/25)*AV135+(1-EXP(-LN(2)/25))/(LN(2)/25)*Calculateur!AQ136*Calculateur!AS136*VLOOKUP('Données projet'!$B$10,Paramètres!$A$1:$I$89,3,0)*0.475*44/12</f>
        <v>1.0360877169833858</v>
      </c>
      <c r="AW136" s="21">
        <f>EXP(-LN(2)/2)*AW135+(1-EXP(-LN(2)/2))/(LN(2)/2)*AQ136*AT136*VLOOKUP('Données projet'!$B$10,Paramètres!$A$1:$I$89,3,0)*0.475*44/12</f>
        <v>8.6272047903620621E-15</v>
      </c>
      <c r="AX136" s="21">
        <f t="shared" si="114"/>
        <v>2.1862215792189486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1.1368683772161603E-13</v>
      </c>
      <c r="BE136" s="13">
        <f>BD136*VLOOKUP('Données projet'!$B$11,Paramètres!$A$1:$I$89,3,0)*VLOOKUP('Données projet'!$B$11,Paramètres!$A$1:$I$89,5,0)</f>
        <v>6.7984728957526396E-14</v>
      </c>
      <c r="BF136" s="13">
        <f t="shared" si="145"/>
        <v>1.0682447123141398E-12</v>
      </c>
      <c r="BG136" s="20">
        <f t="shared" si="115"/>
        <v>1.978932943548152E-12</v>
      </c>
      <c r="BH136" s="59">
        <f t="shared" si="116"/>
        <v>293.3333333333353</v>
      </c>
      <c r="BI136" s="59">
        <f ca="1">AVERAGE(OFFSET($BH$3,0,0,'Données projet'!$E$11+1,1))-AVERAGE(OFFSET($H$3,0,0,'Données projet'!$E$11+1,1))</f>
        <v>289.66713787052475</v>
      </c>
      <c r="BJ136" s="59">
        <f t="shared" si="146"/>
        <v>298.29439200198652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1.0371097434751171</v>
      </c>
      <c r="BR136" s="21">
        <f>EXP(-LN(2)/2)*BR135+(1-EXP(-LN(2)/2))/(LN(2)/2)*BL136*BO136*VLOOKUP('Données projet'!$B$11,Paramètres!$A$1:$I$89,3,0)*0.475*44/12</f>
        <v>9.0061979888102343E-15</v>
      </c>
      <c r="BS136" s="22">
        <f t="shared" si="117"/>
        <v>1.0371097434751262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2.5420376914553347E-13</v>
      </c>
      <c r="P137" s="13">
        <f t="shared" si="141"/>
        <v>3.4258699088369875E-12</v>
      </c>
      <c r="Q137" s="20">
        <f t="shared" si="108"/>
        <v>6.4094616558195571E-12</v>
      </c>
      <c r="R137" s="59">
        <f t="shared" si="109"/>
        <v>293.33333333333974</v>
      </c>
      <c r="S137" s="59">
        <f ca="1">AVERAGE(OFFSET($R$3,0,0,'Données projet'!$E$9+1,1))-AVERAGE(OFFSET($H$3,0,0,'Données projet'!$E$9+1,1))</f>
        <v>394.9953131332565</v>
      </c>
      <c r="T137" s="59">
        <f t="shared" si="142"/>
        <v>399.58193819355591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1.3104313206623945</v>
      </c>
      <c r="AA137" s="21">
        <f>EXP(-LN(2)/25)*AA136+(1-EXP(-LN(2)/25))/(LN(2)/25)*Calculateur!V137*Calculateur!X137*VLOOKUP('Données projet'!$B$9,Paramètres!$A$1:$I$89,3,0)*0.475*44/12</f>
        <v>1.8686813745672728</v>
      </c>
      <c r="AB137" s="21">
        <f>EXP(-LN(2)/2)*AB136+(1-EXP(-LN(2)/2))/(LN(2)/2)*V137*Y137*VLOOKUP('Données projet'!$B$9,Paramètres!$A$1:$I$89,3,0)*0.475*44/12</f>
        <v>7.2674676368807085E-15</v>
      </c>
      <c r="AC137" s="22">
        <f t="shared" si="111"/>
        <v>3.1791126952296747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-2.2737367544323206E-13</v>
      </c>
      <c r="AJ137" s="13">
        <f>AI137*VLOOKUP('Données projet'!$B$10,Paramètres!$A$1:$I$89,3,0)*VLOOKUP('Données projet'!$B$10,Paramètres!$A$1:$I$89,5,0)</f>
        <v>-1.0936673788819462E-13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364.67510777943329</v>
      </c>
      <c r="AO137" s="59">
        <f t="shared" si="144"/>
        <v>352.13878061387169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1.1275804387095025</v>
      </c>
      <c r="AV137" s="21">
        <f>EXP(-LN(2)/25)*AV136+(1-EXP(-LN(2)/25))/(LN(2)/25)*Calculateur!AQ137*Calculateur!AS137*VLOOKUP('Données projet'!$B$10,Paramètres!$A$1:$I$89,3,0)*0.475*44/12</f>
        <v>1.00775584387699</v>
      </c>
      <c r="AW137" s="21">
        <f>EXP(-LN(2)/2)*AW136+(1-EXP(-LN(2)/2))/(LN(2)/2)*AQ137*AT137*VLOOKUP('Données projet'!$B$10,Paramètres!$A$1:$I$89,3,0)*0.475*44/12</f>
        <v>6.1003550099500814E-15</v>
      </c>
      <c r="AX137" s="21">
        <f t="shared" si="114"/>
        <v>2.1353362825864988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1.1368683772161603E-13</v>
      </c>
      <c r="BE137" s="13">
        <f>BD137*VLOOKUP('Données projet'!$B$11,Paramètres!$A$1:$I$89,3,0)*VLOOKUP('Données projet'!$B$11,Paramètres!$A$1:$I$89,5,0)</f>
        <v>6.7984728957526396E-14</v>
      </c>
      <c r="BF137" s="13">
        <f t="shared" si="145"/>
        <v>1.0682447123141398E-12</v>
      </c>
      <c r="BG137" s="20">
        <f t="shared" si="115"/>
        <v>1.978932943548152E-12</v>
      </c>
      <c r="BH137" s="59">
        <f t="shared" si="116"/>
        <v>293.3333333333353</v>
      </c>
      <c r="BI137" s="59">
        <f ca="1">AVERAGE(OFFSET($BH$3,0,0,'Données projet'!$E$11+1,1))-AVERAGE(OFFSET($H$3,0,0,'Données projet'!$E$11+1,1))</f>
        <v>289.66713787052475</v>
      </c>
      <c r="BJ137" s="59">
        <f t="shared" si="146"/>
        <v>298.29439200198652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1.008749923000559</v>
      </c>
      <c r="BR137" s="21">
        <f>EXP(-LN(2)/2)*BR136+(1-EXP(-LN(2)/2))/(LN(2)/2)*BL137*BO137*VLOOKUP('Données projet'!$B$11,Paramètres!$A$1:$I$89,3,0)*0.475*44/12</f>
        <v>6.3683436705963629E-15</v>
      </c>
      <c r="BS137" s="22">
        <f t="shared" si="117"/>
        <v>1.0087499230005654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2.5420376914553347E-13</v>
      </c>
      <c r="P138" s="13">
        <f t="shared" si="141"/>
        <v>3.4258699088369875E-12</v>
      </c>
      <c r="Q138" s="20">
        <f t="shared" si="108"/>
        <v>6.4094616558195571E-12</v>
      </c>
      <c r="R138" s="59">
        <f t="shared" si="109"/>
        <v>293.33333333333974</v>
      </c>
      <c r="S138" s="59">
        <f ca="1">AVERAGE(OFFSET($R$3,0,0,'Données projet'!$E$9+1,1))-AVERAGE(OFFSET($H$3,0,0,'Données projet'!$E$9+1,1))</f>
        <v>394.9953131332565</v>
      </c>
      <c r="T138" s="59">
        <f t="shared" si="142"/>
        <v>399.58193819355591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1.2847345617483878</v>
      </c>
      <c r="AA138" s="21">
        <f>EXP(-LN(2)/25)*AA137+(1-EXP(-LN(2)/25))/(LN(2)/25)*Calculateur!V138*Calculateur!X138*VLOOKUP('Données projet'!$B$9,Paramètres!$A$1:$I$89,3,0)*0.475*44/12</f>
        <v>1.8175821841100481</v>
      </c>
      <c r="AB138" s="21">
        <f>EXP(-LN(2)/2)*AB137+(1-EXP(-LN(2)/2))/(LN(2)/2)*V138*Y138*VLOOKUP('Données projet'!$B$9,Paramètres!$A$1:$I$89,3,0)*0.475*44/12</f>
        <v>5.1388756480921229E-15</v>
      </c>
      <c r="AC138" s="22">
        <f t="shared" si="111"/>
        <v>3.1023167458584413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-2.2737367544323206E-13</v>
      </c>
      <c r="AJ138" s="13">
        <f>AI138*VLOOKUP('Données projet'!$B$10,Paramètres!$A$1:$I$89,3,0)*VLOOKUP('Données projet'!$B$10,Paramètres!$A$1:$I$89,5,0)</f>
        <v>-1.0936673788819462E-13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364.67510777943329</v>
      </c>
      <c r="AO138" s="59">
        <f t="shared" si="144"/>
        <v>352.13878061387169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1.1054692740625665</v>
      </c>
      <c r="AV138" s="21">
        <f>EXP(-LN(2)/25)*AV137+(1-EXP(-LN(2)/25))/(LN(2)/25)*Calculateur!AQ138*Calculateur!AS138*VLOOKUP('Données projet'!$B$10,Paramètres!$A$1:$I$89,3,0)*0.475*44/12</f>
        <v>0.98019870733059711</v>
      </c>
      <c r="AW138" s="21">
        <f>EXP(-LN(2)/2)*AW137+(1-EXP(-LN(2)/2))/(LN(2)/2)*AQ138*AT138*VLOOKUP('Données projet'!$B$10,Paramètres!$A$1:$I$89,3,0)*0.475*44/12</f>
        <v>4.313602395181031E-15</v>
      </c>
      <c r="AX138" s="21">
        <f t="shared" si="114"/>
        <v>2.085667981393168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1.1368683772161603E-13</v>
      </c>
      <c r="BE138" s="13">
        <f>BD138*VLOOKUP('Données projet'!$B$11,Paramètres!$A$1:$I$89,3,0)*VLOOKUP('Données projet'!$B$11,Paramètres!$A$1:$I$89,5,0)</f>
        <v>6.7984728957526396E-14</v>
      </c>
      <c r="BF138" s="13">
        <f t="shared" si="145"/>
        <v>1.0682447123141398E-12</v>
      </c>
      <c r="BG138" s="20">
        <f t="shared" si="115"/>
        <v>1.978932943548152E-12</v>
      </c>
      <c r="BH138" s="59">
        <f t="shared" si="116"/>
        <v>293.3333333333353</v>
      </c>
      <c r="BI138" s="59">
        <f ca="1">AVERAGE(OFFSET($BH$3,0,0,'Données projet'!$E$11+1,1))-AVERAGE(OFFSET($H$3,0,0,'Données projet'!$E$11+1,1))</f>
        <v>289.66713787052475</v>
      </c>
      <c r="BJ138" s="59">
        <f t="shared" si="146"/>
        <v>298.29439200198652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0.98116560330825575</v>
      </c>
      <c r="BR138" s="21">
        <f>EXP(-LN(2)/2)*BR137+(1-EXP(-LN(2)/2))/(LN(2)/2)*BL138*BO138*VLOOKUP('Données projet'!$B$11,Paramètres!$A$1:$I$89,3,0)*0.475*44/12</f>
        <v>4.5030989944051172E-15</v>
      </c>
      <c r="BS138" s="22">
        <f t="shared" si="117"/>
        <v>0.9811656033082603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2.5420376914553347E-13</v>
      </c>
      <c r="P139" s="13">
        <f t="shared" si="141"/>
        <v>3.4258699088369875E-12</v>
      </c>
      <c r="Q139" s="20">
        <f t="shared" si="108"/>
        <v>6.4094616558195571E-12</v>
      </c>
      <c r="R139" s="59">
        <f t="shared" si="109"/>
        <v>293.33333333333974</v>
      </c>
      <c r="S139" s="59">
        <f ca="1">AVERAGE(OFFSET($R$3,0,0,'Données projet'!$E$9+1,1))-AVERAGE(OFFSET($H$3,0,0,'Données projet'!$E$9+1,1))</f>
        <v>394.9953131332565</v>
      </c>
      <c r="T139" s="59">
        <f t="shared" si="142"/>
        <v>399.58193819355591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1.2595417006032095</v>
      </c>
      <c r="AA139" s="21">
        <f>EXP(-LN(2)/25)*AA138+(1-EXP(-LN(2)/25))/(LN(2)/25)*Calculateur!V139*Calculateur!X139*VLOOKUP('Données projet'!$B$9,Paramètres!$A$1:$I$89,3,0)*0.475*44/12</f>
        <v>1.7678803037030659</v>
      </c>
      <c r="AB139" s="21">
        <f>EXP(-LN(2)/2)*AB138+(1-EXP(-LN(2)/2))/(LN(2)/2)*V139*Y139*VLOOKUP('Données projet'!$B$9,Paramètres!$A$1:$I$89,3,0)*0.475*44/12</f>
        <v>3.6337338184403542E-15</v>
      </c>
      <c r="AC139" s="22">
        <f t="shared" si="111"/>
        <v>3.0274220043062789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-2.2737367544323206E-13</v>
      </c>
      <c r="AJ139" s="13">
        <f>AI139*VLOOKUP('Données projet'!$B$10,Paramètres!$A$1:$I$89,3,0)*VLOOKUP('Données projet'!$B$10,Paramètres!$A$1:$I$89,5,0)</f>
        <v>-1.0936673788819462E-13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364.67510777943329</v>
      </c>
      <c r="AO139" s="59">
        <f t="shared" si="144"/>
        <v>352.13878061387169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1.0837916958678782</v>
      </c>
      <c r="AV139" s="21">
        <f>EXP(-LN(2)/25)*AV138+(1-EXP(-LN(2)/25))/(LN(2)/25)*Calculateur!AQ139*Calculateur!AS139*VLOOKUP('Données projet'!$B$10,Paramètres!$A$1:$I$89,3,0)*0.475*44/12</f>
        <v>0.95339512213223221</v>
      </c>
      <c r="AW139" s="21">
        <f>EXP(-LN(2)/2)*AW138+(1-EXP(-LN(2)/2))/(LN(2)/2)*AQ139*AT139*VLOOKUP('Données projet'!$B$10,Paramètres!$A$1:$I$89,3,0)*0.475*44/12</f>
        <v>3.0501775049750407E-15</v>
      </c>
      <c r="AX139" s="21">
        <f t="shared" si="114"/>
        <v>2.0371868180001136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1.1368683772161603E-13</v>
      </c>
      <c r="BE139" s="13">
        <f>BD139*VLOOKUP('Données projet'!$B$11,Paramètres!$A$1:$I$89,3,0)*VLOOKUP('Données projet'!$B$11,Paramètres!$A$1:$I$89,5,0)</f>
        <v>6.7984728957526396E-14</v>
      </c>
      <c r="BF139" s="13">
        <f t="shared" si="145"/>
        <v>1.0682447123141398E-12</v>
      </c>
      <c r="BG139" s="20">
        <f t="shared" si="115"/>
        <v>1.978932943548152E-12</v>
      </c>
      <c r="BH139" s="59">
        <f t="shared" si="116"/>
        <v>293.3333333333353</v>
      </c>
      <c r="BI139" s="59">
        <f ca="1">AVERAGE(OFFSET($BH$3,0,0,'Données projet'!$E$11+1,1))-AVERAGE(OFFSET($H$3,0,0,'Données projet'!$E$11+1,1))</f>
        <v>289.66713787052475</v>
      </c>
      <c r="BJ139" s="59">
        <f t="shared" si="146"/>
        <v>298.29439200198652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0.95433557828853488</v>
      </c>
      <c r="BR139" s="21">
        <f>EXP(-LN(2)/2)*BR138+(1-EXP(-LN(2)/2))/(LN(2)/2)*BL139*BO139*VLOOKUP('Données projet'!$B$11,Paramètres!$A$1:$I$89,3,0)*0.475*44/12</f>
        <v>3.1841718352981814E-15</v>
      </c>
      <c r="BS139" s="22">
        <f t="shared" si="117"/>
        <v>0.9543355782885381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2.5420376914553347E-13</v>
      </c>
      <c r="P140" s="13">
        <f t="shared" si="141"/>
        <v>3.4258699088369875E-12</v>
      </c>
      <c r="Q140" s="20">
        <f t="shared" si="108"/>
        <v>6.4094616558195571E-12</v>
      </c>
      <c r="R140" s="59">
        <f t="shared" si="109"/>
        <v>293.33333333333974</v>
      </c>
      <c r="S140" s="59">
        <f ca="1">AVERAGE(OFFSET($R$3,0,0,'Données projet'!$E$9+1,1))-AVERAGE(OFFSET($H$3,0,0,'Données projet'!$E$9+1,1))</f>
        <v>394.9953131332565</v>
      </c>
      <c r="T140" s="59">
        <f t="shared" si="142"/>
        <v>399.58193819355591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1.2348428560989599</v>
      </c>
      <c r="AA140" s="21">
        <f>EXP(-LN(2)/25)*AA139+(1-EXP(-LN(2)/25))/(LN(2)/25)*Calculateur!V140*Calculateur!X140*VLOOKUP('Données projet'!$B$9,Paramètres!$A$1:$I$89,3,0)*0.475*44/12</f>
        <v>1.719537523829521</v>
      </c>
      <c r="AB140" s="21">
        <f>EXP(-LN(2)/2)*AB139+(1-EXP(-LN(2)/2))/(LN(2)/2)*V140*Y140*VLOOKUP('Données projet'!$B$9,Paramètres!$A$1:$I$89,3,0)*0.475*44/12</f>
        <v>2.5694378240460615E-15</v>
      </c>
      <c r="AC140" s="22">
        <f t="shared" si="111"/>
        <v>2.9543803799284838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-2.2737367544323206E-13</v>
      </c>
      <c r="AJ140" s="13">
        <f>AI140*VLOOKUP('Données projet'!$B$10,Paramètres!$A$1:$I$89,3,0)*VLOOKUP('Données projet'!$B$10,Paramètres!$A$1:$I$89,5,0)</f>
        <v>-1.0936673788819462E-13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364.67510777943329</v>
      </c>
      <c r="AO140" s="59">
        <f t="shared" si="144"/>
        <v>352.13878061387169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1.0625392017595705</v>
      </c>
      <c r="AV140" s="21">
        <f>EXP(-LN(2)/25)*AV139+(1-EXP(-LN(2)/25))/(LN(2)/25)*Calculateur!AQ140*Calculateur!AS140*VLOOKUP('Données projet'!$B$10,Paramètres!$A$1:$I$89,3,0)*0.475*44/12</f>
        <v>0.9273244823806559</v>
      </c>
      <c r="AW140" s="21">
        <f>EXP(-LN(2)/2)*AW139+(1-EXP(-LN(2)/2))/(LN(2)/2)*AQ140*AT140*VLOOKUP('Données projet'!$B$10,Paramètres!$A$1:$I$89,3,0)*0.475*44/12</f>
        <v>2.1568011975905155E-15</v>
      </c>
      <c r="AX140" s="21">
        <f t="shared" si="114"/>
        <v>1.9898636841402286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1.1368683772161603E-13</v>
      </c>
      <c r="BE140" s="13">
        <f>BD140*VLOOKUP('Données projet'!$B$11,Paramètres!$A$1:$I$89,3,0)*VLOOKUP('Données projet'!$B$11,Paramètres!$A$1:$I$89,5,0)</f>
        <v>6.7984728957526396E-14</v>
      </c>
      <c r="BF140" s="13">
        <f t="shared" si="145"/>
        <v>1.0682447123141398E-12</v>
      </c>
      <c r="BG140" s="20">
        <f t="shared" si="115"/>
        <v>1.978932943548152E-12</v>
      </c>
      <c r="BH140" s="59">
        <f t="shared" si="116"/>
        <v>293.3333333333353</v>
      </c>
      <c r="BI140" s="59">
        <f ca="1">AVERAGE(OFFSET($BH$3,0,0,'Données projet'!$E$11+1,1))-AVERAGE(OFFSET($H$3,0,0,'Données projet'!$E$11+1,1))</f>
        <v>289.66713787052475</v>
      </c>
      <c r="BJ140" s="59">
        <f t="shared" si="146"/>
        <v>298.29439200198652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0.92823922171390805</v>
      </c>
      <c r="BR140" s="21">
        <f>EXP(-LN(2)/2)*BR139+(1-EXP(-LN(2)/2))/(LN(2)/2)*BL140*BO140*VLOOKUP('Données projet'!$B$11,Paramètres!$A$1:$I$89,3,0)*0.475*44/12</f>
        <v>2.2515494972025586E-15</v>
      </c>
      <c r="BS140" s="22">
        <f t="shared" si="117"/>
        <v>0.92823922171391027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2.5420376914553347E-13</v>
      </c>
      <c r="P141" s="13">
        <f t="shared" si="141"/>
        <v>3.4258699088369875E-12</v>
      </c>
      <c r="Q141" s="20">
        <f t="shared" si="108"/>
        <v>6.4094616558195571E-12</v>
      </c>
      <c r="R141" s="59">
        <f t="shared" si="109"/>
        <v>293.33333333333974</v>
      </c>
      <c r="S141" s="59">
        <f ca="1">AVERAGE(OFFSET($R$3,0,0,'Données projet'!$E$9+1,1))-AVERAGE(OFFSET($H$3,0,0,'Données projet'!$E$9+1,1))</f>
        <v>394.9953131332565</v>
      </c>
      <c r="T141" s="59">
        <f t="shared" si="142"/>
        <v>399.58193819355591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1.2106283408706313</v>
      </c>
      <c r="AA141" s="21">
        <f>EXP(-LN(2)/25)*AA140+(1-EXP(-LN(2)/25))/(LN(2)/25)*Calculateur!V141*Calculateur!X141*VLOOKUP('Données projet'!$B$9,Paramètres!$A$1:$I$89,3,0)*0.475*44/12</f>
        <v>1.6725166798138544</v>
      </c>
      <c r="AB141" s="21">
        <f>EXP(-LN(2)/2)*AB140+(1-EXP(-LN(2)/2))/(LN(2)/2)*V141*Y141*VLOOKUP('Données projet'!$B$9,Paramètres!$A$1:$I$89,3,0)*0.475*44/12</f>
        <v>1.8168669092201771E-15</v>
      </c>
      <c r="AC141" s="22">
        <f t="shared" si="111"/>
        <v>2.8831450206844877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-2.2737367544323206E-13</v>
      </c>
      <c r="AJ141" s="13">
        <f>AI141*VLOOKUP('Données projet'!$B$10,Paramètres!$A$1:$I$89,3,0)*VLOOKUP('Données projet'!$B$10,Paramètres!$A$1:$I$89,5,0)</f>
        <v>-1.0936673788819462E-13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364.67510777943329</v>
      </c>
      <c r="AO141" s="59">
        <f t="shared" si="144"/>
        <v>352.13878061387169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1.0417034560979854</v>
      </c>
      <c r="AV141" s="21">
        <f>EXP(-LN(2)/25)*AV140+(1-EXP(-LN(2)/25))/(LN(2)/25)*Calculateur!AQ141*Calculateur!AS141*VLOOKUP('Données projet'!$B$10,Paramètres!$A$1:$I$89,3,0)*0.475*44/12</f>
        <v>0.90196674564408175</v>
      </c>
      <c r="AW141" s="21">
        <f>EXP(-LN(2)/2)*AW140+(1-EXP(-LN(2)/2))/(LN(2)/2)*AQ141*AT141*VLOOKUP('Données projet'!$B$10,Paramètres!$A$1:$I$89,3,0)*0.475*44/12</f>
        <v>1.5250887524875203E-15</v>
      </c>
      <c r="AX141" s="21">
        <f t="shared" si="114"/>
        <v>1.9436702017420686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1.1368683772161603E-13</v>
      </c>
      <c r="BE141" s="13">
        <f>BD141*VLOOKUP('Données projet'!$B$11,Paramètres!$A$1:$I$89,3,0)*VLOOKUP('Données projet'!$B$11,Paramètres!$A$1:$I$89,5,0)</f>
        <v>6.7984728957526396E-14</v>
      </c>
      <c r="BF141" s="13">
        <f t="shared" si="145"/>
        <v>1.0682447123141398E-12</v>
      </c>
      <c r="BG141" s="20">
        <f t="shared" si="115"/>
        <v>1.978932943548152E-12</v>
      </c>
      <c r="BH141" s="59">
        <f t="shared" si="116"/>
        <v>293.3333333333353</v>
      </c>
      <c r="BI141" s="59">
        <f ca="1">AVERAGE(OFFSET($BH$3,0,0,'Données projet'!$E$11+1,1))-AVERAGE(OFFSET($H$3,0,0,'Données projet'!$E$11+1,1))</f>
        <v>289.66713787052475</v>
      </c>
      <c r="BJ141" s="59">
        <f t="shared" si="146"/>
        <v>298.29439200198652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0.90285647138216207</v>
      </c>
      <c r="BR141" s="21">
        <f>EXP(-LN(2)/2)*BR140+(1-EXP(-LN(2)/2))/(LN(2)/2)*BL141*BO141*VLOOKUP('Données projet'!$B$11,Paramètres!$A$1:$I$89,3,0)*0.475*44/12</f>
        <v>1.5920859176490907E-15</v>
      </c>
      <c r="BS141" s="22">
        <f t="shared" si="117"/>
        <v>0.90285647138216363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2.5420376914553347E-13</v>
      </c>
      <c r="P142" s="13">
        <f t="shared" si="141"/>
        <v>3.4258699088369875E-12</v>
      </c>
      <c r="Q142" s="20">
        <f t="shared" si="108"/>
        <v>6.4094616558195571E-12</v>
      </c>
      <c r="R142" s="59">
        <f t="shared" si="109"/>
        <v>293.33333333333974</v>
      </c>
      <c r="S142" s="59">
        <f ca="1">AVERAGE(OFFSET($R$3,0,0,'Données projet'!$E$9+1,1))-AVERAGE(OFFSET($H$3,0,0,'Données projet'!$E$9+1,1))</f>
        <v>394.9953131332565</v>
      </c>
      <c r="T142" s="59">
        <f t="shared" si="142"/>
        <v>399.58193819355591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1.1868886575165343</v>
      </c>
      <c r="AA142" s="21">
        <f>EXP(-LN(2)/25)*AA141+(1-EXP(-LN(2)/25))/(LN(2)/25)*Calculateur!V142*Calculateur!X142*VLOOKUP('Données projet'!$B$9,Paramètres!$A$1:$I$89,3,0)*0.475*44/12</f>
        <v>1.626781623250515</v>
      </c>
      <c r="AB142" s="21">
        <f>EXP(-LN(2)/2)*AB141+(1-EXP(-LN(2)/2))/(LN(2)/2)*V142*Y142*VLOOKUP('Données projet'!$B$9,Paramètres!$A$1:$I$89,3,0)*0.475*44/12</f>
        <v>1.2847189120230307E-15</v>
      </c>
      <c r="AC142" s="22">
        <f t="shared" si="111"/>
        <v>2.8136702807670506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-2.2737367544323206E-13</v>
      </c>
      <c r="AJ142" s="13">
        <f>AI142*VLOOKUP('Données projet'!$B$10,Paramètres!$A$1:$I$89,3,0)*VLOOKUP('Données projet'!$B$10,Paramètres!$A$1:$I$89,5,0)</f>
        <v>-1.0936673788819462E-13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364.67510777943329</v>
      </c>
      <c r="AO142" s="59">
        <f t="shared" si="144"/>
        <v>352.13878061387169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1.021276286700274</v>
      </c>
      <c r="AV142" s="21">
        <f>EXP(-LN(2)/25)*AV141+(1-EXP(-LN(2)/25))/(LN(2)/25)*Calculateur!AQ142*Calculateur!AS142*VLOOKUP('Données projet'!$B$10,Paramètres!$A$1:$I$89,3,0)*0.475*44/12</f>
        <v>0.87730241755207461</v>
      </c>
      <c r="AW142" s="21">
        <f>EXP(-LN(2)/2)*AW141+(1-EXP(-LN(2)/2))/(LN(2)/2)*AQ142*AT142*VLOOKUP('Données projet'!$B$10,Paramètres!$A$1:$I$89,3,0)*0.475*44/12</f>
        <v>1.0784005987952578E-15</v>
      </c>
      <c r="AX142" s="21">
        <f t="shared" si="114"/>
        <v>1.8985787042523496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1.1368683772161603E-13</v>
      </c>
      <c r="BE142" s="13">
        <f>BD142*VLOOKUP('Données projet'!$B$11,Paramètres!$A$1:$I$89,3,0)*VLOOKUP('Données projet'!$B$11,Paramètres!$A$1:$I$89,5,0)</f>
        <v>6.7984728957526396E-14</v>
      </c>
      <c r="BF142" s="13">
        <f t="shared" si="145"/>
        <v>1.0682447123141398E-12</v>
      </c>
      <c r="BG142" s="20">
        <f t="shared" si="115"/>
        <v>1.978932943548152E-12</v>
      </c>
      <c r="BH142" s="59">
        <f t="shared" si="116"/>
        <v>293.3333333333353</v>
      </c>
      <c r="BI142" s="59">
        <f ca="1">AVERAGE(OFFSET($BH$3,0,0,'Données projet'!$E$11+1,1))-AVERAGE(OFFSET($H$3,0,0,'Données projet'!$E$11+1,1))</f>
        <v>289.66713787052475</v>
      </c>
      <c r="BJ142" s="59">
        <f t="shared" si="146"/>
        <v>298.29439200198652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0.87816781369305852</v>
      </c>
      <c r="BR142" s="21">
        <f>EXP(-LN(2)/2)*BR141+(1-EXP(-LN(2)/2))/(LN(2)/2)*BL142*BO142*VLOOKUP('Données projet'!$B$11,Paramètres!$A$1:$I$89,3,0)*0.475*44/12</f>
        <v>1.1257747486012793E-15</v>
      </c>
      <c r="BS142" s="22">
        <f t="shared" si="117"/>
        <v>0.87816781369305963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2.5420376914553347E-13</v>
      </c>
      <c r="P143" s="13">
        <f t="shared" si="141"/>
        <v>3.4258699088369875E-12</v>
      </c>
      <c r="Q143" s="20">
        <f t="shared" si="108"/>
        <v>6.4094616558195571E-12</v>
      </c>
      <c r="R143" s="59">
        <f t="shared" si="109"/>
        <v>293.33333333333974</v>
      </c>
      <c r="S143" s="59">
        <f ca="1">AVERAGE(OFFSET($R$3,0,0,'Données projet'!$E$9+1,1))-AVERAGE(OFFSET($H$3,0,0,'Données projet'!$E$9+1,1))</f>
        <v>394.9953131332565</v>
      </c>
      <c r="T143" s="59">
        <f t="shared" si="142"/>
        <v>399.58193819355591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1.1636144948732339</v>
      </c>
      <c r="AA143" s="21">
        <f>EXP(-LN(2)/25)*AA142+(1-EXP(-LN(2)/25))/(LN(2)/25)*Calculateur!V143*Calculateur!X143*VLOOKUP('Données projet'!$B$9,Paramètres!$A$1:$I$89,3,0)*0.475*44/12</f>
        <v>1.5822971942140023</v>
      </c>
      <c r="AB143" s="21">
        <f>EXP(-LN(2)/2)*AB142+(1-EXP(-LN(2)/2))/(LN(2)/2)*V143*Y143*VLOOKUP('Données projet'!$B$9,Paramètres!$A$1:$I$89,3,0)*0.475*44/12</f>
        <v>9.0843345461008856E-16</v>
      </c>
      <c r="AC143" s="22">
        <f t="shared" si="111"/>
        <v>2.745911689087237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-2.2737367544323206E-13</v>
      </c>
      <c r="AJ143" s="13">
        <f>AI143*VLOOKUP('Données projet'!$B$10,Paramètres!$A$1:$I$89,3,0)*VLOOKUP('Données projet'!$B$10,Paramètres!$A$1:$I$89,5,0)</f>
        <v>-1.0936673788819462E-13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364.67510777943329</v>
      </c>
      <c r="AO143" s="59">
        <f t="shared" si="144"/>
        <v>352.13878061387169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1.0012496816351086</v>
      </c>
      <c r="AV143" s="21">
        <f>EXP(-LN(2)/25)*AV142+(1-EXP(-LN(2)/25))/(LN(2)/25)*Calculateur!AQ143*Calculateur!AS143*VLOOKUP('Données projet'!$B$10,Paramètres!$A$1:$I$89,3,0)*0.475*44/12</f>
        <v>0.85331253680878405</v>
      </c>
      <c r="AW143" s="21">
        <f>EXP(-LN(2)/2)*AW142+(1-EXP(-LN(2)/2))/(LN(2)/2)*AQ143*AT143*VLOOKUP('Données projet'!$B$10,Paramètres!$A$1:$I$89,3,0)*0.475*44/12</f>
        <v>7.6254437624376017E-16</v>
      </c>
      <c r="AX143" s="21">
        <f t="shared" si="114"/>
        <v>1.8545622184438935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1.1368683772161603E-13</v>
      </c>
      <c r="BE143" s="13">
        <f>BD143*VLOOKUP('Données projet'!$B$11,Paramètres!$A$1:$I$89,3,0)*VLOOKUP('Données projet'!$B$11,Paramètres!$A$1:$I$89,5,0)</f>
        <v>6.7984728957526396E-14</v>
      </c>
      <c r="BF143" s="13">
        <f t="shared" si="145"/>
        <v>1.0682447123141398E-12</v>
      </c>
      <c r="BG143" s="20">
        <f t="shared" si="115"/>
        <v>1.978932943548152E-12</v>
      </c>
      <c r="BH143" s="59">
        <f t="shared" si="116"/>
        <v>293.3333333333353</v>
      </c>
      <c r="BI143" s="59">
        <f ca="1">AVERAGE(OFFSET($BH$3,0,0,'Données projet'!$E$11+1,1))-AVERAGE(OFFSET($H$3,0,0,'Données projet'!$E$11+1,1))</f>
        <v>289.66713787052475</v>
      </c>
      <c r="BJ143" s="59">
        <f t="shared" si="146"/>
        <v>298.29439200198652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0.85415426864678357</v>
      </c>
      <c r="BR143" s="21">
        <f>EXP(-LN(2)/2)*BR142+(1-EXP(-LN(2)/2))/(LN(2)/2)*BL143*BO143*VLOOKUP('Données projet'!$B$11,Paramètres!$A$1:$I$89,3,0)*0.475*44/12</f>
        <v>7.9604295882454536E-16</v>
      </c>
      <c r="BS143" s="22">
        <f t="shared" si="117"/>
        <v>0.85415426864678434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2.5420376914553347E-13</v>
      </c>
      <c r="P144" s="13">
        <f t="shared" si="141"/>
        <v>3.4258699088369875E-12</v>
      </c>
      <c r="Q144" s="20">
        <f t="shared" si="108"/>
        <v>6.4094616558195571E-12</v>
      </c>
      <c r="R144" s="59">
        <f t="shared" si="109"/>
        <v>293.33333333333974</v>
      </c>
      <c r="S144" s="59">
        <f ca="1">AVERAGE(OFFSET($R$3,0,0,'Données projet'!$E$9+1,1))-AVERAGE(OFFSET($H$3,0,0,'Données projet'!$E$9+1,1))</f>
        <v>394.9953131332565</v>
      </c>
      <c r="T144" s="59">
        <f t="shared" si="142"/>
        <v>399.58193819355591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1.1407967243635311</v>
      </c>
      <c r="AA144" s="21">
        <f>EXP(-LN(2)/25)*AA143+(1-EXP(-LN(2)/25))/(LN(2)/25)*Calculateur!V144*Calculateur!X144*VLOOKUP('Données projet'!$B$9,Paramètres!$A$1:$I$89,3,0)*0.475*44/12</f>
        <v>1.5390291942288272</v>
      </c>
      <c r="AB144" s="21">
        <f>EXP(-LN(2)/2)*AB143+(1-EXP(-LN(2)/2))/(LN(2)/2)*V144*Y144*VLOOKUP('Données projet'!$B$9,Paramètres!$A$1:$I$89,3,0)*0.475*44/12</f>
        <v>6.4235945601151537E-16</v>
      </c>
      <c r="AC144" s="22">
        <f t="shared" si="111"/>
        <v>2.6798259185923587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-2.2737367544323206E-13</v>
      </c>
      <c r="AJ144" s="13">
        <f>AI144*VLOOKUP('Données projet'!$B$10,Paramètres!$A$1:$I$89,3,0)*VLOOKUP('Données projet'!$B$10,Paramètres!$A$1:$I$89,5,0)</f>
        <v>-1.0936673788819462E-13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364.67510777943329</v>
      </c>
      <c r="AO144" s="59">
        <f t="shared" si="144"/>
        <v>352.13878061387169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0.98161578608024813</v>
      </c>
      <c r="AV144" s="21">
        <f>EXP(-LN(2)/25)*AV143+(1-EXP(-LN(2)/25))/(LN(2)/25)*Calculateur!AQ144*Calculateur!AS144*VLOOKUP('Données projet'!$B$10,Paramètres!$A$1:$I$89,3,0)*0.475*44/12</f>
        <v>0.82997866061599179</v>
      </c>
      <c r="AW144" s="21">
        <f>EXP(-LN(2)/2)*AW143+(1-EXP(-LN(2)/2))/(LN(2)/2)*AQ144*AT144*VLOOKUP('Données projet'!$B$10,Paramètres!$A$1:$I$89,3,0)*0.475*44/12</f>
        <v>5.3920029939762888E-16</v>
      </c>
      <c r="AX144" s="21">
        <f t="shared" si="114"/>
        <v>1.8115944466962404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1.1368683772161603E-13</v>
      </c>
      <c r="BE144" s="13">
        <f>BD144*VLOOKUP('Données projet'!$B$11,Paramètres!$A$1:$I$89,3,0)*VLOOKUP('Données projet'!$B$11,Paramètres!$A$1:$I$89,5,0)</f>
        <v>6.7984728957526396E-14</v>
      </c>
      <c r="BF144" s="13">
        <f t="shared" si="145"/>
        <v>1.0682447123141398E-12</v>
      </c>
      <c r="BG144" s="20">
        <f t="shared" si="115"/>
        <v>1.978932943548152E-12</v>
      </c>
      <c r="BH144" s="59">
        <f t="shared" si="116"/>
        <v>293.3333333333353</v>
      </c>
      <c r="BI144" s="59">
        <f ca="1">AVERAGE(OFFSET($BH$3,0,0,'Données projet'!$E$11+1,1))-AVERAGE(OFFSET($H$3,0,0,'Données projet'!$E$11+1,1))</f>
        <v>289.66713787052475</v>
      </c>
      <c r="BJ144" s="59">
        <f t="shared" si="146"/>
        <v>298.29439200198652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0.83079737525261643</v>
      </c>
      <c r="BR144" s="21">
        <f>EXP(-LN(2)/2)*BR143+(1-EXP(-LN(2)/2))/(LN(2)/2)*BL144*BO144*VLOOKUP('Données projet'!$B$11,Paramètres!$A$1:$I$89,3,0)*0.475*44/12</f>
        <v>5.6288737430063965E-16</v>
      </c>
      <c r="BS144" s="22">
        <f t="shared" si="117"/>
        <v>0.83079737525261699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2.5420376914553347E-13</v>
      </c>
      <c r="P145" s="13">
        <f t="shared" si="141"/>
        <v>3.4258699088369875E-12</v>
      </c>
      <c r="Q145" s="20">
        <f t="shared" si="108"/>
        <v>6.4094616558195571E-12</v>
      </c>
      <c r="R145" s="59">
        <f t="shared" si="109"/>
        <v>293.33333333333974</v>
      </c>
      <c r="S145" s="59">
        <f ca="1">AVERAGE(OFFSET($R$3,0,0,'Données projet'!$E$9+1,1))-AVERAGE(OFFSET($H$3,0,0,'Données projet'!$E$9+1,1))</f>
        <v>394.9953131332565</v>
      </c>
      <c r="T145" s="59">
        <f t="shared" si="142"/>
        <v>399.58193819355591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1.1184263964160579</v>
      </c>
      <c r="AA145" s="21">
        <f>EXP(-LN(2)/25)*AA144+(1-EXP(-LN(2)/25))/(LN(2)/25)*Calculateur!V145*Calculateur!X145*VLOOKUP('Données projet'!$B$9,Paramètres!$A$1:$I$89,3,0)*0.475*44/12</f>
        <v>1.4969443599786121</v>
      </c>
      <c r="AB145" s="21">
        <f>EXP(-LN(2)/2)*AB144+(1-EXP(-LN(2)/2))/(LN(2)/2)*V145*Y145*VLOOKUP('Données projet'!$B$9,Paramètres!$A$1:$I$89,3,0)*0.475*44/12</f>
        <v>4.5421672730504428E-16</v>
      </c>
      <c r="AC145" s="22">
        <f t="shared" si="111"/>
        <v>2.6153707563946704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-2.2737367544323206E-13</v>
      </c>
      <c r="AJ145" s="13">
        <f>AI145*VLOOKUP('Données projet'!$B$10,Paramètres!$A$1:$I$89,3,0)*VLOOKUP('Données projet'!$B$10,Paramètres!$A$1:$I$89,5,0)</f>
        <v>-1.0936673788819462E-13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364.67510777943329</v>
      </c>
      <c r="AO145" s="59">
        <f t="shared" si="144"/>
        <v>352.13878061387169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0.96236689924172469</v>
      </c>
      <c r="AV145" s="21">
        <f>EXP(-LN(2)/25)*AV144+(1-EXP(-LN(2)/25))/(LN(2)/25)*Calculateur!AQ145*Calculateur!AS145*VLOOKUP('Données projet'!$B$10,Paramètres!$A$1:$I$89,3,0)*0.475*44/12</f>
        <v>0.80728285049476667</v>
      </c>
      <c r="AW145" s="21">
        <f>EXP(-LN(2)/2)*AW144+(1-EXP(-LN(2)/2))/(LN(2)/2)*AQ145*AT145*VLOOKUP('Données projet'!$B$10,Paramètres!$A$1:$I$89,3,0)*0.475*44/12</f>
        <v>3.8127218812188009E-16</v>
      </c>
      <c r="AX145" s="21">
        <f t="shared" si="114"/>
        <v>1.7696497497364918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1.1368683772161603E-13</v>
      </c>
      <c r="BE145" s="13">
        <f>BD145*VLOOKUP('Données projet'!$B$11,Paramètres!$A$1:$I$89,3,0)*VLOOKUP('Données projet'!$B$11,Paramètres!$A$1:$I$89,5,0)</f>
        <v>6.7984728957526396E-14</v>
      </c>
      <c r="BF145" s="13">
        <f t="shared" si="145"/>
        <v>1.0682447123141398E-12</v>
      </c>
      <c r="BG145" s="20">
        <f t="shared" si="115"/>
        <v>1.978932943548152E-12</v>
      </c>
      <c r="BH145" s="59">
        <f t="shared" si="116"/>
        <v>293.3333333333353</v>
      </c>
      <c r="BI145" s="59">
        <f ca="1">AVERAGE(OFFSET($BH$3,0,0,'Données projet'!$E$11+1,1))-AVERAGE(OFFSET($H$3,0,0,'Données projet'!$E$11+1,1))</f>
        <v>289.66713787052475</v>
      </c>
      <c r="BJ145" s="59">
        <f t="shared" si="146"/>
        <v>298.29439200198652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0.80807917733659851</v>
      </c>
      <c r="BR145" s="21">
        <f>EXP(-LN(2)/2)*BR144+(1-EXP(-LN(2)/2))/(LN(2)/2)*BL145*BO145*VLOOKUP('Données projet'!$B$11,Paramètres!$A$1:$I$89,3,0)*0.475*44/12</f>
        <v>3.9802147941227268E-16</v>
      </c>
      <c r="BS145" s="22">
        <f t="shared" si="117"/>
        <v>0.80807917733659895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2.5420376914553347E-13</v>
      </c>
      <c r="P146" s="13">
        <f t="shared" si="141"/>
        <v>3.4258699088369875E-12</v>
      </c>
      <c r="Q146" s="20">
        <f t="shared" si="108"/>
        <v>6.4094616558195571E-12</v>
      </c>
      <c r="R146" s="59">
        <f t="shared" si="109"/>
        <v>293.33333333333974</v>
      </c>
      <c r="S146" s="59">
        <f ca="1">AVERAGE(OFFSET($R$3,0,0,'Données projet'!$E$9+1,1))-AVERAGE(OFFSET($H$3,0,0,'Données projet'!$E$9+1,1))</f>
        <v>394.9953131332565</v>
      </c>
      <c r="T146" s="59">
        <f t="shared" si="142"/>
        <v>399.58193819355591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1.0964947369550819</v>
      </c>
      <c r="AA146" s="21">
        <f>EXP(-LN(2)/25)*AA145+(1-EXP(-LN(2)/25))/(LN(2)/25)*Calculateur!V146*Calculateur!X146*VLOOKUP('Données projet'!$B$9,Paramètres!$A$1:$I$89,3,0)*0.475*44/12</f>
        <v>1.4560103377341143</v>
      </c>
      <c r="AB146" s="21">
        <f>EXP(-LN(2)/2)*AB145+(1-EXP(-LN(2)/2))/(LN(2)/2)*V146*Y146*VLOOKUP('Données projet'!$B$9,Paramètres!$A$1:$I$89,3,0)*0.475*44/12</f>
        <v>3.2117972800575768E-16</v>
      </c>
      <c r="AC146" s="22">
        <f t="shared" si="111"/>
        <v>2.5525050746891966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-2.2737367544323206E-13</v>
      </c>
      <c r="AJ146" s="13">
        <f>AI146*VLOOKUP('Données projet'!$B$10,Paramètres!$A$1:$I$89,3,0)*VLOOKUP('Données projet'!$B$10,Paramètres!$A$1:$I$89,5,0)</f>
        <v>-1.0936673788819462E-13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364.67510777943329</v>
      </c>
      <c r="AO146" s="59">
        <f t="shared" si="144"/>
        <v>352.13878061387169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0.94349547133344303</v>
      </c>
      <c r="AV146" s="21">
        <f>EXP(-LN(2)/25)*AV145+(1-EXP(-LN(2)/25))/(LN(2)/25)*Calculateur!AQ146*Calculateur!AS146*VLOOKUP('Données projet'!$B$10,Paramètres!$A$1:$I$89,3,0)*0.475*44/12</f>
        <v>0.78520765849482721</v>
      </c>
      <c r="AW146" s="21">
        <f>EXP(-LN(2)/2)*AW145+(1-EXP(-LN(2)/2))/(LN(2)/2)*AQ146*AT146*VLOOKUP('Données projet'!$B$10,Paramètres!$A$1:$I$89,3,0)*0.475*44/12</f>
        <v>2.6960014969881444E-16</v>
      </c>
      <c r="AX146" s="21">
        <f t="shared" si="114"/>
        <v>1.7287031298282705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1.1368683772161603E-13</v>
      </c>
      <c r="BE146" s="13">
        <f>BD146*VLOOKUP('Données projet'!$B$11,Paramètres!$A$1:$I$89,3,0)*VLOOKUP('Données projet'!$B$11,Paramètres!$A$1:$I$89,5,0)</f>
        <v>6.7984728957526396E-14</v>
      </c>
      <c r="BF146" s="13">
        <f t="shared" si="145"/>
        <v>1.0682447123141398E-12</v>
      </c>
      <c r="BG146" s="20">
        <f t="shared" si="115"/>
        <v>1.978932943548152E-12</v>
      </c>
      <c r="BH146" s="59">
        <f t="shared" si="116"/>
        <v>293.3333333333353</v>
      </c>
      <c r="BI146" s="59">
        <f ca="1">AVERAGE(OFFSET($BH$3,0,0,'Données projet'!$E$11+1,1))-AVERAGE(OFFSET($H$3,0,0,'Données projet'!$E$11+1,1))</f>
        <v>289.66713787052475</v>
      </c>
      <c r="BJ146" s="59">
        <f t="shared" si="146"/>
        <v>298.29439200198652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0.78598220973729216</v>
      </c>
      <c r="BR146" s="21">
        <f>EXP(-LN(2)/2)*BR145+(1-EXP(-LN(2)/2))/(LN(2)/2)*BL146*BO146*VLOOKUP('Données projet'!$B$11,Paramètres!$A$1:$I$89,3,0)*0.475*44/12</f>
        <v>2.8144368715031982E-16</v>
      </c>
      <c r="BS146" s="22">
        <f t="shared" si="117"/>
        <v>0.78598220973729249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2.5420376914553347E-13</v>
      </c>
      <c r="P147" s="13">
        <f t="shared" si="141"/>
        <v>3.4258699088369875E-12</v>
      </c>
      <c r="Q147" s="20">
        <f t="shared" si="108"/>
        <v>6.4094616558195571E-12</v>
      </c>
      <c r="R147" s="59">
        <f t="shared" si="109"/>
        <v>293.33333333333974</v>
      </c>
      <c r="S147" s="59">
        <f ca="1">AVERAGE(OFFSET($R$3,0,0,'Données projet'!$E$9+1,1))-AVERAGE(OFFSET($H$3,0,0,'Données projet'!$E$9+1,1))</f>
        <v>394.9953131332565</v>
      </c>
      <c r="T147" s="59">
        <f t="shared" si="142"/>
        <v>399.58193819355591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1.0749931439591442</v>
      </c>
      <c r="AA147" s="21">
        <f>EXP(-LN(2)/25)*AA146+(1-EXP(-LN(2)/25))/(LN(2)/25)*Calculateur!V147*Calculateur!X147*VLOOKUP('Données projet'!$B$9,Paramètres!$A$1:$I$89,3,0)*0.475*44/12</f>
        <v>1.4161956584805191</v>
      </c>
      <c r="AB147" s="21">
        <f>EXP(-LN(2)/2)*AB146+(1-EXP(-LN(2)/2))/(LN(2)/2)*V147*Y147*VLOOKUP('Données projet'!$B$9,Paramètres!$A$1:$I$89,3,0)*0.475*44/12</f>
        <v>2.2710836365252214E-16</v>
      </c>
      <c r="AC147" s="22">
        <f t="shared" si="111"/>
        <v>2.4911888024396638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-2.2737367544323206E-13</v>
      </c>
      <c r="AJ147" s="13">
        <f>AI147*VLOOKUP('Données projet'!$B$10,Paramètres!$A$1:$I$89,3,0)*VLOOKUP('Données projet'!$B$10,Paramètres!$A$1:$I$89,5,0)</f>
        <v>-1.0936673788819462E-13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364.67510777943329</v>
      </c>
      <c r="AO147" s="59">
        <f t="shared" si="144"/>
        <v>352.13878061387169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0.92499410061600829</v>
      </c>
      <c r="AV147" s="21">
        <f>EXP(-LN(2)/25)*AV146+(1-EXP(-LN(2)/25))/(LN(2)/25)*Calculateur!AQ147*Calculateur!AS147*VLOOKUP('Données projet'!$B$10,Paramètres!$A$1:$I$89,3,0)*0.475*44/12</f>
        <v>0.76373611378101003</v>
      </c>
      <c r="AW147" s="21">
        <f>EXP(-LN(2)/2)*AW146+(1-EXP(-LN(2)/2))/(LN(2)/2)*AQ147*AT147*VLOOKUP('Données projet'!$B$10,Paramètres!$A$1:$I$89,3,0)*0.475*44/12</f>
        <v>1.9063609406094004E-16</v>
      </c>
      <c r="AX147" s="21">
        <f t="shared" si="114"/>
        <v>1.6887302143970186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1.1368683772161603E-13</v>
      </c>
      <c r="BE147" s="13">
        <f>BD147*VLOOKUP('Données projet'!$B$11,Paramètres!$A$1:$I$89,3,0)*VLOOKUP('Données projet'!$B$11,Paramètres!$A$1:$I$89,5,0)</f>
        <v>6.7984728957526396E-14</v>
      </c>
      <c r="BF147" s="13">
        <f t="shared" si="145"/>
        <v>1.0682447123141398E-12</v>
      </c>
      <c r="BG147" s="20">
        <f t="shared" si="115"/>
        <v>1.978932943548152E-12</v>
      </c>
      <c r="BH147" s="59">
        <f t="shared" si="116"/>
        <v>293.3333333333353</v>
      </c>
      <c r="BI147" s="59">
        <f ca="1">AVERAGE(OFFSET($BH$3,0,0,'Données projet'!$E$11+1,1))-AVERAGE(OFFSET($H$3,0,0,'Données projet'!$E$11+1,1))</f>
        <v>289.66713787052475</v>
      </c>
      <c r="BJ147" s="59">
        <f t="shared" si="146"/>
        <v>298.29439200198652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0.76448948487901791</v>
      </c>
      <c r="BR147" s="21">
        <f>EXP(-LN(2)/2)*BR146+(1-EXP(-LN(2)/2))/(LN(2)/2)*BL147*BO147*VLOOKUP('Données projet'!$B$11,Paramètres!$A$1:$I$89,3,0)*0.475*44/12</f>
        <v>1.9901073970613634E-16</v>
      </c>
      <c r="BS147" s="22">
        <f t="shared" si="117"/>
        <v>0.76448948487901813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2.5420376914553347E-13</v>
      </c>
      <c r="P148" s="13">
        <f t="shared" si="141"/>
        <v>3.4258699088369875E-12</v>
      </c>
      <c r="Q148" s="20">
        <f t="shared" si="108"/>
        <v>6.4094616558195571E-12</v>
      </c>
      <c r="R148" s="59">
        <f t="shared" si="109"/>
        <v>293.33333333333974</v>
      </c>
      <c r="S148" s="59">
        <f ca="1">AVERAGE(OFFSET($R$3,0,0,'Données projet'!$E$9+1,1))-AVERAGE(OFFSET($H$3,0,0,'Données projet'!$E$9+1,1))</f>
        <v>394.9953131332565</v>
      </c>
      <c r="T148" s="59">
        <f t="shared" si="142"/>
        <v>399.58193819355591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1.05391318408718</v>
      </c>
      <c r="AA148" s="21">
        <f>EXP(-LN(2)/25)*AA147+(1-EXP(-LN(2)/25))/(LN(2)/25)*Calculateur!V148*Calculateur!X148*VLOOKUP('Données projet'!$B$9,Paramètres!$A$1:$I$89,3,0)*0.475*44/12</f>
        <v>1.3774697137248764</v>
      </c>
      <c r="AB148" s="21">
        <f>EXP(-LN(2)/2)*AB147+(1-EXP(-LN(2)/2))/(LN(2)/2)*V148*Y148*VLOOKUP('Données projet'!$B$9,Paramètres!$A$1:$I$89,3,0)*0.475*44/12</f>
        <v>1.6058986400287884E-16</v>
      </c>
      <c r="AC148" s="22">
        <f t="shared" si="111"/>
        <v>2.4313828978120564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-2.2737367544323206E-13</v>
      </c>
      <c r="AJ148" s="13">
        <f>AI148*VLOOKUP('Données projet'!$B$10,Paramètres!$A$1:$I$89,3,0)*VLOOKUP('Données projet'!$B$10,Paramètres!$A$1:$I$89,5,0)</f>
        <v>-1.0936673788819462E-13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364.67510777943329</v>
      </c>
      <c r="AO148" s="59">
        <f t="shared" si="144"/>
        <v>352.13878061387169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0.90685553049362055</v>
      </c>
      <c r="AV148" s="21">
        <f>EXP(-LN(2)/25)*AV147+(1-EXP(-LN(2)/25))/(LN(2)/25)*Calculateur!AQ148*Calculateur!AS148*VLOOKUP('Données projet'!$B$10,Paramètres!$A$1:$I$89,3,0)*0.475*44/12</f>
        <v>0.74285170958653168</v>
      </c>
      <c r="AW148" s="21">
        <f>EXP(-LN(2)/2)*AW147+(1-EXP(-LN(2)/2))/(LN(2)/2)*AQ148*AT148*VLOOKUP('Données projet'!$B$10,Paramètres!$A$1:$I$89,3,0)*0.475*44/12</f>
        <v>1.3480007484940722E-16</v>
      </c>
      <c r="AX148" s="21">
        <f t="shared" si="114"/>
        <v>1.6497072400801525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1.1368683772161603E-13</v>
      </c>
      <c r="BE148" s="13">
        <f>BD148*VLOOKUP('Données projet'!$B$11,Paramètres!$A$1:$I$89,3,0)*VLOOKUP('Données projet'!$B$11,Paramètres!$A$1:$I$89,5,0)</f>
        <v>6.7984728957526396E-14</v>
      </c>
      <c r="BF148" s="13">
        <f t="shared" si="145"/>
        <v>1.0682447123141398E-12</v>
      </c>
      <c r="BG148" s="20">
        <f t="shared" si="115"/>
        <v>1.978932943548152E-12</v>
      </c>
      <c r="BH148" s="59">
        <f t="shared" si="116"/>
        <v>293.3333333333353</v>
      </c>
      <c r="BI148" s="59">
        <f ca="1">AVERAGE(OFFSET($BH$3,0,0,'Données projet'!$E$11+1,1))-AVERAGE(OFFSET($H$3,0,0,'Données projet'!$E$11+1,1))</f>
        <v>289.66713787052475</v>
      </c>
      <c r="BJ148" s="59">
        <f t="shared" si="146"/>
        <v>298.29439200198652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0.74358447971224639</v>
      </c>
      <c r="BR148" s="21">
        <f>EXP(-LN(2)/2)*BR147+(1-EXP(-LN(2)/2))/(LN(2)/2)*BL148*BO148*VLOOKUP('Données projet'!$B$11,Paramètres!$A$1:$I$89,3,0)*0.475*44/12</f>
        <v>1.4072184357515991E-16</v>
      </c>
      <c r="BS148" s="22">
        <f t="shared" si="117"/>
        <v>0.7435844797122465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2.5420376914553347E-13</v>
      </c>
      <c r="P149" s="13">
        <f t="shared" si="141"/>
        <v>3.4258699088369875E-12</v>
      </c>
      <c r="Q149" s="20">
        <f t="shared" si="108"/>
        <v>6.4094616558195571E-12</v>
      </c>
      <c r="R149" s="59">
        <f t="shared" si="109"/>
        <v>293.33333333333974</v>
      </c>
      <c r="S149" s="59">
        <f ca="1">AVERAGE(OFFSET($R$3,0,0,'Données projet'!$E$9+1,1))-AVERAGE(OFFSET($H$3,0,0,'Données projet'!$E$9+1,1))</f>
        <v>394.9953131332565</v>
      </c>
      <c r="T149" s="59">
        <f t="shared" si="142"/>
        <v>399.58193819355591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1.0332465893707992</v>
      </c>
      <c r="AA149" s="21">
        <f>EXP(-LN(2)/25)*AA148+(1-EXP(-LN(2)/25))/(LN(2)/25)*Calculateur!V149*Calculateur!X149*VLOOKUP('Données projet'!$B$9,Paramètres!$A$1:$I$89,3,0)*0.475*44/12</f>
        <v>1.3398027319650856</v>
      </c>
      <c r="AB149" s="21">
        <f>EXP(-LN(2)/2)*AB148+(1-EXP(-LN(2)/2))/(LN(2)/2)*V149*Y149*VLOOKUP('Données projet'!$B$9,Paramètres!$A$1:$I$89,3,0)*0.475*44/12</f>
        <v>1.1355418182626107E-16</v>
      </c>
      <c r="AC149" s="22">
        <f t="shared" si="111"/>
        <v>2.373049321335885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-2.2737367544323206E-13</v>
      </c>
      <c r="AJ149" s="13">
        <f>AI149*VLOOKUP('Données projet'!$B$10,Paramètres!$A$1:$I$89,3,0)*VLOOKUP('Données projet'!$B$10,Paramètres!$A$1:$I$89,5,0)</f>
        <v>-1.0936673788819462E-13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364.67510777943329</v>
      </c>
      <c r="AO149" s="59">
        <f t="shared" si="144"/>
        <v>352.13878061387169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0.88907264666789743</v>
      </c>
      <c r="AV149" s="21">
        <f>EXP(-LN(2)/25)*AV148+(1-EXP(-LN(2)/25))/(LN(2)/25)*Calculateur!AQ149*Calculateur!AS149*VLOOKUP('Données projet'!$B$10,Paramètres!$A$1:$I$89,3,0)*0.475*44/12</f>
        <v>0.72253839052301438</v>
      </c>
      <c r="AW149" s="21">
        <f>EXP(-LN(2)/2)*AW148+(1-EXP(-LN(2)/2))/(LN(2)/2)*AQ149*AT149*VLOOKUP('Données projet'!$B$10,Paramètres!$A$1:$I$89,3,0)*0.475*44/12</f>
        <v>9.5318047030470022E-17</v>
      </c>
      <c r="AX149" s="21">
        <f t="shared" si="114"/>
        <v>1.6116110371909118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1.1368683772161603E-13</v>
      </c>
      <c r="BE149" s="13">
        <f>BD149*VLOOKUP('Données projet'!$B$11,Paramètres!$A$1:$I$89,3,0)*VLOOKUP('Données projet'!$B$11,Paramètres!$A$1:$I$89,5,0)</f>
        <v>6.7984728957526396E-14</v>
      </c>
      <c r="BF149" s="13">
        <f t="shared" si="145"/>
        <v>1.0682447123141398E-12</v>
      </c>
      <c r="BG149" s="20">
        <f t="shared" si="115"/>
        <v>1.978932943548152E-12</v>
      </c>
      <c r="BH149" s="59">
        <f t="shared" si="116"/>
        <v>293.3333333333353</v>
      </c>
      <c r="BI149" s="59">
        <f ca="1">AVERAGE(OFFSET($BH$3,0,0,'Données projet'!$E$11+1,1))-AVERAGE(OFFSET($H$3,0,0,'Données projet'!$E$11+1,1))</f>
        <v>289.66713787052475</v>
      </c>
      <c r="BJ149" s="59">
        <f t="shared" si="146"/>
        <v>298.29439200198652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0.72325112301110672</v>
      </c>
      <c r="BR149" s="21">
        <f>EXP(-LN(2)/2)*BR148+(1-EXP(-LN(2)/2))/(LN(2)/2)*BL149*BO149*VLOOKUP('Données projet'!$B$11,Paramètres!$A$1:$I$89,3,0)*0.475*44/12</f>
        <v>9.950536985306817E-17</v>
      </c>
      <c r="BS149" s="22">
        <f t="shared" si="117"/>
        <v>0.72325112301110683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2.5420376914553347E-13</v>
      </c>
      <c r="P150" s="13">
        <f t="shared" si="141"/>
        <v>3.4258699088369875E-12</v>
      </c>
      <c r="Q150" s="20">
        <f t="shared" si="108"/>
        <v>6.4094616558195571E-12</v>
      </c>
      <c r="R150" s="59">
        <f t="shared" si="109"/>
        <v>293.33333333333974</v>
      </c>
      <c r="S150" s="59">
        <f ca="1">AVERAGE(OFFSET($R$3,0,0,'Données projet'!$E$9+1,1))-AVERAGE(OFFSET($H$3,0,0,'Données projet'!$E$9+1,1))</f>
        <v>394.9953131332565</v>
      </c>
      <c r="T150" s="59">
        <f t="shared" si="142"/>
        <v>399.58193819355591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1.0129852539714284</v>
      </c>
      <c r="AA150" s="21">
        <f>EXP(-LN(2)/25)*AA149+(1-EXP(-LN(2)/25))/(LN(2)/25)*Calculateur!V150*Calculateur!X150*VLOOKUP('Données projet'!$B$9,Paramètres!$A$1:$I$89,3,0)*0.475*44/12</f>
        <v>1.3031657558023368</v>
      </c>
      <c r="AB150" s="21">
        <f>EXP(-LN(2)/2)*AB149+(1-EXP(-LN(2)/2))/(LN(2)/2)*V150*Y150*VLOOKUP('Données projet'!$B$9,Paramètres!$A$1:$I$89,3,0)*0.475*44/12</f>
        <v>8.0294932001439421E-17</v>
      </c>
      <c r="AC150" s="22">
        <f t="shared" si="111"/>
        <v>2.3161510097737654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-2.2737367544323206E-13</v>
      </c>
      <c r="AJ150" s="13">
        <f>AI150*VLOOKUP('Données projet'!$B$10,Paramètres!$A$1:$I$89,3,0)*VLOOKUP('Données projet'!$B$10,Paramètres!$A$1:$I$89,5,0)</f>
        <v>-1.0936673788819462E-13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364.67510777943329</v>
      </c>
      <c r="AO150" s="59">
        <f t="shared" si="144"/>
        <v>352.13878061387169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0.87163847434750863</v>
      </c>
      <c r="AV150" s="21">
        <f>EXP(-LN(2)/25)*AV149+(1-EXP(-LN(2)/25))/(LN(2)/25)*Calculateur!AQ150*Calculateur!AS150*VLOOKUP('Données projet'!$B$10,Paramètres!$A$1:$I$89,3,0)*0.475*44/12</f>
        <v>0.70278054023752001</v>
      </c>
      <c r="AW150" s="21">
        <f>EXP(-LN(2)/2)*AW149+(1-EXP(-LN(2)/2))/(LN(2)/2)*AQ150*AT150*VLOOKUP('Données projet'!$B$10,Paramètres!$A$1:$I$89,3,0)*0.475*44/12</f>
        <v>6.740003742470361E-17</v>
      </c>
      <c r="AX150" s="21">
        <f t="shared" si="114"/>
        <v>1.5744190145850285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1.1368683772161603E-13</v>
      </c>
      <c r="BE150" s="13">
        <f>BD150*VLOOKUP('Données projet'!$B$11,Paramètres!$A$1:$I$89,3,0)*VLOOKUP('Données projet'!$B$11,Paramètres!$A$1:$I$89,5,0)</f>
        <v>6.7984728957526396E-14</v>
      </c>
      <c r="BF150" s="13">
        <f t="shared" si="145"/>
        <v>1.0682447123141398E-12</v>
      </c>
      <c r="BG150" s="20">
        <f t="shared" si="115"/>
        <v>1.978932943548152E-12</v>
      </c>
      <c r="BH150" s="59">
        <f t="shared" si="116"/>
        <v>293.3333333333353</v>
      </c>
      <c r="BI150" s="59">
        <f ca="1">AVERAGE(OFFSET($BH$3,0,0,'Données projet'!$E$11+1,1))-AVERAGE(OFFSET($H$3,0,0,'Données projet'!$E$11+1,1))</f>
        <v>289.66713787052475</v>
      </c>
      <c r="BJ150" s="59">
        <f t="shared" si="146"/>
        <v>298.29439200198652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0.70347378301824448</v>
      </c>
      <c r="BR150" s="21">
        <f>EXP(-LN(2)/2)*BR149+(1-EXP(-LN(2)/2))/(LN(2)/2)*BL150*BO150*VLOOKUP('Données projet'!$B$11,Paramètres!$A$1:$I$89,3,0)*0.475*44/12</f>
        <v>7.0360921787579956E-17</v>
      </c>
      <c r="BS150" s="22">
        <f t="shared" si="117"/>
        <v>0.70347378301824459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2.5420376914553347E-13</v>
      </c>
      <c r="P151" s="13">
        <f t="shared" si="141"/>
        <v>3.4258699088369875E-12</v>
      </c>
      <c r="Q151" s="20">
        <f t="shared" si="108"/>
        <v>6.4094616558195571E-12</v>
      </c>
      <c r="R151" s="59">
        <f t="shared" si="109"/>
        <v>293.33333333333974</v>
      </c>
      <c r="S151" s="59">
        <f ca="1">AVERAGE(OFFSET($R$3,0,0,'Données projet'!$E$9+1,1))-AVERAGE(OFFSET($H$3,0,0,'Données projet'!$E$9+1,1))</f>
        <v>394.9953131332565</v>
      </c>
      <c r="T151" s="59">
        <f t="shared" si="142"/>
        <v>399.58193819355591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0.99312123100104499</v>
      </c>
      <c r="AA151" s="21">
        <f>EXP(-LN(2)/25)*AA150+(1-EXP(-LN(2)/25))/(LN(2)/25)*Calculateur!V151*Calculateur!X151*VLOOKUP('Données projet'!$B$9,Paramètres!$A$1:$I$89,3,0)*0.475*44/12</f>
        <v>1.2675306196794132</v>
      </c>
      <c r="AB151" s="21">
        <f>EXP(-LN(2)/2)*AB150+(1-EXP(-LN(2)/2))/(LN(2)/2)*V151*Y151*VLOOKUP('Données projet'!$B$9,Paramètres!$A$1:$I$89,3,0)*0.475*44/12</f>
        <v>5.6777090913130535E-17</v>
      </c>
      <c r="AC151" s="22">
        <f t="shared" si="111"/>
        <v>2.2606518506804583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-2.2737367544323206E-13</v>
      </c>
      <c r="AJ151" s="13">
        <f>AI151*VLOOKUP('Données projet'!$B$10,Paramètres!$A$1:$I$89,3,0)*VLOOKUP('Données projet'!$B$10,Paramètres!$A$1:$I$89,5,0)</f>
        <v>-1.0936673788819462E-13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364.67510777943329</v>
      </c>
      <c r="AO151" s="59">
        <f t="shared" si="144"/>
        <v>352.13878061387169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0.85454617551252754</v>
      </c>
      <c r="AV151" s="21">
        <f>EXP(-LN(2)/25)*AV150+(1-EXP(-LN(2)/25))/(LN(2)/25)*Calculateur!AQ151*Calculateur!AS151*VLOOKUP('Données projet'!$B$10,Paramètres!$A$1:$I$89,3,0)*0.475*44/12</f>
        <v>0.68356296940710259</v>
      </c>
      <c r="AW151" s="21">
        <f>EXP(-LN(2)/2)*AW150+(1-EXP(-LN(2)/2))/(LN(2)/2)*AQ151*AT151*VLOOKUP('Données projet'!$B$10,Paramètres!$A$1:$I$89,3,0)*0.475*44/12</f>
        <v>4.7659023515235011E-17</v>
      </c>
      <c r="AX151" s="21">
        <f t="shared" si="114"/>
        <v>1.53810914491963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1.1368683772161603E-13</v>
      </c>
      <c r="BE151" s="13">
        <f>BD151*VLOOKUP('Données projet'!$B$11,Paramètres!$A$1:$I$89,3,0)*VLOOKUP('Données projet'!$B$11,Paramètres!$A$1:$I$89,5,0)</f>
        <v>6.7984728957526396E-14</v>
      </c>
      <c r="BF151" s="13">
        <f t="shared" si="145"/>
        <v>1.0682447123141398E-12</v>
      </c>
      <c r="BG151" s="20">
        <f t="shared" si="115"/>
        <v>1.978932943548152E-12</v>
      </c>
      <c r="BH151" s="59">
        <f t="shared" si="116"/>
        <v>293.3333333333353</v>
      </c>
      <c r="BI151" s="59">
        <f ca="1">AVERAGE(OFFSET($BH$3,0,0,'Données projet'!$E$11+1,1))-AVERAGE(OFFSET($H$3,0,0,'Données projet'!$E$11+1,1))</f>
        <v>289.66713787052475</v>
      </c>
      <c r="BJ151" s="59">
        <f t="shared" si="146"/>
        <v>298.29439200198652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0.68423725542753211</v>
      </c>
      <c r="BR151" s="21">
        <f>EXP(-LN(2)/2)*BR150+(1-EXP(-LN(2)/2))/(LN(2)/2)*BL151*BO151*VLOOKUP('Données projet'!$B$11,Paramètres!$A$1:$I$89,3,0)*0.475*44/12</f>
        <v>4.9752684926534085E-17</v>
      </c>
      <c r="BS151" s="22">
        <f t="shared" si="117"/>
        <v>0.68423725542753211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2.5420376914553347E-13</v>
      </c>
      <c r="P152" s="13">
        <f t="shared" si="141"/>
        <v>3.4258699088369875E-12</v>
      </c>
      <c r="Q152" s="20">
        <f t="shared" si="108"/>
        <v>6.4094616558195571E-12</v>
      </c>
      <c r="R152" s="59">
        <f t="shared" si="109"/>
        <v>293.33333333333974</v>
      </c>
      <c r="S152" s="59">
        <f ca="1">AVERAGE(OFFSET($R$3,0,0,'Données projet'!$E$9+1,1))-AVERAGE(OFFSET($H$3,0,0,'Données projet'!$E$9+1,1))</f>
        <v>394.9953131332565</v>
      </c>
      <c r="T152" s="59">
        <f t="shared" si="142"/>
        <v>399.58193819355591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0.9736467294052531</v>
      </c>
      <c r="AA152" s="21">
        <f>EXP(-LN(2)/25)*AA151+(1-EXP(-LN(2)/25))/(LN(2)/25)*Calculateur!V152*Calculateur!X152*VLOOKUP('Données projet'!$B$9,Paramètres!$A$1:$I$89,3,0)*0.475*44/12</f>
        <v>1.2328699282277413</v>
      </c>
      <c r="AB152" s="21">
        <f>EXP(-LN(2)/2)*AB151+(1-EXP(-LN(2)/2))/(LN(2)/2)*V152*Y152*VLOOKUP('Données projet'!$B$9,Paramètres!$A$1:$I$89,3,0)*0.475*44/12</f>
        <v>4.014746600071971E-17</v>
      </c>
      <c r="AC152" s="22">
        <f t="shared" si="111"/>
        <v>2.2065166576329944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-2.2737367544323206E-13</v>
      </c>
      <c r="AJ152" s="13">
        <f>AI152*VLOOKUP('Données projet'!$B$10,Paramètres!$A$1:$I$89,3,0)*VLOOKUP('Données projet'!$B$10,Paramètres!$A$1:$I$89,5,0)</f>
        <v>-1.0936673788819462E-13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364.67510777943329</v>
      </c>
      <c r="AO152" s="59">
        <f t="shared" si="144"/>
        <v>352.13878061387169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0.83778904623242756</v>
      </c>
      <c r="AV152" s="21">
        <f>EXP(-LN(2)/25)*AV151+(1-EXP(-LN(2)/25))/(LN(2)/25)*Calculateur!AQ152*Calculateur!AS152*VLOOKUP('Données projet'!$B$10,Paramètres!$A$1:$I$89,3,0)*0.475*44/12</f>
        <v>0.66487090406165117</v>
      </c>
      <c r="AW152" s="21">
        <f>EXP(-LN(2)/2)*AW151+(1-EXP(-LN(2)/2))/(LN(2)/2)*AQ152*AT152*VLOOKUP('Données projet'!$B$10,Paramètres!$A$1:$I$89,3,0)*0.475*44/12</f>
        <v>3.3700018712351805E-17</v>
      </c>
      <c r="AX152" s="21">
        <f t="shared" si="114"/>
        <v>1.5026599502940787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1.1368683772161603E-13</v>
      </c>
      <c r="BE152" s="13">
        <f>BD152*VLOOKUP('Données projet'!$B$11,Paramètres!$A$1:$I$89,3,0)*VLOOKUP('Données projet'!$B$11,Paramètres!$A$1:$I$89,5,0)</f>
        <v>6.7984728957526396E-14</v>
      </c>
      <c r="BF152" s="13">
        <f t="shared" si="145"/>
        <v>1.0682447123141398E-12</v>
      </c>
      <c r="BG152" s="20">
        <f t="shared" si="115"/>
        <v>1.978932943548152E-12</v>
      </c>
      <c r="BH152" s="59">
        <f t="shared" si="116"/>
        <v>293.3333333333353</v>
      </c>
      <c r="BI152" s="59">
        <f ca="1">AVERAGE(OFFSET($BH$3,0,0,'Données projet'!$E$11+1,1))-AVERAGE(OFFSET($H$3,0,0,'Données projet'!$E$11+1,1))</f>
        <v>289.66713787052475</v>
      </c>
      <c r="BJ152" s="59">
        <f t="shared" si="146"/>
        <v>298.29439200198652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0.66552675169539288</v>
      </c>
      <c r="BR152" s="21">
        <f>EXP(-LN(2)/2)*BR151+(1-EXP(-LN(2)/2))/(LN(2)/2)*BL152*BO152*VLOOKUP('Données projet'!$B$11,Paramètres!$A$1:$I$89,3,0)*0.475*44/12</f>
        <v>3.5180460893789978E-17</v>
      </c>
      <c r="BS152" s="22">
        <f t="shared" si="117"/>
        <v>0.66552675169539288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2.5420376914553347E-13</v>
      </c>
      <c r="P153" s="13">
        <f t="shared" si="141"/>
        <v>3.4258699088369875E-12</v>
      </c>
      <c r="Q153" s="20">
        <f t="shared" si="108"/>
        <v>6.4094616558195571E-12</v>
      </c>
      <c r="R153" s="59">
        <f t="shared" si="109"/>
        <v>293.33333333333974</v>
      </c>
      <c r="S153" s="59">
        <f ca="1">AVERAGE(OFFSET($R$3,0,0,'Données projet'!$E$9+1,1))-AVERAGE(OFFSET($H$3,0,0,'Données projet'!$E$9+1,1))</f>
        <v>394.9953131332565</v>
      </c>
      <c r="T153" s="59">
        <f t="shared" si="142"/>
        <v>399.58193819355591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0.95455411090748166</v>
      </c>
      <c r="AA153" s="21">
        <f>EXP(-LN(2)/25)*AA152+(1-EXP(-LN(2)/25))/(LN(2)/25)*Calculateur!V153*Calculateur!X153*VLOOKUP('Données projet'!$B$9,Paramètres!$A$1:$I$89,3,0)*0.475*44/12</f>
        <v>1.1991570352065419</v>
      </c>
      <c r="AB153" s="21">
        <f>EXP(-LN(2)/2)*AB152+(1-EXP(-LN(2)/2))/(LN(2)/2)*V153*Y153*VLOOKUP('Données projet'!$B$9,Paramètres!$A$1:$I$89,3,0)*0.475*44/12</f>
        <v>2.8388545456565267E-17</v>
      </c>
      <c r="AC153" s="22">
        <f t="shared" si="111"/>
        <v>2.1537111461140235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-2.2737367544323206E-13</v>
      </c>
      <c r="AJ153" s="13">
        <f>AI153*VLOOKUP('Données projet'!$B$10,Paramètres!$A$1:$I$89,3,0)*VLOOKUP('Données projet'!$B$10,Paramètres!$A$1:$I$89,5,0)</f>
        <v>-1.0936673788819462E-13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364.67510777943329</v>
      </c>
      <c r="AO153" s="59">
        <f t="shared" si="144"/>
        <v>352.13878061387169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0.82136051403667076</v>
      </c>
      <c r="AV153" s="21">
        <f>EXP(-LN(2)/25)*AV152+(1-EXP(-LN(2)/25))/(LN(2)/25)*Calculateur!AQ153*Calculateur!AS153*VLOOKUP('Données projet'!$B$10,Paramètres!$A$1:$I$89,3,0)*0.475*44/12</f>
        <v>0.64668997422604402</v>
      </c>
      <c r="AW153" s="21">
        <f>EXP(-LN(2)/2)*AW152+(1-EXP(-LN(2)/2))/(LN(2)/2)*AQ153*AT153*VLOOKUP('Données projet'!$B$10,Paramètres!$A$1:$I$89,3,0)*0.475*44/12</f>
        <v>2.3829511757617505E-17</v>
      </c>
      <c r="AX153" s="21">
        <f t="shared" si="114"/>
        <v>1.4680504882627148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1.1368683772161603E-13</v>
      </c>
      <c r="BE153" s="13">
        <f>BD153*VLOOKUP('Données projet'!$B$11,Paramètres!$A$1:$I$89,3,0)*VLOOKUP('Données projet'!$B$11,Paramètres!$A$1:$I$89,5,0)</f>
        <v>6.7984728957526396E-14</v>
      </c>
      <c r="BF153" s="13">
        <f t="shared" si="145"/>
        <v>1.0682447123141398E-12</v>
      </c>
      <c r="BG153" s="20">
        <f t="shared" si="115"/>
        <v>1.978932943548152E-12</v>
      </c>
      <c r="BH153" s="59">
        <f t="shared" si="116"/>
        <v>293.3333333333353</v>
      </c>
      <c r="BI153" s="59">
        <f ca="1">AVERAGE(OFFSET($BH$3,0,0,'Données projet'!$E$11+1,1))-AVERAGE(OFFSET($H$3,0,0,'Données projet'!$E$11+1,1))</f>
        <v>289.66713787052475</v>
      </c>
      <c r="BJ153" s="59">
        <f t="shared" si="146"/>
        <v>298.29439200198652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0.64732788767175153</v>
      </c>
      <c r="BR153" s="21">
        <f>EXP(-LN(2)/2)*BR152+(1-EXP(-LN(2)/2))/(LN(2)/2)*BL153*BO153*VLOOKUP('Données projet'!$B$11,Paramètres!$A$1:$I$89,3,0)*0.475*44/12</f>
        <v>2.4876342463267042E-17</v>
      </c>
      <c r="BS153" s="22">
        <f t="shared" si="117"/>
        <v>0.64732788767175153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2.5420376914553347E-13</v>
      </c>
      <c r="P154" s="13">
        <f t="shared" si="141"/>
        <v>3.4258699088369875E-12</v>
      </c>
      <c r="Q154" s="20">
        <f t="shared" ref="Q154:Q203" si="162">(O154+P154)*0.475*44/12</f>
        <v>6.4094616558195571E-12</v>
      </c>
      <c r="R154" s="59">
        <f t="shared" si="109"/>
        <v>293.33333333333974</v>
      </c>
      <c r="S154" s="59">
        <f ca="1">AVERAGE(OFFSET($R$3,0,0,'Données projet'!$E$9+1,1))-AVERAGE(OFFSET($H$3,0,0,'Données projet'!$E$9+1,1))</f>
        <v>394.9953131332565</v>
      </c>
      <c r="T154" s="59">
        <f t="shared" si="142"/>
        <v>399.58193819355591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0.93583588701310405</v>
      </c>
      <c r="AA154" s="21">
        <f>EXP(-LN(2)/25)*AA153+(1-EXP(-LN(2)/25))/(LN(2)/25)*Calculateur!V154*Calculateur!X154*VLOOKUP('Données projet'!$B$9,Paramètres!$A$1:$I$89,3,0)*0.475*44/12</f>
        <v>1.1663660230178912</v>
      </c>
      <c r="AB154" s="21">
        <f>EXP(-LN(2)/2)*AB153+(1-EXP(-LN(2)/2))/(LN(2)/2)*V154*Y154*VLOOKUP('Données projet'!$B$9,Paramètres!$A$1:$I$89,3,0)*0.475*44/12</f>
        <v>2.0073733000359855E-17</v>
      </c>
      <c r="AC154" s="22">
        <f t="shared" ref="AC154:AC203" si="163">SUM(Z154:AB154)</f>
        <v>2.1022019100309954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-1.0936673788819462E-13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364.67510777943329</v>
      </c>
      <c r="AO154" s="59">
        <f t="shared" si="144"/>
        <v>352.13878061387169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0.80525413533685752</v>
      </c>
      <c r="AV154" s="21">
        <f>EXP(-LN(2)/25)*AV153+(1-EXP(-LN(2)/25))/(LN(2)/25)*Calculateur!AQ154*Calculateur!AS154*VLOOKUP('Données projet'!$B$10,Paramètres!$A$1:$I$89,3,0)*0.475*44/12</f>
        <v>0.62900620287288511</v>
      </c>
      <c r="AW154" s="21">
        <f>EXP(-LN(2)/2)*AW153+(1-EXP(-LN(2)/2))/(LN(2)/2)*AQ154*AT154*VLOOKUP('Données projet'!$B$10,Paramètres!$A$1:$I$89,3,0)*0.475*44/12</f>
        <v>1.6850009356175903E-17</v>
      </c>
      <c r="AX154" s="21">
        <f t="shared" ref="AX154:AX203" si="166">SUM(AU154:AW154)</f>
        <v>1.4342603382097425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1.1368683772161603E-13</v>
      </c>
      <c r="BE154" s="13">
        <f>BD154*VLOOKUP('Données projet'!$B$11,Paramètres!$A$1:$I$89,3,0)*VLOOKUP('Données projet'!$B$11,Paramètres!$A$1:$I$89,5,0)</f>
        <v>6.7984728957526396E-14</v>
      </c>
      <c r="BF154" s="13">
        <f t="shared" ref="BF154:BF203" si="167">EXP(-1.0587+0.8836*LN(BE154)+0.284)</f>
        <v>1.0682447123141398E-12</v>
      </c>
      <c r="BG154" s="20">
        <f t="shared" ref="BG154:BG203" si="168">(BE154+BF154)*0.475*44/12</f>
        <v>1.978932943548152E-12</v>
      </c>
      <c r="BH154" s="59">
        <f t="shared" si="116"/>
        <v>293.3333333333353</v>
      </c>
      <c r="BI154" s="59">
        <f ca="1">AVERAGE(OFFSET($BH$3,0,0,'Données projet'!$E$11+1,1))-AVERAGE(OFFSET($H$3,0,0,'Données projet'!$E$11+1,1))</f>
        <v>289.66713787052475</v>
      </c>
      <c r="BJ154" s="59">
        <f t="shared" si="146"/>
        <v>298.29439200198652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0.62962667254187332</v>
      </c>
      <c r="BR154" s="21">
        <f>EXP(-LN(2)/2)*BR153+(1-EXP(-LN(2)/2))/(LN(2)/2)*BL154*BO154*VLOOKUP('Données projet'!$B$11,Paramètres!$A$1:$I$89,3,0)*0.475*44/12</f>
        <v>1.7590230446894989E-17</v>
      </c>
      <c r="BS154" s="22">
        <f t="shared" ref="BS154:BS203" si="169">SUM(BP154:BR154)</f>
        <v>0.62962667254187332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2.5420376914553347E-13</v>
      </c>
      <c r="P155" s="13">
        <f t="shared" si="141"/>
        <v>3.4258699088369875E-12</v>
      </c>
      <c r="Q155" s="20">
        <f t="shared" si="162"/>
        <v>6.4094616558195571E-12</v>
      </c>
      <c r="R155" s="59">
        <f t="shared" si="109"/>
        <v>293.33333333333974</v>
      </c>
      <c r="S155" s="59">
        <f ca="1">AVERAGE(OFFSET($R$3,0,0,'Données projet'!$E$9+1,1))-AVERAGE(OFFSET($H$3,0,0,'Données projet'!$E$9+1,1))</f>
        <v>394.9953131332565</v>
      </c>
      <c r="T155" s="59">
        <f t="shared" si="142"/>
        <v>399.58193819355591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0.91748471607230597</v>
      </c>
      <c r="AA155" s="21">
        <f>EXP(-LN(2)/25)*AA154+(1-EXP(-LN(2)/25))/(LN(2)/25)*Calculateur!V155*Calculateur!X155*VLOOKUP('Données projet'!$B$9,Paramètres!$A$1:$I$89,3,0)*0.475*44/12</f>
        <v>1.1344716827819434</v>
      </c>
      <c r="AB155" s="21">
        <f>EXP(-LN(2)/2)*AB154+(1-EXP(-LN(2)/2))/(LN(2)/2)*V155*Y155*VLOOKUP('Données projet'!$B$9,Paramètres!$A$1:$I$89,3,0)*0.475*44/12</f>
        <v>1.4194272728282634E-17</v>
      </c>
      <c r="AC155" s="22">
        <f t="shared" si="163"/>
        <v>2.0519563988542493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-1.0936673788819462E-13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364.67510777943329</v>
      </c>
      <c r="AO155" s="59">
        <f t="shared" si="144"/>
        <v>352.13878061387169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0.78946359289942658</v>
      </c>
      <c r="AV155" s="21">
        <f>EXP(-LN(2)/25)*AV154+(1-EXP(-LN(2)/25))/(LN(2)/25)*Calculateur!AQ155*Calculateur!AS155*VLOOKUP('Données projet'!$B$10,Paramètres!$A$1:$I$89,3,0)*0.475*44/12</f>
        <v>0.61180599517732748</v>
      </c>
      <c r="AW155" s="21">
        <f>EXP(-LN(2)/2)*AW154+(1-EXP(-LN(2)/2))/(LN(2)/2)*AQ155*AT155*VLOOKUP('Données projet'!$B$10,Paramètres!$A$1:$I$89,3,0)*0.475*44/12</f>
        <v>1.1914755878808753E-17</v>
      </c>
      <c r="AX155" s="21">
        <f t="shared" si="166"/>
        <v>1.4012695880767541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1.1368683772161603E-13</v>
      </c>
      <c r="BE155" s="13">
        <f>BD155*VLOOKUP('Données projet'!$B$11,Paramètres!$A$1:$I$89,3,0)*VLOOKUP('Données projet'!$B$11,Paramètres!$A$1:$I$89,5,0)</f>
        <v>6.7984728957526396E-14</v>
      </c>
      <c r="BF155" s="13">
        <f t="shared" si="167"/>
        <v>1.0682447123141398E-12</v>
      </c>
      <c r="BG155" s="20">
        <f t="shared" si="168"/>
        <v>1.978932943548152E-12</v>
      </c>
      <c r="BH155" s="59">
        <f t="shared" si="116"/>
        <v>293.3333333333353</v>
      </c>
      <c r="BI155" s="59">
        <f ca="1">AVERAGE(OFFSET($BH$3,0,0,'Données projet'!$E$11+1,1))-AVERAGE(OFFSET($H$3,0,0,'Données projet'!$E$11+1,1))</f>
        <v>289.66713787052475</v>
      </c>
      <c r="BJ155" s="59">
        <f t="shared" si="146"/>
        <v>298.29439200198652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0.61240949807058809</v>
      </c>
      <c r="BR155" s="21">
        <f>EXP(-LN(2)/2)*BR154+(1-EXP(-LN(2)/2))/(LN(2)/2)*BL155*BO155*VLOOKUP('Données projet'!$B$11,Paramètres!$A$1:$I$89,3,0)*0.475*44/12</f>
        <v>1.2438171231633521E-17</v>
      </c>
      <c r="BS155" s="22">
        <f t="shared" si="169"/>
        <v>0.61240949807058809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2.5420376914553347E-13</v>
      </c>
      <c r="P156" s="13">
        <f t="shared" si="141"/>
        <v>3.4258699088369875E-12</v>
      </c>
      <c r="Q156" s="20">
        <f t="shared" si="162"/>
        <v>6.4094616558195571E-12</v>
      </c>
      <c r="R156" s="59">
        <f t="shared" si="109"/>
        <v>293.33333333333974</v>
      </c>
      <c r="S156" s="59">
        <f ca="1">AVERAGE(OFFSET($R$3,0,0,'Données projet'!$E$9+1,1))-AVERAGE(OFFSET($H$3,0,0,'Données projet'!$E$9+1,1))</f>
        <v>394.9953131332565</v>
      </c>
      <c r="T156" s="59">
        <f t="shared" si="142"/>
        <v>399.58193819355591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0.89949340040054793</v>
      </c>
      <c r="AA156" s="21">
        <f>EXP(-LN(2)/25)*AA155+(1-EXP(-LN(2)/25))/(LN(2)/25)*Calculateur!V156*Calculateur!X156*VLOOKUP('Données projet'!$B$9,Paramètres!$A$1:$I$89,3,0)*0.475*44/12</f>
        <v>1.1034494949569982</v>
      </c>
      <c r="AB156" s="21">
        <f>EXP(-LN(2)/2)*AB155+(1-EXP(-LN(2)/2))/(LN(2)/2)*V156*Y156*VLOOKUP('Données projet'!$B$9,Paramètres!$A$1:$I$89,3,0)*0.475*44/12</f>
        <v>1.0036866500179928E-17</v>
      </c>
      <c r="AC156" s="22">
        <f t="shared" si="163"/>
        <v>2.0029428953575463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-1.0936673788819462E-13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364.67510777943329</v>
      </c>
      <c r="AO156" s="59">
        <f t="shared" si="144"/>
        <v>352.13878061387169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0.77398269336791381</v>
      </c>
      <c r="AV156" s="21">
        <f>EXP(-LN(2)/25)*AV155+(1-EXP(-LN(2)/25))/(LN(2)/25)*Calculateur!AQ156*Calculateur!AS156*VLOOKUP('Données projet'!$B$10,Paramètres!$A$1:$I$89,3,0)*0.475*44/12</f>
        <v>0.59507612806572452</v>
      </c>
      <c r="AW156" s="21">
        <f>EXP(-LN(2)/2)*AW155+(1-EXP(-LN(2)/2))/(LN(2)/2)*AQ156*AT156*VLOOKUP('Données projet'!$B$10,Paramètres!$A$1:$I$89,3,0)*0.475*44/12</f>
        <v>8.4250046780879513E-18</v>
      </c>
      <c r="AX156" s="21">
        <f t="shared" si="166"/>
        <v>1.3690588214336383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1.1368683772161603E-13</v>
      </c>
      <c r="BE156" s="13">
        <f>BD156*VLOOKUP('Données projet'!$B$11,Paramètres!$A$1:$I$89,3,0)*VLOOKUP('Données projet'!$B$11,Paramètres!$A$1:$I$89,5,0)</f>
        <v>6.7984728957526396E-14</v>
      </c>
      <c r="BF156" s="13">
        <f t="shared" si="167"/>
        <v>1.0682447123141398E-12</v>
      </c>
      <c r="BG156" s="20">
        <f t="shared" si="168"/>
        <v>1.978932943548152E-12</v>
      </c>
      <c r="BH156" s="59">
        <f t="shared" si="116"/>
        <v>293.3333333333353</v>
      </c>
      <c r="BI156" s="59">
        <f ca="1">AVERAGE(OFFSET($BH$3,0,0,'Données projet'!$E$11+1,1))-AVERAGE(OFFSET($H$3,0,0,'Données projet'!$E$11+1,1))</f>
        <v>289.66713787052475</v>
      </c>
      <c r="BJ156" s="59">
        <f t="shared" si="146"/>
        <v>298.29439200198652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0.59566312814063205</v>
      </c>
      <c r="BR156" s="21">
        <f>EXP(-LN(2)/2)*BR155+(1-EXP(-LN(2)/2))/(LN(2)/2)*BL156*BO156*VLOOKUP('Données projet'!$B$11,Paramètres!$A$1:$I$89,3,0)*0.475*44/12</f>
        <v>8.7951152234474945E-18</v>
      </c>
      <c r="BS156" s="22">
        <f t="shared" si="169"/>
        <v>0.59566312814063205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2.5420376914553347E-13</v>
      </c>
      <c r="P157" s="13">
        <f t="shared" si="141"/>
        <v>3.4258699088369875E-12</v>
      </c>
      <c r="Q157" s="20">
        <f t="shared" si="162"/>
        <v>6.4094616558195571E-12</v>
      </c>
      <c r="R157" s="59">
        <f t="shared" si="109"/>
        <v>293.33333333333974</v>
      </c>
      <c r="S157" s="59">
        <f ca="1">AVERAGE(OFFSET($R$3,0,0,'Données projet'!$E$9+1,1))-AVERAGE(OFFSET($H$3,0,0,'Données projet'!$E$9+1,1))</f>
        <v>394.9953131332565</v>
      </c>
      <c r="T157" s="59">
        <f t="shared" si="142"/>
        <v>399.58193819355591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0.88185488345549401</v>
      </c>
      <c r="AA157" s="21">
        <f>EXP(-LN(2)/25)*AA156+(1-EXP(-LN(2)/25))/(LN(2)/25)*Calculateur!V157*Calculateur!X157*VLOOKUP('Données projet'!$B$9,Paramètres!$A$1:$I$89,3,0)*0.475*44/12</f>
        <v>1.073275610489512</v>
      </c>
      <c r="AB157" s="21">
        <f>EXP(-LN(2)/2)*AB156+(1-EXP(-LN(2)/2))/(LN(2)/2)*V157*Y157*VLOOKUP('Données projet'!$B$9,Paramètres!$A$1:$I$89,3,0)*0.475*44/12</f>
        <v>7.0971363641413169E-18</v>
      </c>
      <c r="AC157" s="22">
        <f t="shared" si="163"/>
        <v>1.955130493945006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-1.0936673788819462E-13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364.67510777943329</v>
      </c>
      <c r="AO157" s="59">
        <f t="shared" si="144"/>
        <v>352.13878061387169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0.75880536483379768</v>
      </c>
      <c r="AV157" s="21">
        <f>EXP(-LN(2)/25)*AV156+(1-EXP(-LN(2)/25))/(LN(2)/25)*Calculateur!AQ157*Calculateur!AS157*VLOOKUP('Données projet'!$B$10,Paramètres!$A$1:$I$89,3,0)*0.475*44/12</f>
        <v>0.57880374005007373</v>
      </c>
      <c r="AW157" s="21">
        <f>EXP(-LN(2)/2)*AW156+(1-EXP(-LN(2)/2))/(LN(2)/2)*AQ157*AT157*VLOOKUP('Données projet'!$B$10,Paramètres!$A$1:$I$89,3,0)*0.475*44/12</f>
        <v>5.9573779394043763E-18</v>
      </c>
      <c r="AX157" s="21">
        <f t="shared" si="166"/>
        <v>1.3376091048838714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1.1368683772161603E-13</v>
      </c>
      <c r="BE157" s="13">
        <f>BD157*VLOOKUP('Données projet'!$B$11,Paramètres!$A$1:$I$89,3,0)*VLOOKUP('Données projet'!$B$11,Paramètres!$A$1:$I$89,5,0)</f>
        <v>6.7984728957526396E-14</v>
      </c>
      <c r="BF157" s="13">
        <f t="shared" si="167"/>
        <v>1.0682447123141398E-12</v>
      </c>
      <c r="BG157" s="20">
        <f t="shared" si="168"/>
        <v>1.978932943548152E-12</v>
      </c>
      <c r="BH157" s="59">
        <f t="shared" si="116"/>
        <v>293.3333333333353</v>
      </c>
      <c r="BI157" s="59">
        <f ca="1">AVERAGE(OFFSET($BH$3,0,0,'Données projet'!$E$11+1,1))-AVERAGE(OFFSET($H$3,0,0,'Données projet'!$E$11+1,1))</f>
        <v>289.66713787052475</v>
      </c>
      <c r="BJ157" s="59">
        <f t="shared" si="146"/>
        <v>298.29439200198652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0.57937468857706398</v>
      </c>
      <c r="BR157" s="21">
        <f>EXP(-LN(2)/2)*BR156+(1-EXP(-LN(2)/2))/(LN(2)/2)*BL157*BO157*VLOOKUP('Données projet'!$B$11,Paramètres!$A$1:$I$89,3,0)*0.475*44/12</f>
        <v>6.2190856158167606E-18</v>
      </c>
      <c r="BS157" s="22">
        <f t="shared" si="169"/>
        <v>0.57937468857706398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2.5420376914553347E-13</v>
      </c>
      <c r="P158" s="13">
        <f t="shared" si="141"/>
        <v>3.4258699088369875E-12</v>
      </c>
      <c r="Q158" s="20">
        <f t="shared" si="162"/>
        <v>6.4094616558195571E-12</v>
      </c>
      <c r="R158" s="59">
        <f t="shared" si="109"/>
        <v>293.33333333333974</v>
      </c>
      <c r="S158" s="59">
        <f ca="1">AVERAGE(OFFSET($R$3,0,0,'Données projet'!$E$9+1,1))-AVERAGE(OFFSET($H$3,0,0,'Données projet'!$E$9+1,1))</f>
        <v>394.9953131332565</v>
      </c>
      <c r="T158" s="59">
        <f t="shared" si="142"/>
        <v>399.58193819355591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0.86456224706929963</v>
      </c>
      <c r="AA158" s="21">
        <f>EXP(-LN(2)/25)*AA157+(1-EXP(-LN(2)/25))/(LN(2)/25)*Calculateur!V158*Calculateur!X158*VLOOKUP('Données projet'!$B$9,Paramètres!$A$1:$I$89,3,0)*0.475*44/12</f>
        <v>1.043926832479565</v>
      </c>
      <c r="AB158" s="21">
        <f>EXP(-LN(2)/2)*AB157+(1-EXP(-LN(2)/2))/(LN(2)/2)*V158*Y158*VLOOKUP('Données projet'!$B$9,Paramètres!$A$1:$I$89,3,0)*0.475*44/12</f>
        <v>5.0184332500899638E-18</v>
      </c>
      <c r="AC158" s="22">
        <f t="shared" si="163"/>
        <v>1.9084890795488647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-1.0936673788819462E-13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364.67510777943329</v>
      </c>
      <c r="AO158" s="59">
        <f t="shared" si="144"/>
        <v>352.13878061387169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0.74392565445497927</v>
      </c>
      <c r="AV158" s="21">
        <f>EXP(-LN(2)/25)*AV157+(1-EXP(-LN(2)/25))/(LN(2)/25)*Calculateur!AQ158*Calculateur!AS158*VLOOKUP('Données projet'!$B$10,Paramètres!$A$1:$I$89,3,0)*0.475*44/12</f>
        <v>0.56297632134043862</v>
      </c>
      <c r="AW158" s="21">
        <f>EXP(-LN(2)/2)*AW157+(1-EXP(-LN(2)/2))/(LN(2)/2)*AQ158*AT158*VLOOKUP('Données projet'!$B$10,Paramètres!$A$1:$I$89,3,0)*0.475*44/12</f>
        <v>4.2125023390439756E-18</v>
      </c>
      <c r="AX158" s="21">
        <f t="shared" si="166"/>
        <v>1.3069019757954179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1.1368683772161603E-13</v>
      </c>
      <c r="BE158" s="13">
        <f>BD158*VLOOKUP('Données projet'!$B$11,Paramètres!$A$1:$I$89,3,0)*VLOOKUP('Données projet'!$B$11,Paramètres!$A$1:$I$89,5,0)</f>
        <v>6.7984728957526396E-14</v>
      </c>
      <c r="BF158" s="13">
        <f t="shared" si="167"/>
        <v>1.0682447123141398E-12</v>
      </c>
      <c r="BG158" s="20">
        <f t="shared" si="168"/>
        <v>1.978932943548152E-12</v>
      </c>
      <c r="BH158" s="59">
        <f t="shared" si="116"/>
        <v>293.3333333333353</v>
      </c>
      <c r="BI158" s="59">
        <f ca="1">AVERAGE(OFFSET($BH$3,0,0,'Données projet'!$E$11+1,1))-AVERAGE(OFFSET($H$3,0,0,'Données projet'!$E$11+1,1))</f>
        <v>289.66713787052475</v>
      </c>
      <c r="BJ158" s="59">
        <f t="shared" si="146"/>
        <v>298.29439200198652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0.56353165724993348</v>
      </c>
      <c r="BR158" s="21">
        <f>EXP(-LN(2)/2)*BR157+(1-EXP(-LN(2)/2))/(LN(2)/2)*BL158*BO158*VLOOKUP('Données projet'!$B$11,Paramètres!$A$1:$I$89,3,0)*0.475*44/12</f>
        <v>4.3975576117237472E-18</v>
      </c>
      <c r="BS158" s="22">
        <f t="shared" si="169"/>
        <v>0.56353165724993348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2.5420376914553347E-13</v>
      </c>
      <c r="P159" s="13">
        <f t="shared" si="141"/>
        <v>3.4258699088369875E-12</v>
      </c>
      <c r="Q159" s="20">
        <f t="shared" si="162"/>
        <v>6.4094616558195571E-12</v>
      </c>
      <c r="R159" s="59">
        <f t="shared" si="109"/>
        <v>293.33333333333974</v>
      </c>
      <c r="S159" s="59">
        <f ca="1">AVERAGE(OFFSET($R$3,0,0,'Données projet'!$E$9+1,1))-AVERAGE(OFFSET($H$3,0,0,'Données projet'!$E$9+1,1))</f>
        <v>394.9953131332565</v>
      </c>
      <c r="T159" s="59">
        <f t="shared" si="142"/>
        <v>399.58193819355591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0.8476087087351718</v>
      </c>
      <c r="AA159" s="21">
        <f>EXP(-LN(2)/25)*AA158+(1-EXP(-LN(2)/25))/(LN(2)/25)*Calculateur!V159*Calculateur!X159*VLOOKUP('Données projet'!$B$9,Paramètres!$A$1:$I$89,3,0)*0.475*44/12</f>
        <v>1.0153805983476851</v>
      </c>
      <c r="AB159" s="21">
        <f>EXP(-LN(2)/2)*AB158+(1-EXP(-LN(2)/2))/(LN(2)/2)*V159*Y159*VLOOKUP('Données projet'!$B$9,Paramètres!$A$1:$I$89,3,0)*0.475*44/12</f>
        <v>3.5485681820706584E-18</v>
      </c>
      <c r="AC159" s="22">
        <f t="shared" si="163"/>
        <v>1.8629893070828569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-1.0936673788819462E-13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364.67510777943329</v>
      </c>
      <c r="AO159" s="59">
        <f t="shared" si="144"/>
        <v>352.13878061387169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0.72933772612096226</v>
      </c>
      <c r="AV159" s="21">
        <f>EXP(-LN(2)/25)*AV158+(1-EXP(-LN(2)/25))/(LN(2)/25)*Calculateur!AQ159*Calculateur!AS159*VLOOKUP('Données projet'!$B$10,Paramètres!$A$1:$I$89,3,0)*0.475*44/12</f>
        <v>0.54758170422774632</v>
      </c>
      <c r="AW159" s="21">
        <f>EXP(-LN(2)/2)*AW158+(1-EXP(-LN(2)/2))/(LN(2)/2)*AQ159*AT159*VLOOKUP('Données projet'!$B$10,Paramètres!$A$1:$I$89,3,0)*0.475*44/12</f>
        <v>2.9786889697021882E-18</v>
      </c>
      <c r="AX159" s="21">
        <f t="shared" si="166"/>
        <v>1.2769194303487086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1.1368683772161603E-13</v>
      </c>
      <c r="BE159" s="13">
        <f>BD159*VLOOKUP('Données projet'!$B$11,Paramètres!$A$1:$I$89,3,0)*VLOOKUP('Données projet'!$B$11,Paramètres!$A$1:$I$89,5,0)</f>
        <v>6.7984728957526396E-14</v>
      </c>
      <c r="BF159" s="13">
        <f t="shared" si="167"/>
        <v>1.0682447123141398E-12</v>
      </c>
      <c r="BG159" s="20">
        <f t="shared" si="168"/>
        <v>1.978932943548152E-12</v>
      </c>
      <c r="BH159" s="59">
        <f t="shared" si="116"/>
        <v>293.3333333333353</v>
      </c>
      <c r="BI159" s="59">
        <f ca="1">AVERAGE(OFFSET($BH$3,0,0,'Données projet'!$E$11+1,1))-AVERAGE(OFFSET($H$3,0,0,'Données projet'!$E$11+1,1))</f>
        <v>289.66713787052475</v>
      </c>
      <c r="BJ159" s="59">
        <f t="shared" si="146"/>
        <v>298.29439200198652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0.5481218544475922</v>
      </c>
      <c r="BR159" s="21">
        <f>EXP(-LN(2)/2)*BR158+(1-EXP(-LN(2)/2))/(LN(2)/2)*BL159*BO159*VLOOKUP('Données projet'!$B$11,Paramètres!$A$1:$I$89,3,0)*0.475*44/12</f>
        <v>3.1095428079083803E-18</v>
      </c>
      <c r="BS159" s="22">
        <f t="shared" si="169"/>
        <v>0.5481218544475922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2.5420376914553347E-13</v>
      </c>
      <c r="P160" s="13">
        <f t="shared" si="141"/>
        <v>3.4258699088369875E-12</v>
      </c>
      <c r="Q160" s="20">
        <f t="shared" si="162"/>
        <v>6.4094616558195571E-12</v>
      </c>
      <c r="R160" s="59">
        <f t="shared" si="109"/>
        <v>293.33333333333974</v>
      </c>
      <c r="S160" s="59">
        <f ca="1">AVERAGE(OFFSET($R$3,0,0,'Données projet'!$E$9+1,1))-AVERAGE(OFFSET($H$3,0,0,'Données projet'!$E$9+1,1))</f>
        <v>394.9953131332565</v>
      </c>
      <c r="T160" s="59">
        <f t="shared" si="142"/>
        <v>399.58193819355591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0.83098761894713891</v>
      </c>
      <c r="AA160" s="21">
        <f>EXP(-LN(2)/25)*AA159+(1-EXP(-LN(2)/25))/(LN(2)/25)*Calculateur!V160*Calculateur!X160*VLOOKUP('Données projet'!$B$9,Paramètres!$A$1:$I$89,3,0)*0.475*44/12</f>
        <v>0.98761496248932268</v>
      </c>
      <c r="AB160" s="21">
        <f>EXP(-LN(2)/2)*AB159+(1-EXP(-LN(2)/2))/(LN(2)/2)*V160*Y160*VLOOKUP('Données projet'!$B$9,Paramètres!$A$1:$I$89,3,0)*0.475*44/12</f>
        <v>2.5092166250449819E-18</v>
      </c>
      <c r="AC160" s="22">
        <f t="shared" si="163"/>
        <v>1.8186025814364615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-1.0936673788819462E-13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364.67510777943329</v>
      </c>
      <c r="AO160" s="59">
        <f t="shared" si="144"/>
        <v>352.13878061387169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0.71503585816381765</v>
      </c>
      <c r="AV160" s="21">
        <f>EXP(-LN(2)/25)*AV159+(1-EXP(-LN(2)/25))/(LN(2)/25)*Calculateur!AQ160*Calculateur!AS160*VLOOKUP('Données projet'!$B$10,Paramètres!$A$1:$I$89,3,0)*0.475*44/12</f>
        <v>0.53260805372956832</v>
      </c>
      <c r="AW160" s="21">
        <f>EXP(-LN(2)/2)*AW159+(1-EXP(-LN(2)/2))/(LN(2)/2)*AQ160*AT160*VLOOKUP('Données projet'!$B$10,Paramètres!$A$1:$I$89,3,0)*0.475*44/12</f>
        <v>2.1062511695219878E-18</v>
      </c>
      <c r="AX160" s="21">
        <f t="shared" si="166"/>
        <v>1.247643911893386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1.1368683772161603E-13</v>
      </c>
      <c r="BE160" s="13">
        <f>BD160*VLOOKUP('Données projet'!$B$11,Paramètres!$A$1:$I$89,3,0)*VLOOKUP('Données projet'!$B$11,Paramètres!$A$1:$I$89,5,0)</f>
        <v>6.7984728957526396E-14</v>
      </c>
      <c r="BF160" s="13">
        <f t="shared" si="167"/>
        <v>1.0682447123141398E-12</v>
      </c>
      <c r="BG160" s="20">
        <f t="shared" si="168"/>
        <v>1.978932943548152E-12</v>
      </c>
      <c r="BH160" s="59">
        <f t="shared" si="116"/>
        <v>293.3333333333353</v>
      </c>
      <c r="BI160" s="59">
        <f ca="1">AVERAGE(OFFSET($BH$3,0,0,'Données projet'!$E$11+1,1))-AVERAGE(OFFSET($H$3,0,0,'Données projet'!$E$11+1,1))</f>
        <v>289.66713787052475</v>
      </c>
      <c r="BJ160" s="59">
        <f t="shared" si="146"/>
        <v>298.29439200198652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0.53313343351324727</v>
      </c>
      <c r="BR160" s="21">
        <f>EXP(-LN(2)/2)*BR159+(1-EXP(-LN(2)/2))/(LN(2)/2)*BL160*BO160*VLOOKUP('Données projet'!$B$11,Paramètres!$A$1:$I$89,3,0)*0.475*44/12</f>
        <v>2.1987788058618736E-18</v>
      </c>
      <c r="BS160" s="22">
        <f t="shared" si="169"/>
        <v>0.53313343351324727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2.5420376914553347E-13</v>
      </c>
      <c r="P161" s="13">
        <f t="shared" si="141"/>
        <v>3.4258699088369875E-12</v>
      </c>
      <c r="Q161" s="20">
        <f t="shared" si="162"/>
        <v>6.4094616558195571E-12</v>
      </c>
      <c r="R161" s="59">
        <f t="shared" si="109"/>
        <v>293.33333333333974</v>
      </c>
      <c r="S161" s="59">
        <f ca="1">AVERAGE(OFFSET($R$3,0,0,'Données projet'!$E$9+1,1))-AVERAGE(OFFSET($H$3,0,0,'Données projet'!$E$9+1,1))</f>
        <v>394.9953131332565</v>
      </c>
      <c r="T161" s="59">
        <f t="shared" si="142"/>
        <v>399.58193819355591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0.81469245859198558</v>
      </c>
      <c r="AA161" s="21">
        <f>EXP(-LN(2)/25)*AA160+(1-EXP(-LN(2)/25))/(LN(2)/25)*Calculateur!V161*Calculateur!X161*VLOOKUP('Données projet'!$B$9,Paramètres!$A$1:$I$89,3,0)*0.475*44/12</f>
        <v>0.96060857940363853</v>
      </c>
      <c r="AB161" s="21">
        <f>EXP(-LN(2)/2)*AB160+(1-EXP(-LN(2)/2))/(LN(2)/2)*V161*Y161*VLOOKUP('Données projet'!$B$9,Paramètres!$A$1:$I$89,3,0)*0.475*44/12</f>
        <v>1.7742840910353292E-18</v>
      </c>
      <c r="AC161" s="22">
        <f t="shared" si="163"/>
        <v>1.7753010379956242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-1.0936673788819462E-13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364.67510777943329</v>
      </c>
      <c r="AO161" s="59">
        <f t="shared" si="144"/>
        <v>352.13878061387169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0.70101444111403455</v>
      </c>
      <c r="AV161" s="21">
        <f>EXP(-LN(2)/25)*AV160+(1-EXP(-LN(2)/25))/(LN(2)/25)*Calculateur!AQ161*Calculateur!AS161*VLOOKUP('Données projet'!$B$10,Paramètres!$A$1:$I$89,3,0)*0.475*44/12</f>
        <v>0.51804385849169299</v>
      </c>
      <c r="AW161" s="21">
        <f>EXP(-LN(2)/2)*AW160+(1-EXP(-LN(2)/2))/(LN(2)/2)*AQ161*AT161*VLOOKUP('Données projet'!$B$10,Paramètres!$A$1:$I$89,3,0)*0.475*44/12</f>
        <v>1.4893444848510941E-18</v>
      </c>
      <c r="AX161" s="21">
        <f t="shared" si="166"/>
        <v>1.2190582996057275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1.1368683772161603E-13</v>
      </c>
      <c r="BE161" s="13">
        <f>BD161*VLOOKUP('Données projet'!$B$11,Paramètres!$A$1:$I$89,3,0)*VLOOKUP('Données projet'!$B$11,Paramètres!$A$1:$I$89,5,0)</f>
        <v>6.7984728957526396E-14</v>
      </c>
      <c r="BF161" s="13">
        <f t="shared" si="167"/>
        <v>1.0682447123141398E-12</v>
      </c>
      <c r="BG161" s="20">
        <f t="shared" si="168"/>
        <v>1.978932943548152E-12</v>
      </c>
      <c r="BH161" s="59">
        <f t="shared" si="116"/>
        <v>293.3333333333353</v>
      </c>
      <c r="BI161" s="59">
        <f ca="1">AVERAGE(OFFSET($BH$3,0,0,'Données projet'!$E$11+1,1))-AVERAGE(OFFSET($H$3,0,0,'Données projet'!$E$11+1,1))</f>
        <v>289.66713787052475</v>
      </c>
      <c r="BJ161" s="59">
        <f t="shared" si="146"/>
        <v>298.29439200198652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0.51855487173755876</v>
      </c>
      <c r="BR161" s="21">
        <f>EXP(-LN(2)/2)*BR160+(1-EXP(-LN(2)/2))/(LN(2)/2)*BL161*BO161*VLOOKUP('Données projet'!$B$11,Paramètres!$A$1:$I$89,3,0)*0.475*44/12</f>
        <v>1.5547714039541902E-18</v>
      </c>
      <c r="BS161" s="22">
        <f t="shared" si="169"/>
        <v>0.51855487173755876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2.5420376914553347E-13</v>
      </c>
      <c r="P162" s="13">
        <f t="shared" si="141"/>
        <v>3.4258699088369875E-12</v>
      </c>
      <c r="Q162" s="20">
        <f t="shared" si="162"/>
        <v>6.4094616558195571E-12</v>
      </c>
      <c r="R162" s="59">
        <f t="shared" si="109"/>
        <v>293.33333333333974</v>
      </c>
      <c r="S162" s="59">
        <f ca="1">AVERAGE(OFFSET($R$3,0,0,'Données projet'!$E$9+1,1))-AVERAGE(OFFSET($H$3,0,0,'Données projet'!$E$9+1,1))</f>
        <v>394.9953131332565</v>
      </c>
      <c r="T162" s="59">
        <f t="shared" si="142"/>
        <v>399.58193819355591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0.79871683639233038</v>
      </c>
      <c r="AA162" s="21">
        <f>EXP(-LN(2)/25)*AA161+(1-EXP(-LN(2)/25))/(LN(2)/25)*Calculateur!V162*Calculateur!X162*VLOOKUP('Données projet'!$B$9,Paramètres!$A$1:$I$89,3,0)*0.475*44/12</f>
        <v>0.9343406872836364</v>
      </c>
      <c r="AB162" s="21">
        <f>EXP(-LN(2)/2)*AB161+(1-EXP(-LN(2)/2))/(LN(2)/2)*V162*Y162*VLOOKUP('Données projet'!$B$9,Paramètres!$A$1:$I$89,3,0)*0.475*44/12</f>
        <v>1.2546083125224909E-18</v>
      </c>
      <c r="AC162" s="22">
        <f t="shared" si="163"/>
        <v>1.7330575236759667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-1.0936673788819462E-13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364.67510777943329</v>
      </c>
      <c r="AO162" s="59">
        <f t="shared" si="144"/>
        <v>352.13878061387169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0.68726797550037777</v>
      </c>
      <c r="AV162" s="21">
        <f>EXP(-LN(2)/25)*AV161+(1-EXP(-LN(2)/25))/(LN(2)/25)*Calculateur!AQ162*Calculateur!AS162*VLOOKUP('Données projet'!$B$10,Paramètres!$A$1:$I$89,3,0)*0.475*44/12</f>
        <v>0.50387792193849512</v>
      </c>
      <c r="AW162" s="21">
        <f>EXP(-LN(2)/2)*AW161+(1-EXP(-LN(2)/2))/(LN(2)/2)*AQ162*AT162*VLOOKUP('Données projet'!$B$10,Paramètres!$A$1:$I$89,3,0)*0.475*44/12</f>
        <v>1.0531255847609939E-18</v>
      </c>
      <c r="AX162" s="21">
        <f t="shared" si="166"/>
        <v>1.1911458974388729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1.1368683772161603E-13</v>
      </c>
      <c r="BE162" s="13">
        <f>BD162*VLOOKUP('Données projet'!$B$11,Paramètres!$A$1:$I$89,3,0)*VLOOKUP('Données projet'!$B$11,Paramètres!$A$1:$I$89,5,0)</f>
        <v>6.7984728957526396E-14</v>
      </c>
      <c r="BF162" s="13">
        <f t="shared" si="167"/>
        <v>1.0682447123141398E-12</v>
      </c>
      <c r="BG162" s="20">
        <f t="shared" si="168"/>
        <v>1.978932943548152E-12</v>
      </c>
      <c r="BH162" s="59">
        <f t="shared" si="116"/>
        <v>293.3333333333353</v>
      </c>
      <c r="BI162" s="59">
        <f ca="1">AVERAGE(OFFSET($BH$3,0,0,'Données projet'!$E$11+1,1))-AVERAGE(OFFSET($H$3,0,0,'Données projet'!$E$11+1,1))</f>
        <v>289.66713787052475</v>
      </c>
      <c r="BJ162" s="59">
        <f t="shared" si="146"/>
        <v>298.29439200198652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0.50437496150027972</v>
      </c>
      <c r="BR162" s="21">
        <f>EXP(-LN(2)/2)*BR161+(1-EXP(-LN(2)/2))/(LN(2)/2)*BL162*BO162*VLOOKUP('Données projet'!$B$11,Paramètres!$A$1:$I$89,3,0)*0.475*44/12</f>
        <v>1.0993894029309368E-18</v>
      </c>
      <c r="BS162" s="22">
        <f t="shared" si="169"/>
        <v>0.50437496150027972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2.5420376914553347E-13</v>
      </c>
      <c r="P163" s="13">
        <f t="shared" si="141"/>
        <v>3.4258699088369875E-12</v>
      </c>
      <c r="Q163" s="20">
        <f t="shared" si="162"/>
        <v>6.4094616558195571E-12</v>
      </c>
      <c r="R163" s="59">
        <f t="shared" si="109"/>
        <v>293.33333333333974</v>
      </c>
      <c r="S163" s="59">
        <f ca="1">AVERAGE(OFFSET($R$3,0,0,'Données projet'!$E$9+1,1))-AVERAGE(OFFSET($H$3,0,0,'Données projet'!$E$9+1,1))</f>
        <v>394.9953131332565</v>
      </c>
      <c r="T163" s="59">
        <f t="shared" si="142"/>
        <v>399.58193819355591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0.78305448639984299</v>
      </c>
      <c r="AA163" s="21">
        <f>EXP(-LN(2)/25)*AA162+(1-EXP(-LN(2)/25))/(LN(2)/25)*Calculateur!V163*Calculateur!X163*VLOOKUP('Données projet'!$B$9,Paramètres!$A$1:$I$89,3,0)*0.475*44/12</f>
        <v>0.90879109205502406</v>
      </c>
      <c r="AB163" s="21">
        <f>EXP(-LN(2)/2)*AB162+(1-EXP(-LN(2)/2))/(LN(2)/2)*V163*Y163*VLOOKUP('Données projet'!$B$9,Paramètres!$A$1:$I$89,3,0)*0.475*44/12</f>
        <v>8.8714204551766461E-19</v>
      </c>
      <c r="AC163" s="22">
        <f t="shared" si="163"/>
        <v>1.6918455784548669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-1.0936673788819462E-13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364.67510777943329</v>
      </c>
      <c r="AO163" s="59">
        <f t="shared" si="144"/>
        <v>352.13878061387169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0.6737910696928886</v>
      </c>
      <c r="AV163" s="21">
        <f>EXP(-LN(2)/25)*AV162+(1-EXP(-LN(2)/25))/(LN(2)/25)*Calculateur!AQ163*Calculateur!AS163*VLOOKUP('Données projet'!$B$10,Paramètres!$A$1:$I$89,3,0)*0.475*44/12</f>
        <v>0.49009935366529866</v>
      </c>
      <c r="AW163" s="21">
        <f>EXP(-LN(2)/2)*AW162+(1-EXP(-LN(2)/2))/(LN(2)/2)*AQ163*AT163*VLOOKUP('Données projet'!$B$10,Paramètres!$A$1:$I$89,3,0)*0.475*44/12</f>
        <v>7.4467224242554704E-19</v>
      </c>
      <c r="AX163" s="21">
        <f t="shared" si="166"/>
        <v>1.1638904233581873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1.1368683772161603E-13</v>
      </c>
      <c r="BE163" s="13">
        <f>BD163*VLOOKUP('Données projet'!$B$11,Paramètres!$A$1:$I$89,3,0)*VLOOKUP('Données projet'!$B$11,Paramètres!$A$1:$I$89,5,0)</f>
        <v>6.7984728957526396E-14</v>
      </c>
      <c r="BF163" s="13">
        <f t="shared" si="167"/>
        <v>1.0682447123141398E-12</v>
      </c>
      <c r="BG163" s="20">
        <f t="shared" si="168"/>
        <v>1.978932943548152E-12</v>
      </c>
      <c r="BH163" s="59">
        <f t="shared" si="116"/>
        <v>293.3333333333353</v>
      </c>
      <c r="BI163" s="59">
        <f ca="1">AVERAGE(OFFSET($BH$3,0,0,'Données projet'!$E$11+1,1))-AVERAGE(OFFSET($H$3,0,0,'Données projet'!$E$11+1,1))</f>
        <v>289.66713787052475</v>
      </c>
      <c r="BJ163" s="59">
        <f t="shared" si="146"/>
        <v>298.29439200198652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0.4905828016541281</v>
      </c>
      <c r="BR163" s="21">
        <f>EXP(-LN(2)/2)*BR162+(1-EXP(-LN(2)/2))/(LN(2)/2)*BL163*BO163*VLOOKUP('Données projet'!$B$11,Paramètres!$A$1:$I$89,3,0)*0.475*44/12</f>
        <v>7.7738570197709508E-19</v>
      </c>
      <c r="BS163" s="22">
        <f t="shared" si="169"/>
        <v>0.4905828016541281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2.5420376914553347E-13</v>
      </c>
      <c r="P164" s="13">
        <f t="shared" si="141"/>
        <v>3.4258699088369875E-12</v>
      </c>
      <c r="Q164" s="20">
        <f t="shared" si="162"/>
        <v>6.4094616558195571E-12</v>
      </c>
      <c r="R164" s="59">
        <f t="shared" si="109"/>
        <v>293.33333333333974</v>
      </c>
      <c r="S164" s="59">
        <f ca="1">AVERAGE(OFFSET($R$3,0,0,'Données projet'!$E$9+1,1))-AVERAGE(OFFSET($H$3,0,0,'Données projet'!$E$9+1,1))</f>
        <v>394.9953131332565</v>
      </c>
      <c r="T164" s="59">
        <f t="shared" si="142"/>
        <v>399.58193819355591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0.76769926553761814</v>
      </c>
      <c r="AA164" s="21">
        <f>EXP(-LN(2)/25)*AA163+(1-EXP(-LN(2)/25))/(LN(2)/25)*Calculateur!V164*Calculateur!X164*VLOOKUP('Données projet'!$B$9,Paramètres!$A$1:$I$89,3,0)*0.475*44/12</f>
        <v>0.88394015185153296</v>
      </c>
      <c r="AB164" s="21">
        <f>EXP(-LN(2)/2)*AB163+(1-EXP(-LN(2)/2))/(LN(2)/2)*V164*Y164*VLOOKUP('Données projet'!$B$9,Paramètres!$A$1:$I$89,3,0)*0.475*44/12</f>
        <v>6.2730415626124547E-19</v>
      </c>
      <c r="AC164" s="22">
        <f t="shared" si="163"/>
        <v>1.6516394173891511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-1.0936673788819462E-13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364.67510777943329</v>
      </c>
      <c r="AO164" s="59">
        <f t="shared" si="144"/>
        <v>352.13878061387169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0.66057843778818348</v>
      </c>
      <c r="AV164" s="21">
        <f>EXP(-LN(2)/25)*AV163+(1-EXP(-LN(2)/25))/(LN(2)/25)*Calculateur!AQ164*Calculateur!AS164*VLOOKUP('Données projet'!$B$10,Paramètres!$A$1:$I$89,3,0)*0.475*44/12</f>
        <v>0.47669756106611622</v>
      </c>
      <c r="AW164" s="21">
        <f>EXP(-LN(2)/2)*AW163+(1-EXP(-LN(2)/2))/(LN(2)/2)*AQ164*AT164*VLOOKUP('Données projet'!$B$10,Paramètres!$A$1:$I$89,3,0)*0.475*44/12</f>
        <v>5.2656279238049695E-19</v>
      </c>
      <c r="AX164" s="21">
        <f t="shared" si="166"/>
        <v>1.1372759988542998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1.1368683772161603E-13</v>
      </c>
      <c r="BE164" s="13">
        <f>BD164*VLOOKUP('Données projet'!$B$11,Paramètres!$A$1:$I$89,3,0)*VLOOKUP('Données projet'!$B$11,Paramètres!$A$1:$I$89,5,0)</f>
        <v>6.7984728957526396E-14</v>
      </c>
      <c r="BF164" s="13">
        <f t="shared" si="167"/>
        <v>1.0682447123141398E-12</v>
      </c>
      <c r="BG164" s="20">
        <f t="shared" si="168"/>
        <v>1.978932943548152E-12</v>
      </c>
      <c r="BH164" s="59">
        <f t="shared" si="116"/>
        <v>293.3333333333353</v>
      </c>
      <c r="BI164" s="59">
        <f ca="1">AVERAGE(OFFSET($BH$3,0,0,'Données projet'!$E$11+1,1))-AVERAGE(OFFSET($H$3,0,0,'Données projet'!$E$11+1,1))</f>
        <v>289.66713787052475</v>
      </c>
      <c r="BJ164" s="59">
        <f t="shared" si="146"/>
        <v>298.29439200198652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0.47716778914426766</v>
      </c>
      <c r="BR164" s="21">
        <f>EXP(-LN(2)/2)*BR163+(1-EXP(-LN(2)/2))/(LN(2)/2)*BL164*BO164*VLOOKUP('Données projet'!$B$11,Paramètres!$A$1:$I$89,3,0)*0.475*44/12</f>
        <v>5.496947014654684E-19</v>
      </c>
      <c r="BS164" s="22">
        <f t="shared" si="169"/>
        <v>0.47716778914426766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2.5420376914553347E-13</v>
      </c>
      <c r="P165" s="13">
        <f t="shared" si="141"/>
        <v>3.4258699088369875E-12</v>
      </c>
      <c r="Q165" s="20">
        <f t="shared" si="162"/>
        <v>6.4094616558195571E-12</v>
      </c>
      <c r="R165" s="59">
        <f t="shared" si="109"/>
        <v>293.33333333333974</v>
      </c>
      <c r="S165" s="59">
        <f ca="1">AVERAGE(OFFSET($R$3,0,0,'Données projet'!$E$9+1,1))-AVERAGE(OFFSET($H$3,0,0,'Données projet'!$E$9+1,1))</f>
        <v>394.9953131332565</v>
      </c>
      <c r="T165" s="59">
        <f t="shared" si="142"/>
        <v>399.58193819355591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0.75264515119074149</v>
      </c>
      <c r="AA165" s="21">
        <f>EXP(-LN(2)/25)*AA164+(1-EXP(-LN(2)/25))/(LN(2)/25)*Calculateur!V165*Calculateur!X165*VLOOKUP('Données projet'!$B$9,Paramètres!$A$1:$I$89,3,0)*0.475*44/12</f>
        <v>0.85976876191476048</v>
      </c>
      <c r="AB165" s="21">
        <f>EXP(-LN(2)/2)*AB164+(1-EXP(-LN(2)/2))/(LN(2)/2)*V165*Y165*VLOOKUP('Données projet'!$B$9,Paramètres!$A$1:$I$89,3,0)*0.475*44/12</f>
        <v>4.435710227588323E-19</v>
      </c>
      <c r="AC165" s="22">
        <f t="shared" si="163"/>
        <v>1.612413913105502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-1.0936673788819462E-13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364.67510777943329</v>
      </c>
      <c r="AO165" s="59">
        <f t="shared" si="144"/>
        <v>352.13878061387169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0.64762489753621988</v>
      </c>
      <c r="AV165" s="21">
        <f>EXP(-LN(2)/25)*AV164+(1-EXP(-LN(2)/25))/(LN(2)/25)*Calculateur!AQ165*Calculateur!AS165*VLOOKUP('Données projet'!$B$10,Paramètres!$A$1:$I$89,3,0)*0.475*44/12</f>
        <v>0.46366224119032806</v>
      </c>
      <c r="AW165" s="21">
        <f>EXP(-LN(2)/2)*AW164+(1-EXP(-LN(2)/2))/(LN(2)/2)*AQ165*AT165*VLOOKUP('Données projet'!$B$10,Paramètres!$A$1:$I$89,3,0)*0.475*44/12</f>
        <v>3.7233612121277352E-19</v>
      </c>
      <c r="AX165" s="21">
        <f t="shared" si="166"/>
        <v>1.1112871387265479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1.1368683772161603E-13</v>
      </c>
      <c r="BE165" s="13">
        <f>BD165*VLOOKUP('Données projet'!$B$11,Paramètres!$A$1:$I$89,3,0)*VLOOKUP('Données projet'!$B$11,Paramètres!$A$1:$I$89,5,0)</f>
        <v>6.7984728957526396E-14</v>
      </c>
      <c r="BF165" s="13">
        <f t="shared" si="167"/>
        <v>1.0682447123141398E-12</v>
      </c>
      <c r="BG165" s="20">
        <f t="shared" si="168"/>
        <v>1.978932943548152E-12</v>
      </c>
      <c r="BH165" s="59">
        <f t="shared" si="116"/>
        <v>293.3333333333353</v>
      </c>
      <c r="BI165" s="59">
        <f ca="1">AVERAGE(OFFSET($BH$3,0,0,'Données projet'!$E$11+1,1))-AVERAGE(OFFSET($H$3,0,0,'Données projet'!$E$11+1,1))</f>
        <v>289.66713787052475</v>
      </c>
      <c r="BJ165" s="59">
        <f t="shared" si="146"/>
        <v>298.29439200198652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0.46411961085695419</v>
      </c>
      <c r="BR165" s="21">
        <f>EXP(-LN(2)/2)*BR164+(1-EXP(-LN(2)/2))/(LN(2)/2)*BL165*BO165*VLOOKUP('Données projet'!$B$11,Paramètres!$A$1:$I$89,3,0)*0.475*44/12</f>
        <v>3.8869285098854754E-19</v>
      </c>
      <c r="BS165" s="22">
        <f t="shared" si="169"/>
        <v>0.46411961085695419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2.5420376914553347E-13</v>
      </c>
      <c r="P166" s="13">
        <f t="shared" si="141"/>
        <v>3.4258699088369875E-12</v>
      </c>
      <c r="Q166" s="20">
        <f t="shared" si="162"/>
        <v>6.4094616558195571E-12</v>
      </c>
      <c r="R166" s="59">
        <f t="shared" si="109"/>
        <v>293.33333333333974</v>
      </c>
      <c r="S166" s="59">
        <f ca="1">AVERAGE(OFFSET($R$3,0,0,'Données projet'!$E$9+1,1))-AVERAGE(OFFSET($H$3,0,0,'Données projet'!$E$9+1,1))</f>
        <v>394.9953131332565</v>
      </c>
      <c r="T166" s="59">
        <f t="shared" si="142"/>
        <v>399.58193819355591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0.73788623884410409</v>
      </c>
      <c r="AA166" s="21">
        <f>EXP(-LN(2)/25)*AA165+(1-EXP(-LN(2)/25))/(LN(2)/25)*Calculateur!V166*Calculateur!X166*VLOOKUP('Données projet'!$B$9,Paramètres!$A$1:$I$89,3,0)*0.475*44/12</f>
        <v>0.83625833990692722</v>
      </c>
      <c r="AB166" s="21">
        <f>EXP(-LN(2)/2)*AB165+(1-EXP(-LN(2)/2))/(LN(2)/2)*V166*Y166*VLOOKUP('Données projet'!$B$9,Paramètres!$A$1:$I$89,3,0)*0.475*44/12</f>
        <v>3.1365207813062274E-19</v>
      </c>
      <c r="AC166" s="22">
        <f t="shared" si="163"/>
        <v>1.5741445787510313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-1.0936673788819462E-13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364.67510777943329</v>
      </c>
      <c r="AO166" s="59">
        <f t="shared" si="144"/>
        <v>352.13878061387169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0.63492536830771784</v>
      </c>
      <c r="AV166" s="21">
        <f>EXP(-LN(2)/25)*AV165+(1-EXP(-LN(2)/25))/(LN(2)/25)*Calculateur!AQ166*Calculateur!AS166*VLOOKUP('Données projet'!$B$10,Paramètres!$A$1:$I$89,3,0)*0.475*44/12</f>
        <v>0.45098337282204098</v>
      </c>
      <c r="AW166" s="21">
        <f>EXP(-LN(2)/2)*AW165+(1-EXP(-LN(2)/2))/(LN(2)/2)*AQ166*AT166*VLOOKUP('Données projet'!$B$10,Paramètres!$A$1:$I$89,3,0)*0.475*44/12</f>
        <v>2.6328139619024848E-19</v>
      </c>
      <c r="AX166" s="21">
        <f t="shared" si="166"/>
        <v>1.0859087411297588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1.1368683772161603E-13</v>
      </c>
      <c r="BE166" s="13">
        <f>BD166*VLOOKUP('Données projet'!$B$11,Paramètres!$A$1:$I$89,3,0)*VLOOKUP('Données projet'!$B$11,Paramètres!$A$1:$I$89,5,0)</f>
        <v>6.7984728957526396E-14</v>
      </c>
      <c r="BF166" s="13">
        <f t="shared" si="167"/>
        <v>1.0682447123141398E-12</v>
      </c>
      <c r="BG166" s="20">
        <f t="shared" si="168"/>
        <v>1.978932943548152E-12</v>
      </c>
      <c r="BH166" s="59">
        <f t="shared" si="116"/>
        <v>293.3333333333353</v>
      </c>
      <c r="BI166" s="59">
        <f ca="1">AVERAGE(OFFSET($BH$3,0,0,'Données projet'!$E$11+1,1))-AVERAGE(OFFSET($H$3,0,0,'Données projet'!$E$11+1,1))</f>
        <v>289.66713787052475</v>
      </c>
      <c r="BJ166" s="59">
        <f t="shared" si="146"/>
        <v>298.29439200198652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0.4514282356910812</v>
      </c>
      <c r="BR166" s="21">
        <f>EXP(-LN(2)/2)*BR165+(1-EXP(-LN(2)/2))/(LN(2)/2)*BL166*BO166*VLOOKUP('Données projet'!$B$11,Paramètres!$A$1:$I$89,3,0)*0.475*44/12</f>
        <v>2.748473507327342E-19</v>
      </c>
      <c r="BS166" s="22">
        <f t="shared" si="169"/>
        <v>0.4514282356910812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2.5420376914553347E-13</v>
      </c>
      <c r="P167" s="13">
        <f t="shared" si="141"/>
        <v>3.4258699088369875E-12</v>
      </c>
      <c r="Q167" s="20">
        <f t="shared" si="162"/>
        <v>6.4094616558195571E-12</v>
      </c>
      <c r="R167" s="59">
        <f t="shared" si="109"/>
        <v>293.33333333333974</v>
      </c>
      <c r="S167" s="59">
        <f ca="1">AVERAGE(OFFSET($R$3,0,0,'Données projet'!$E$9+1,1))-AVERAGE(OFFSET($H$3,0,0,'Données projet'!$E$9+1,1))</f>
        <v>394.9953131332565</v>
      </c>
      <c r="T167" s="59">
        <f t="shared" si="142"/>
        <v>399.58193819355591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0.72341673976653653</v>
      </c>
      <c r="AA167" s="21">
        <f>EXP(-LN(2)/25)*AA166+(1-EXP(-LN(2)/25))/(LN(2)/25)*Calculateur!V167*Calculateur!X167*VLOOKUP('Données projet'!$B$9,Paramètres!$A$1:$I$89,3,0)*0.475*44/12</f>
        <v>0.8133908116252575</v>
      </c>
      <c r="AB167" s="21">
        <f>EXP(-LN(2)/2)*AB166+(1-EXP(-LN(2)/2))/(LN(2)/2)*V167*Y167*VLOOKUP('Données projet'!$B$9,Paramètres!$A$1:$I$89,3,0)*0.475*44/12</f>
        <v>2.2178551137941615E-19</v>
      </c>
      <c r="AC167" s="22">
        <f t="shared" si="163"/>
        <v>1.536807551391794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-1.0936673788819462E-13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364.67510777943329</v>
      </c>
      <c r="AO167" s="59">
        <f t="shared" si="144"/>
        <v>352.13878061387169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0.62247486910143879</v>
      </c>
      <c r="AV167" s="21">
        <f>EXP(-LN(2)/25)*AV166+(1-EXP(-LN(2)/25))/(LN(2)/25)*Calculateur!AQ167*Calculateur!AS167*VLOOKUP('Données projet'!$B$10,Paramètres!$A$1:$I$89,3,0)*0.475*44/12</f>
        <v>0.43865120877603742</v>
      </c>
      <c r="AW167" s="21">
        <f>EXP(-LN(2)/2)*AW166+(1-EXP(-LN(2)/2))/(LN(2)/2)*AQ167*AT167*VLOOKUP('Données projet'!$B$10,Paramètres!$A$1:$I$89,3,0)*0.475*44/12</f>
        <v>1.8616806060638676E-19</v>
      </c>
      <c r="AX167" s="21">
        <f t="shared" si="166"/>
        <v>1.0611260778774763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1.1368683772161603E-13</v>
      </c>
      <c r="BE167" s="13">
        <f>BD167*VLOOKUP('Données projet'!$B$11,Paramètres!$A$1:$I$89,3,0)*VLOOKUP('Données projet'!$B$11,Paramètres!$A$1:$I$89,5,0)</f>
        <v>6.7984728957526396E-14</v>
      </c>
      <c r="BF167" s="13">
        <f t="shared" si="167"/>
        <v>1.0682447123141398E-12</v>
      </c>
      <c r="BG167" s="20">
        <f t="shared" si="168"/>
        <v>1.978932943548152E-12</v>
      </c>
      <c r="BH167" s="59">
        <f t="shared" si="116"/>
        <v>293.3333333333353</v>
      </c>
      <c r="BI167" s="59">
        <f ca="1">AVERAGE(OFFSET($BH$3,0,0,'Données projet'!$E$11+1,1))-AVERAGE(OFFSET($H$3,0,0,'Données projet'!$E$11+1,1))</f>
        <v>289.66713787052475</v>
      </c>
      <c r="BJ167" s="59">
        <f t="shared" si="146"/>
        <v>298.29439200198652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0.43908390684652943</v>
      </c>
      <c r="BR167" s="21">
        <f>EXP(-LN(2)/2)*BR166+(1-EXP(-LN(2)/2))/(LN(2)/2)*BL167*BO167*VLOOKUP('Données projet'!$B$11,Paramètres!$A$1:$I$89,3,0)*0.475*44/12</f>
        <v>1.9434642549427377E-19</v>
      </c>
      <c r="BS167" s="22">
        <f t="shared" si="169"/>
        <v>0.43908390684652943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2.5420376914553347E-13</v>
      </c>
      <c r="P168" s="13">
        <f t="shared" si="141"/>
        <v>3.4258699088369875E-12</v>
      </c>
      <c r="Q168" s="20">
        <f t="shared" si="162"/>
        <v>6.4094616558195571E-12</v>
      </c>
      <c r="R168" s="59">
        <f t="shared" si="109"/>
        <v>293.33333333333974</v>
      </c>
      <c r="S168" s="59">
        <f ca="1">AVERAGE(OFFSET($R$3,0,0,'Données projet'!$E$9+1,1))-AVERAGE(OFFSET($H$3,0,0,'Données projet'!$E$9+1,1))</f>
        <v>394.9953131332565</v>
      </c>
      <c r="T168" s="59">
        <f t="shared" si="142"/>
        <v>399.58193819355591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0.70923097874035712</v>
      </c>
      <c r="AA168" s="21">
        <f>EXP(-LN(2)/25)*AA167+(1-EXP(-LN(2)/25))/(LN(2)/25)*Calculateur!V168*Calculateur!X168*VLOOKUP('Données projet'!$B$9,Paramètres!$A$1:$I$89,3,0)*0.475*44/12</f>
        <v>0.79114859710700114</v>
      </c>
      <c r="AB168" s="21">
        <f>EXP(-LN(2)/2)*AB167+(1-EXP(-LN(2)/2))/(LN(2)/2)*V168*Y168*VLOOKUP('Données projet'!$B$9,Paramètres!$A$1:$I$89,3,0)*0.475*44/12</f>
        <v>1.5682603906531137E-19</v>
      </c>
      <c r="AC168" s="22">
        <f t="shared" si="163"/>
        <v>1.5003795758473584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-1.0936673788819462E-13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364.67510777943329</v>
      </c>
      <c r="AO168" s="59">
        <f t="shared" si="144"/>
        <v>352.13878061387169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0.61026851659054027</v>
      </c>
      <c r="AV168" s="21">
        <f>EXP(-LN(2)/25)*AV167+(1-EXP(-LN(2)/25))/(LN(2)/25)*Calculateur!AQ168*Calculateur!AS168*VLOOKUP('Données projet'!$B$10,Paramètres!$A$1:$I$89,3,0)*0.475*44/12</f>
        <v>0.42665626840439214</v>
      </c>
      <c r="AW168" s="21">
        <f>EXP(-LN(2)/2)*AW167+(1-EXP(-LN(2)/2))/(LN(2)/2)*AQ168*AT168*VLOOKUP('Données projet'!$B$10,Paramètres!$A$1:$I$89,3,0)*0.475*44/12</f>
        <v>1.3164069809512424E-19</v>
      </c>
      <c r="AX168" s="21">
        <f t="shared" si="166"/>
        <v>1.0369247849949323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1.1368683772161603E-13</v>
      </c>
      <c r="BE168" s="13">
        <f>BD168*VLOOKUP('Données projet'!$B$11,Paramètres!$A$1:$I$89,3,0)*VLOOKUP('Données projet'!$B$11,Paramètres!$A$1:$I$89,5,0)</f>
        <v>6.7984728957526396E-14</v>
      </c>
      <c r="BF168" s="13">
        <f t="shared" si="167"/>
        <v>1.0682447123141398E-12</v>
      </c>
      <c r="BG168" s="20">
        <f t="shared" si="168"/>
        <v>1.978932943548152E-12</v>
      </c>
      <c r="BH168" s="59">
        <f t="shared" si="116"/>
        <v>293.3333333333353</v>
      </c>
      <c r="BI168" s="59">
        <f ca="1">AVERAGE(OFFSET($BH$3,0,0,'Données projet'!$E$11+1,1))-AVERAGE(OFFSET($H$3,0,0,'Données projet'!$E$11+1,1))</f>
        <v>289.66713787052475</v>
      </c>
      <c r="BJ168" s="59">
        <f t="shared" si="146"/>
        <v>298.29439200198652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0.42707713432339195</v>
      </c>
      <c r="BR168" s="21">
        <f>EXP(-LN(2)/2)*BR167+(1-EXP(-LN(2)/2))/(LN(2)/2)*BL168*BO168*VLOOKUP('Données projet'!$B$11,Paramètres!$A$1:$I$89,3,0)*0.475*44/12</f>
        <v>1.374236753663671E-19</v>
      </c>
      <c r="BS168" s="22">
        <f t="shared" si="169"/>
        <v>0.42707713432339195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2.5420376914553347E-13</v>
      </c>
      <c r="P169" s="13">
        <f t="shared" si="141"/>
        <v>3.4258699088369875E-12</v>
      </c>
      <c r="Q169" s="20">
        <f t="shared" si="162"/>
        <v>6.4094616558195571E-12</v>
      </c>
      <c r="R169" s="59">
        <f t="shared" si="109"/>
        <v>293.33333333333974</v>
      </c>
      <c r="S169" s="59">
        <f ca="1">AVERAGE(OFFSET($R$3,0,0,'Données projet'!$E$9+1,1))-AVERAGE(OFFSET($H$3,0,0,'Données projet'!$E$9+1,1))</f>
        <v>394.9953131332565</v>
      </c>
      <c r="T169" s="59">
        <f t="shared" si="142"/>
        <v>399.58193819355591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0.69532339183544123</v>
      </c>
      <c r="AA169" s="21">
        <f>EXP(-LN(2)/25)*AA168+(1-EXP(-LN(2)/25))/(LN(2)/25)*Calculateur!V169*Calculateur!X169*VLOOKUP('Données projet'!$B$9,Paramètres!$A$1:$I$89,3,0)*0.475*44/12</f>
        <v>0.76951459711441361</v>
      </c>
      <c r="AB169" s="21">
        <f>EXP(-LN(2)/2)*AB168+(1-EXP(-LN(2)/2))/(LN(2)/2)*V169*Y169*VLOOKUP('Données projet'!$B$9,Paramètres!$A$1:$I$89,3,0)*0.475*44/12</f>
        <v>1.1089275568970808E-19</v>
      </c>
      <c r="AC169" s="22">
        <f t="shared" si="163"/>
        <v>1.4648379889498548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-1.0936673788819462E-13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364.67510777943329</v>
      </c>
      <c r="AO169" s="59">
        <f t="shared" si="144"/>
        <v>352.13878061387169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0.5983015232072405</v>
      </c>
      <c r="AV169" s="21">
        <f>EXP(-LN(2)/25)*AV168+(1-EXP(-LN(2)/25))/(LN(2)/25)*Calculateur!AQ169*Calculateur!AS169*VLOOKUP('Données projet'!$B$10,Paramètres!$A$1:$I$89,3,0)*0.475*44/12</f>
        <v>0.41498933030799601</v>
      </c>
      <c r="AW169" s="21">
        <f>EXP(-LN(2)/2)*AW168+(1-EXP(-LN(2)/2))/(LN(2)/2)*AQ169*AT169*VLOOKUP('Données projet'!$B$10,Paramètres!$A$1:$I$89,3,0)*0.475*44/12</f>
        <v>9.308403030319338E-20</v>
      </c>
      <c r="AX169" s="21">
        <f t="shared" si="166"/>
        <v>1.0132908535152365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1.1368683772161603E-13</v>
      </c>
      <c r="BE169" s="13">
        <f>BD169*VLOOKUP('Données projet'!$B$11,Paramètres!$A$1:$I$89,3,0)*VLOOKUP('Données projet'!$B$11,Paramètres!$A$1:$I$89,5,0)</f>
        <v>6.7984728957526396E-14</v>
      </c>
      <c r="BF169" s="13">
        <f t="shared" si="167"/>
        <v>1.0682447123141398E-12</v>
      </c>
      <c r="BG169" s="20">
        <f t="shared" si="168"/>
        <v>1.978932943548152E-12</v>
      </c>
      <c r="BH169" s="59">
        <f t="shared" si="116"/>
        <v>293.3333333333353</v>
      </c>
      <c r="BI169" s="59">
        <f ca="1">AVERAGE(OFFSET($BH$3,0,0,'Données projet'!$E$11+1,1))-AVERAGE(OFFSET($H$3,0,0,'Données projet'!$E$11+1,1))</f>
        <v>289.66713787052475</v>
      </c>
      <c r="BJ169" s="59">
        <f t="shared" si="146"/>
        <v>298.29439200198652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0.41539868762630838</v>
      </c>
      <c r="BR169" s="21">
        <f>EXP(-LN(2)/2)*BR168+(1-EXP(-LN(2)/2))/(LN(2)/2)*BL169*BO169*VLOOKUP('Données projet'!$B$11,Paramètres!$A$1:$I$89,3,0)*0.475*44/12</f>
        <v>9.7173212747136884E-20</v>
      </c>
      <c r="BS169" s="22">
        <f t="shared" si="169"/>
        <v>0.41539868762630838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2.5420376914553347E-13</v>
      </c>
      <c r="P170" s="13">
        <f t="shared" si="141"/>
        <v>3.4258699088369875E-12</v>
      </c>
      <c r="Q170" s="20">
        <f t="shared" si="162"/>
        <v>6.4094616558195571E-12</v>
      </c>
      <c r="R170" s="59">
        <f t="shared" si="109"/>
        <v>293.33333333333974</v>
      </c>
      <c r="S170" s="59">
        <f ca="1">AVERAGE(OFFSET($R$3,0,0,'Données projet'!$E$9+1,1))-AVERAGE(OFFSET($H$3,0,0,'Données projet'!$E$9+1,1))</f>
        <v>394.9953131332565</v>
      </c>
      <c r="T170" s="59">
        <f t="shared" si="142"/>
        <v>399.58193819355591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0.68168852422694026</v>
      </c>
      <c r="AA170" s="21">
        <f>EXP(-LN(2)/25)*AA169+(1-EXP(-LN(2)/25))/(LN(2)/25)*Calculateur!V170*Calculateur!X170*VLOOKUP('Données projet'!$B$9,Paramètres!$A$1:$I$89,3,0)*0.475*44/12</f>
        <v>0.74847217998930604</v>
      </c>
      <c r="AB170" s="21">
        <f>EXP(-LN(2)/2)*AB169+(1-EXP(-LN(2)/2))/(LN(2)/2)*V170*Y170*VLOOKUP('Données projet'!$B$9,Paramètres!$A$1:$I$89,3,0)*0.475*44/12</f>
        <v>7.8413019532655684E-20</v>
      </c>
      <c r="AC170" s="22">
        <f t="shared" si="163"/>
        <v>1.4301607042162463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-1.0936673788819462E-13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364.67510777943329</v>
      </c>
      <c r="AO170" s="59">
        <f t="shared" si="144"/>
        <v>352.13878061387169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0.58656919526504203</v>
      </c>
      <c r="AV170" s="21">
        <f>EXP(-LN(2)/25)*AV169+(1-EXP(-LN(2)/25))/(LN(2)/25)*Calculateur!AQ170*Calculateur!AS170*VLOOKUP('Données projet'!$B$10,Paramètres!$A$1:$I$89,3,0)*0.475*44/12</f>
        <v>0.40364142524738345</v>
      </c>
      <c r="AW170" s="21">
        <f>EXP(-LN(2)/2)*AW169+(1-EXP(-LN(2)/2))/(LN(2)/2)*AQ170*AT170*VLOOKUP('Données projet'!$B$10,Paramètres!$A$1:$I$89,3,0)*0.475*44/12</f>
        <v>6.5820349047562119E-20</v>
      </c>
      <c r="AX170" s="21">
        <f t="shared" si="166"/>
        <v>0.99021062051242548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1.1368683772161603E-13</v>
      </c>
      <c r="BE170" s="13">
        <f>BD170*VLOOKUP('Données projet'!$B$11,Paramètres!$A$1:$I$89,3,0)*VLOOKUP('Données projet'!$B$11,Paramètres!$A$1:$I$89,5,0)</f>
        <v>6.7984728957526396E-14</v>
      </c>
      <c r="BF170" s="13">
        <f t="shared" si="167"/>
        <v>1.0682447123141398E-12</v>
      </c>
      <c r="BG170" s="20">
        <f t="shared" si="168"/>
        <v>1.978932943548152E-12</v>
      </c>
      <c r="BH170" s="59">
        <f t="shared" si="116"/>
        <v>293.3333333333353</v>
      </c>
      <c r="BI170" s="59">
        <f ca="1">AVERAGE(OFFSET($BH$3,0,0,'Données projet'!$E$11+1,1))-AVERAGE(OFFSET($H$3,0,0,'Données projet'!$E$11+1,1))</f>
        <v>289.66713787052475</v>
      </c>
      <c r="BJ170" s="59">
        <f t="shared" si="146"/>
        <v>298.29439200198652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0.40403958866829942</v>
      </c>
      <c r="BR170" s="21">
        <f>EXP(-LN(2)/2)*BR169+(1-EXP(-LN(2)/2))/(LN(2)/2)*BL170*BO170*VLOOKUP('Données projet'!$B$11,Paramètres!$A$1:$I$89,3,0)*0.475*44/12</f>
        <v>6.871183768318355E-20</v>
      </c>
      <c r="BS170" s="22">
        <f t="shared" si="169"/>
        <v>0.40403958866829942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2.5420376914553347E-13</v>
      </c>
      <c r="P171" s="13">
        <f t="shared" si="141"/>
        <v>3.4258699088369875E-12</v>
      </c>
      <c r="Q171" s="20">
        <f t="shared" si="162"/>
        <v>6.4094616558195571E-12</v>
      </c>
      <c r="R171" s="59">
        <f t="shared" si="109"/>
        <v>293.33333333333974</v>
      </c>
      <c r="S171" s="59">
        <f ca="1">AVERAGE(OFFSET($R$3,0,0,'Données projet'!$E$9+1,1))-AVERAGE(OFFSET($H$3,0,0,'Données projet'!$E$9+1,1))</f>
        <v>394.9953131332565</v>
      </c>
      <c r="T171" s="59">
        <f t="shared" si="142"/>
        <v>399.58193819355591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0.66832102805579396</v>
      </c>
      <c r="AA171" s="21">
        <f>EXP(-LN(2)/25)*AA170+(1-EXP(-LN(2)/25))/(LN(2)/25)*Calculateur!V171*Calculateur!X171*VLOOKUP('Données projet'!$B$9,Paramètres!$A$1:$I$89,3,0)*0.475*44/12</f>
        <v>0.72800516886705713</v>
      </c>
      <c r="AB171" s="21">
        <f>EXP(-LN(2)/2)*AB170+(1-EXP(-LN(2)/2))/(LN(2)/2)*V171*Y171*VLOOKUP('Données projet'!$B$9,Paramètres!$A$1:$I$89,3,0)*0.475*44/12</f>
        <v>5.5446377844854038E-20</v>
      </c>
      <c r="AC171" s="22">
        <f t="shared" si="163"/>
        <v>1.3963261969228511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-1.0936673788819462E-13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364.67510777943329</v>
      </c>
      <c r="AO171" s="59">
        <f t="shared" si="144"/>
        <v>352.13878061387169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0.57506693111777663</v>
      </c>
      <c r="AV171" s="21">
        <f>EXP(-LN(2)/25)*AV170+(1-EXP(-LN(2)/25))/(LN(2)/25)*Calculateur!AQ171*Calculateur!AS171*VLOOKUP('Données projet'!$B$10,Paramètres!$A$1:$I$89,3,0)*0.475*44/12</f>
        <v>0.39260382924741372</v>
      </c>
      <c r="AW171" s="21">
        <f>EXP(-LN(2)/2)*AW170+(1-EXP(-LN(2)/2))/(LN(2)/2)*AQ171*AT171*VLOOKUP('Données projet'!$B$10,Paramètres!$A$1:$I$89,3,0)*0.475*44/12</f>
        <v>4.654201515159669E-20</v>
      </c>
      <c r="AX171" s="21">
        <f t="shared" si="166"/>
        <v>0.9676707603651904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1.1368683772161603E-13</v>
      </c>
      <c r="BE171" s="13">
        <f>BD171*VLOOKUP('Données projet'!$B$11,Paramètres!$A$1:$I$89,3,0)*VLOOKUP('Données projet'!$B$11,Paramètres!$A$1:$I$89,5,0)</f>
        <v>6.7984728957526396E-14</v>
      </c>
      <c r="BF171" s="13">
        <f t="shared" si="167"/>
        <v>1.0682447123141398E-12</v>
      </c>
      <c r="BG171" s="20">
        <f t="shared" si="168"/>
        <v>1.978932943548152E-12</v>
      </c>
      <c r="BH171" s="59">
        <f t="shared" si="116"/>
        <v>293.3333333333353</v>
      </c>
      <c r="BI171" s="59">
        <f ca="1">AVERAGE(OFFSET($BH$3,0,0,'Données projet'!$E$11+1,1))-AVERAGE(OFFSET($H$3,0,0,'Données projet'!$E$11+1,1))</f>
        <v>289.66713787052475</v>
      </c>
      <c r="BJ171" s="59">
        <f t="shared" si="146"/>
        <v>298.29439200198652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0.39299110486864625</v>
      </c>
      <c r="BR171" s="21">
        <f>EXP(-LN(2)/2)*BR170+(1-EXP(-LN(2)/2))/(LN(2)/2)*BL171*BO171*VLOOKUP('Données projet'!$B$11,Paramètres!$A$1:$I$89,3,0)*0.475*44/12</f>
        <v>4.8586606373568442E-20</v>
      </c>
      <c r="BS171" s="22">
        <f t="shared" si="169"/>
        <v>0.39299110486864625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2.5420376914553347E-13</v>
      </c>
      <c r="P172" s="13">
        <f t="shared" si="141"/>
        <v>3.4258699088369875E-12</v>
      </c>
      <c r="Q172" s="20">
        <f t="shared" si="162"/>
        <v>6.4094616558195571E-12</v>
      </c>
      <c r="R172" s="59">
        <f t="shared" si="109"/>
        <v>293.33333333333974</v>
      </c>
      <c r="S172" s="59">
        <f ca="1">AVERAGE(OFFSET($R$3,0,0,'Données projet'!$E$9+1,1))-AVERAGE(OFFSET($H$3,0,0,'Données projet'!$E$9+1,1))</f>
        <v>394.9953131332565</v>
      </c>
      <c r="T172" s="59">
        <f t="shared" si="142"/>
        <v>399.58193819355591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0.65521566033119627</v>
      </c>
      <c r="AA172" s="21">
        <f>EXP(-LN(2)/25)*AA171+(1-EXP(-LN(2)/25))/(LN(2)/25)*Calculateur!V172*Calculateur!X172*VLOOKUP('Données projet'!$B$9,Paramètres!$A$1:$I$89,3,0)*0.475*44/12</f>
        <v>0.70809782924025955</v>
      </c>
      <c r="AB172" s="21">
        <f>EXP(-LN(2)/2)*AB171+(1-EXP(-LN(2)/2))/(LN(2)/2)*V172*Y172*VLOOKUP('Données projet'!$B$9,Paramètres!$A$1:$I$89,3,0)*0.475*44/12</f>
        <v>3.9206509766327842E-20</v>
      </c>
      <c r="AC172" s="22">
        <f t="shared" si="163"/>
        <v>1.3633134895714558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-1.0936673788819462E-13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364.67510777943329</v>
      </c>
      <c r="AO172" s="59">
        <f t="shared" si="144"/>
        <v>352.13878061387169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0.56379021935475071</v>
      </c>
      <c r="AV172" s="21">
        <f>EXP(-LN(2)/25)*AV171+(1-EXP(-LN(2)/25))/(LN(2)/25)*Calculateur!AQ172*Calculateur!AS172*VLOOKUP('Données projet'!$B$10,Paramètres!$A$1:$I$89,3,0)*0.475*44/12</f>
        <v>0.38186805689050513</v>
      </c>
      <c r="AW172" s="21">
        <f>EXP(-LN(2)/2)*AW171+(1-EXP(-LN(2)/2))/(LN(2)/2)*AQ172*AT172*VLOOKUP('Données projet'!$B$10,Paramètres!$A$1:$I$89,3,0)*0.475*44/12</f>
        <v>3.291017452378106E-20</v>
      </c>
      <c r="AX172" s="21">
        <f t="shared" si="166"/>
        <v>0.94565827624525589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1.1368683772161603E-13</v>
      </c>
      <c r="BE172" s="13">
        <f>BD172*VLOOKUP('Données projet'!$B$11,Paramètres!$A$1:$I$89,3,0)*VLOOKUP('Données projet'!$B$11,Paramètres!$A$1:$I$89,5,0)</f>
        <v>6.7984728957526396E-14</v>
      </c>
      <c r="BF172" s="13">
        <f t="shared" si="167"/>
        <v>1.0682447123141398E-12</v>
      </c>
      <c r="BG172" s="20">
        <f t="shared" si="168"/>
        <v>1.978932943548152E-12</v>
      </c>
      <c r="BH172" s="59">
        <f t="shared" si="116"/>
        <v>293.3333333333353</v>
      </c>
      <c r="BI172" s="59">
        <f ca="1">AVERAGE(OFFSET($BH$3,0,0,'Données projet'!$E$11+1,1))-AVERAGE(OFFSET($H$3,0,0,'Données projet'!$E$11+1,1))</f>
        <v>289.66713787052475</v>
      </c>
      <c r="BJ172" s="59">
        <f t="shared" si="146"/>
        <v>298.29439200198652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0.38224474243950912</v>
      </c>
      <c r="BR172" s="21">
        <f>EXP(-LN(2)/2)*BR171+(1-EXP(-LN(2)/2))/(LN(2)/2)*BL172*BO172*VLOOKUP('Données projet'!$B$11,Paramètres!$A$1:$I$89,3,0)*0.475*44/12</f>
        <v>3.4355918841591775E-20</v>
      </c>
      <c r="BS172" s="22">
        <f t="shared" si="169"/>
        <v>0.38224474243950912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2.5420376914553347E-13</v>
      </c>
      <c r="P173" s="13">
        <f t="shared" si="141"/>
        <v>3.4258699088369875E-12</v>
      </c>
      <c r="Q173" s="20">
        <f t="shared" si="162"/>
        <v>6.4094616558195571E-12</v>
      </c>
      <c r="R173" s="59">
        <f t="shared" si="109"/>
        <v>293.33333333333974</v>
      </c>
      <c r="S173" s="59">
        <f ca="1">AVERAGE(OFFSET($R$3,0,0,'Données projet'!$E$9+1,1))-AVERAGE(OFFSET($H$3,0,0,'Données projet'!$E$9+1,1))</f>
        <v>394.9953131332565</v>
      </c>
      <c r="T173" s="59">
        <f t="shared" si="142"/>
        <v>399.58193819355591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0.64236728087419293</v>
      </c>
      <c r="AA173" s="21">
        <f>EXP(-LN(2)/25)*AA172+(1-EXP(-LN(2)/25))/(LN(2)/25)*Calculateur!V173*Calculateur!X173*VLOOKUP('Données projet'!$B$9,Paramètres!$A$1:$I$89,3,0)*0.475*44/12</f>
        <v>0.68873485686243818</v>
      </c>
      <c r="AB173" s="21">
        <f>EXP(-LN(2)/2)*AB172+(1-EXP(-LN(2)/2))/(LN(2)/2)*V173*Y173*VLOOKUP('Données projet'!$B$9,Paramètres!$A$1:$I$89,3,0)*0.475*44/12</f>
        <v>2.7723188922427019E-20</v>
      </c>
      <c r="AC173" s="22">
        <f t="shared" si="163"/>
        <v>1.331102137736631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-1.0936673788819462E-13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364.67510777943329</v>
      </c>
      <c r="AO173" s="59">
        <f t="shared" si="144"/>
        <v>352.13878061387169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0.55273463703128267</v>
      </c>
      <c r="AV173" s="21">
        <f>EXP(-LN(2)/25)*AV172+(1-EXP(-LN(2)/25))/(LN(2)/25)*Calculateur!AQ173*Calculateur!AS173*VLOOKUP('Données projet'!$B$10,Paramètres!$A$1:$I$89,3,0)*0.475*44/12</f>
        <v>0.3714258547932659</v>
      </c>
      <c r="AW173" s="21">
        <f>EXP(-LN(2)/2)*AW172+(1-EXP(-LN(2)/2))/(LN(2)/2)*AQ173*AT173*VLOOKUP('Données projet'!$B$10,Paramètres!$A$1:$I$89,3,0)*0.475*44/12</f>
        <v>2.3271007575798345E-20</v>
      </c>
      <c r="AX173" s="21">
        <f t="shared" si="166"/>
        <v>0.92416049182454851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1.1368683772161603E-13</v>
      </c>
      <c r="BE173" s="13">
        <f>BD173*VLOOKUP('Données projet'!$B$11,Paramètres!$A$1:$I$89,3,0)*VLOOKUP('Données projet'!$B$11,Paramètres!$A$1:$I$89,5,0)</f>
        <v>6.7984728957526396E-14</v>
      </c>
      <c r="BF173" s="13">
        <f t="shared" si="167"/>
        <v>1.0682447123141398E-12</v>
      </c>
      <c r="BG173" s="20">
        <f t="shared" si="168"/>
        <v>1.978932943548152E-12</v>
      </c>
      <c r="BH173" s="59">
        <f t="shared" si="116"/>
        <v>293.3333333333353</v>
      </c>
      <c r="BI173" s="59">
        <f ca="1">AVERAGE(OFFSET($BH$3,0,0,'Données projet'!$E$11+1,1))-AVERAGE(OFFSET($H$3,0,0,'Données projet'!$E$11+1,1))</f>
        <v>289.66713787052475</v>
      </c>
      <c r="BJ173" s="59">
        <f t="shared" si="146"/>
        <v>298.29439200198652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0.37179223985612336</v>
      </c>
      <c r="BR173" s="21">
        <f>EXP(-LN(2)/2)*BR172+(1-EXP(-LN(2)/2))/(LN(2)/2)*BL173*BO173*VLOOKUP('Données projet'!$B$11,Paramètres!$A$1:$I$89,3,0)*0.475*44/12</f>
        <v>2.4293303186784221E-20</v>
      </c>
      <c r="BS173" s="22">
        <f t="shared" si="169"/>
        <v>0.37179223985612336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2.5420376914553347E-13</v>
      </c>
      <c r="P174" s="13">
        <f t="shared" si="141"/>
        <v>3.4258699088369875E-12</v>
      </c>
      <c r="Q174" s="20">
        <f t="shared" si="162"/>
        <v>6.4094616558195571E-12</v>
      </c>
      <c r="R174" s="59">
        <f t="shared" si="109"/>
        <v>293.33333333333974</v>
      </c>
      <c r="S174" s="59">
        <f ca="1">AVERAGE(OFFSET($R$3,0,0,'Données projet'!$E$9+1,1))-AVERAGE(OFFSET($H$3,0,0,'Données projet'!$E$9+1,1))</f>
        <v>394.9953131332565</v>
      </c>
      <c r="T174" s="59">
        <f t="shared" si="142"/>
        <v>399.58193819355591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0.62977085030160374</v>
      </c>
      <c r="AA174" s="21">
        <f>EXP(-LN(2)/25)*AA173+(1-EXP(-LN(2)/25))/(LN(2)/25)*Calculateur!V174*Calculateur!X174*VLOOKUP('Données projet'!$B$9,Paramètres!$A$1:$I$89,3,0)*0.475*44/12</f>
        <v>0.6699013659825428</v>
      </c>
      <c r="AB174" s="21">
        <f>EXP(-LN(2)/2)*AB173+(1-EXP(-LN(2)/2))/(LN(2)/2)*V174*Y174*VLOOKUP('Données projet'!$B$9,Paramètres!$A$1:$I$89,3,0)*0.475*44/12</f>
        <v>1.9603254883163921E-20</v>
      </c>
      <c r="AC174" s="22">
        <f t="shared" si="163"/>
        <v>1.2996722162841465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-1.0936673788819462E-13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364.67510777943329</v>
      </c>
      <c r="AO174" s="59">
        <f t="shared" si="144"/>
        <v>352.13878061387169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0.54189584793393852</v>
      </c>
      <c r="AV174" s="21">
        <f>EXP(-LN(2)/25)*AV173+(1-EXP(-LN(2)/25))/(LN(2)/25)*Calculateur!AQ174*Calculateur!AS174*VLOOKUP('Données projet'!$B$10,Paramètres!$A$1:$I$89,3,0)*0.475*44/12</f>
        <v>0.36126919526150725</v>
      </c>
      <c r="AW174" s="21">
        <f>EXP(-LN(2)/2)*AW173+(1-EXP(-LN(2)/2))/(LN(2)/2)*AQ174*AT174*VLOOKUP('Données projet'!$B$10,Paramètres!$A$1:$I$89,3,0)*0.475*44/12</f>
        <v>1.645508726189053E-20</v>
      </c>
      <c r="AX174" s="21">
        <f t="shared" si="166"/>
        <v>0.90316504319544577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1.1368683772161603E-13</v>
      </c>
      <c r="BE174" s="13">
        <f>BD174*VLOOKUP('Données projet'!$B$11,Paramètres!$A$1:$I$89,3,0)*VLOOKUP('Données projet'!$B$11,Paramètres!$A$1:$I$89,5,0)</f>
        <v>6.7984728957526396E-14</v>
      </c>
      <c r="BF174" s="13">
        <f t="shared" si="167"/>
        <v>1.0682447123141398E-12</v>
      </c>
      <c r="BG174" s="20">
        <f t="shared" si="168"/>
        <v>1.978932943548152E-12</v>
      </c>
      <c r="BH174" s="59">
        <f t="shared" si="116"/>
        <v>293.3333333333353</v>
      </c>
      <c r="BI174" s="59">
        <f ca="1">AVERAGE(OFFSET($BH$3,0,0,'Données projet'!$E$11+1,1))-AVERAGE(OFFSET($H$3,0,0,'Données projet'!$E$11+1,1))</f>
        <v>289.66713787052475</v>
      </c>
      <c r="BJ174" s="59">
        <f t="shared" si="146"/>
        <v>298.29439200198652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0.36162556150555353</v>
      </c>
      <c r="BR174" s="21">
        <f>EXP(-LN(2)/2)*BR173+(1-EXP(-LN(2)/2))/(LN(2)/2)*BL174*BO174*VLOOKUP('Données projet'!$B$11,Paramètres!$A$1:$I$89,3,0)*0.475*44/12</f>
        <v>1.7177959420795888E-20</v>
      </c>
      <c r="BS174" s="22">
        <f t="shared" si="169"/>
        <v>0.36162556150555353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2.5420376914553347E-13</v>
      </c>
      <c r="P175" s="13">
        <f t="shared" si="141"/>
        <v>3.4258699088369875E-12</v>
      </c>
      <c r="Q175" s="20">
        <f t="shared" si="162"/>
        <v>6.4094616558195571E-12</v>
      </c>
      <c r="R175" s="59">
        <f t="shared" si="109"/>
        <v>293.33333333333974</v>
      </c>
      <c r="S175" s="59">
        <f ca="1">AVERAGE(OFFSET($R$3,0,0,'Données projet'!$E$9+1,1))-AVERAGE(OFFSET($H$3,0,0,'Données projet'!$E$9+1,1))</f>
        <v>394.9953131332565</v>
      </c>
      <c r="T175" s="59">
        <f t="shared" si="142"/>
        <v>399.58193819355591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0.61742142804947908</v>
      </c>
      <c r="AA175" s="21">
        <f>EXP(-LN(2)/25)*AA174+(1-EXP(-LN(2)/25))/(LN(2)/25)*Calculateur!V175*Calculateur!X175*VLOOKUP('Données projet'!$B$9,Paramètres!$A$1:$I$89,3,0)*0.475*44/12</f>
        <v>0.65158287790116842</v>
      </c>
      <c r="AB175" s="21">
        <f>EXP(-LN(2)/2)*AB174+(1-EXP(-LN(2)/2))/(LN(2)/2)*V175*Y175*VLOOKUP('Données projet'!$B$9,Paramètres!$A$1:$I$89,3,0)*0.475*44/12</f>
        <v>1.3861594461213509E-20</v>
      </c>
      <c r="AC175" s="22">
        <f t="shared" si="163"/>
        <v>1.2690043059506475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-1.0936673788819462E-13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364.67510777943329</v>
      </c>
      <c r="AO175" s="59">
        <f t="shared" si="144"/>
        <v>352.13878061387169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0.5312696008797847</v>
      </c>
      <c r="AV175" s="21">
        <f>EXP(-LN(2)/25)*AV174+(1-EXP(-LN(2)/25))/(LN(2)/25)*Calculateur!AQ175*Calculateur!AS175*VLOOKUP('Données projet'!$B$10,Paramètres!$A$1:$I$89,3,0)*0.475*44/12</f>
        <v>0.35139027011876006</v>
      </c>
      <c r="AW175" s="21">
        <f>EXP(-LN(2)/2)*AW174+(1-EXP(-LN(2)/2))/(LN(2)/2)*AQ175*AT175*VLOOKUP('Données projet'!$B$10,Paramètres!$A$1:$I$89,3,0)*0.475*44/12</f>
        <v>1.1635503787899173E-20</v>
      </c>
      <c r="AX175" s="21">
        <f t="shared" si="166"/>
        <v>0.8826598709985447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1.1368683772161603E-13</v>
      </c>
      <c r="BE175" s="13">
        <f>BD175*VLOOKUP('Données projet'!$B$11,Paramètres!$A$1:$I$89,3,0)*VLOOKUP('Données projet'!$B$11,Paramètres!$A$1:$I$89,5,0)</f>
        <v>6.7984728957526396E-14</v>
      </c>
      <c r="BF175" s="13">
        <f t="shared" si="167"/>
        <v>1.0682447123141398E-12</v>
      </c>
      <c r="BG175" s="20">
        <f t="shared" si="168"/>
        <v>1.978932943548152E-12</v>
      </c>
      <c r="BH175" s="59">
        <f t="shared" si="116"/>
        <v>293.3333333333353</v>
      </c>
      <c r="BI175" s="59">
        <f ca="1">AVERAGE(OFFSET($BH$3,0,0,'Données projet'!$E$11+1,1))-AVERAGE(OFFSET($H$3,0,0,'Données projet'!$E$11+1,1))</f>
        <v>289.66713787052475</v>
      </c>
      <c r="BJ175" s="59">
        <f t="shared" si="146"/>
        <v>298.29439200198652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0.35173689150912241</v>
      </c>
      <c r="BR175" s="21">
        <f>EXP(-LN(2)/2)*BR174+(1-EXP(-LN(2)/2))/(LN(2)/2)*BL175*BO175*VLOOKUP('Données projet'!$B$11,Paramètres!$A$1:$I$89,3,0)*0.475*44/12</f>
        <v>1.2146651593392111E-20</v>
      </c>
      <c r="BS175" s="22">
        <f t="shared" si="169"/>
        <v>0.35173689150912241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2.5420376914553347E-13</v>
      </c>
      <c r="P176" s="13">
        <f t="shared" si="141"/>
        <v>3.4258699088369875E-12</v>
      </c>
      <c r="Q176" s="20">
        <f t="shared" si="162"/>
        <v>6.4094616558195571E-12</v>
      </c>
      <c r="R176" s="59">
        <f t="shared" si="109"/>
        <v>293.33333333333974</v>
      </c>
      <c r="S176" s="59">
        <f ca="1">AVERAGE(OFFSET($R$3,0,0,'Données projet'!$E$9+1,1))-AVERAGE(OFFSET($H$3,0,0,'Données projet'!$E$9+1,1))</f>
        <v>394.9953131332565</v>
      </c>
      <c r="T176" s="59">
        <f t="shared" si="142"/>
        <v>399.58193819355591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0.60531417043531477</v>
      </c>
      <c r="AA176" s="21">
        <f>EXP(-LN(2)/25)*AA175+(1-EXP(-LN(2)/25))/(LN(2)/25)*Calculateur!V176*Calculateur!X176*VLOOKUP('Données projet'!$B$9,Paramètres!$A$1:$I$89,3,0)*0.475*44/12</f>
        <v>0.63376530983970658</v>
      </c>
      <c r="AB176" s="21">
        <f>EXP(-LN(2)/2)*AB175+(1-EXP(-LN(2)/2))/(LN(2)/2)*V176*Y176*VLOOKUP('Données projet'!$B$9,Paramètres!$A$1:$I$89,3,0)*0.475*44/12</f>
        <v>9.8016274415819605E-21</v>
      </c>
      <c r="AC176" s="22">
        <f t="shared" si="163"/>
        <v>1.2390794802750213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-1.0936673788819462E-13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364.67510777943329</v>
      </c>
      <c r="AO176" s="59">
        <f t="shared" si="144"/>
        <v>352.13878061387169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0.52085172804899216</v>
      </c>
      <c r="AV176" s="21">
        <f>EXP(-LN(2)/25)*AV175+(1-EXP(-LN(2)/25))/(LN(2)/25)*Calculateur!AQ176*Calculateur!AS176*VLOOKUP('Données projet'!$B$10,Paramètres!$A$1:$I$89,3,0)*0.475*44/12</f>
        <v>0.34178148470355135</v>
      </c>
      <c r="AW176" s="21">
        <f>EXP(-LN(2)/2)*AW175+(1-EXP(-LN(2)/2))/(LN(2)/2)*AQ176*AT176*VLOOKUP('Données projet'!$B$10,Paramètres!$A$1:$I$89,3,0)*0.475*44/12</f>
        <v>8.2275436309452649E-21</v>
      </c>
      <c r="AX176" s="21">
        <f t="shared" si="166"/>
        <v>0.86263321275254357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1.1368683772161603E-13</v>
      </c>
      <c r="BE176" s="13">
        <f>BD176*VLOOKUP('Données projet'!$B$11,Paramètres!$A$1:$I$89,3,0)*VLOOKUP('Données projet'!$B$11,Paramètres!$A$1:$I$89,5,0)</f>
        <v>6.7984728957526396E-14</v>
      </c>
      <c r="BF176" s="13">
        <f t="shared" si="167"/>
        <v>1.0682447123141398E-12</v>
      </c>
      <c r="BG176" s="20">
        <f t="shared" si="168"/>
        <v>1.978932943548152E-12</v>
      </c>
      <c r="BH176" s="59">
        <f t="shared" si="116"/>
        <v>293.3333333333353</v>
      </c>
      <c r="BI176" s="59">
        <f ca="1">AVERAGE(OFFSET($BH$3,0,0,'Données projet'!$E$11+1,1))-AVERAGE(OFFSET($H$3,0,0,'Données projet'!$E$11+1,1))</f>
        <v>289.66713787052475</v>
      </c>
      <c r="BJ176" s="59">
        <f t="shared" si="146"/>
        <v>298.29439200198652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0.34211862771376622</v>
      </c>
      <c r="BR176" s="21">
        <f>EXP(-LN(2)/2)*BR175+(1-EXP(-LN(2)/2))/(LN(2)/2)*BL176*BO176*VLOOKUP('Données projet'!$B$11,Paramètres!$A$1:$I$89,3,0)*0.475*44/12</f>
        <v>8.5889797103979438E-21</v>
      </c>
      <c r="BS176" s="22">
        <f t="shared" si="169"/>
        <v>0.34211862771376622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2.5420376914553347E-13</v>
      </c>
      <c r="P177" s="13">
        <f t="shared" si="141"/>
        <v>3.4258699088369875E-12</v>
      </c>
      <c r="Q177" s="20">
        <f t="shared" si="162"/>
        <v>6.4094616558195571E-12</v>
      </c>
      <c r="R177" s="59">
        <f t="shared" si="109"/>
        <v>293.33333333333974</v>
      </c>
      <c r="S177" s="59">
        <f ca="1">AVERAGE(OFFSET($R$3,0,0,'Données projet'!$E$9+1,1))-AVERAGE(OFFSET($H$3,0,0,'Données projet'!$E$9+1,1))</f>
        <v>394.9953131332565</v>
      </c>
      <c r="T177" s="59">
        <f t="shared" si="142"/>
        <v>399.58193819355591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0.59344432875826625</v>
      </c>
      <c r="AA177" s="21">
        <f>EXP(-LN(2)/25)*AA176+(1-EXP(-LN(2)/25))/(LN(2)/25)*Calculateur!V177*Calculateur!X177*VLOOKUP('Données projet'!$B$9,Paramètres!$A$1:$I$89,3,0)*0.475*44/12</f>
        <v>0.61643496411387066</v>
      </c>
      <c r="AB177" s="21">
        <f>EXP(-LN(2)/2)*AB176+(1-EXP(-LN(2)/2))/(LN(2)/2)*V177*Y177*VLOOKUP('Données projet'!$B$9,Paramètres!$A$1:$I$89,3,0)*0.475*44/12</f>
        <v>6.9307972306067547E-21</v>
      </c>
      <c r="AC177" s="22">
        <f t="shared" si="163"/>
        <v>1.2098792928721369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-1.0936673788819462E-13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364.67510777943329</v>
      </c>
      <c r="AO177" s="59">
        <f t="shared" si="144"/>
        <v>352.13878061387169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0.51063814335013646</v>
      </c>
      <c r="AV177" s="21">
        <f>EXP(-LN(2)/25)*AV176+(1-EXP(-LN(2)/25))/(LN(2)/25)*Calculateur!AQ177*Calculateur!AS177*VLOOKUP('Données projet'!$B$10,Paramètres!$A$1:$I$89,3,0)*0.475*44/12</f>
        <v>0.33243545203082564</v>
      </c>
      <c r="AW177" s="21">
        <f>EXP(-LN(2)/2)*AW176+(1-EXP(-LN(2)/2))/(LN(2)/2)*AQ177*AT177*VLOOKUP('Données projet'!$B$10,Paramètres!$A$1:$I$89,3,0)*0.475*44/12</f>
        <v>5.8177518939495863E-21</v>
      </c>
      <c r="AX177" s="21">
        <f t="shared" si="166"/>
        <v>0.84307359538096205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1.1368683772161603E-13</v>
      </c>
      <c r="BE177" s="13">
        <f>BD177*VLOOKUP('Données projet'!$B$11,Paramètres!$A$1:$I$89,3,0)*VLOOKUP('Données projet'!$B$11,Paramètres!$A$1:$I$89,5,0)</f>
        <v>6.7984728957526396E-14</v>
      </c>
      <c r="BF177" s="13">
        <f t="shared" si="167"/>
        <v>1.0682447123141398E-12</v>
      </c>
      <c r="BG177" s="20">
        <f t="shared" si="168"/>
        <v>1.978932943548152E-12</v>
      </c>
      <c r="BH177" s="59">
        <f t="shared" si="116"/>
        <v>293.3333333333353</v>
      </c>
      <c r="BI177" s="59">
        <f ca="1">AVERAGE(OFFSET($BH$3,0,0,'Données projet'!$E$11+1,1))-AVERAGE(OFFSET($H$3,0,0,'Données projet'!$E$11+1,1))</f>
        <v>289.66713787052475</v>
      </c>
      <c r="BJ177" s="59">
        <f t="shared" si="146"/>
        <v>298.29439200198652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0.33276337584769655</v>
      </c>
      <c r="BR177" s="21">
        <f>EXP(-LN(2)/2)*BR176+(1-EXP(-LN(2)/2))/(LN(2)/2)*BL177*BO177*VLOOKUP('Données projet'!$B$11,Paramètres!$A$1:$I$89,3,0)*0.475*44/12</f>
        <v>6.0733257966960553E-21</v>
      </c>
      <c r="BS177" s="22">
        <f t="shared" si="169"/>
        <v>0.33276337584769655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2.5420376914553347E-13</v>
      </c>
      <c r="P178" s="13">
        <f t="shared" si="141"/>
        <v>3.4258699088369875E-12</v>
      </c>
      <c r="Q178" s="20">
        <f t="shared" si="162"/>
        <v>6.4094616558195571E-12</v>
      </c>
      <c r="R178" s="59">
        <f t="shared" si="109"/>
        <v>293.33333333333974</v>
      </c>
      <c r="S178" s="59">
        <f ca="1">AVERAGE(OFFSET($R$3,0,0,'Données projet'!$E$9+1,1))-AVERAGE(OFFSET($H$3,0,0,'Données projet'!$E$9+1,1))</f>
        <v>394.9953131332565</v>
      </c>
      <c r="T178" s="59">
        <f t="shared" si="142"/>
        <v>399.58193819355591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0.58180724743661605</v>
      </c>
      <c r="AA178" s="21">
        <f>EXP(-LN(2)/25)*AA177+(1-EXP(-LN(2)/25))/(LN(2)/25)*Calculateur!V178*Calculateur!X178*VLOOKUP('Données projet'!$B$9,Paramètres!$A$1:$I$89,3,0)*0.475*44/12</f>
        <v>0.59957851760327097</v>
      </c>
      <c r="AB178" s="21">
        <f>EXP(-LN(2)/2)*AB177+(1-EXP(-LN(2)/2))/(LN(2)/2)*V178*Y178*VLOOKUP('Données projet'!$B$9,Paramètres!$A$1:$I$89,3,0)*0.475*44/12</f>
        <v>4.9008137207909803E-21</v>
      </c>
      <c r="AC178" s="22">
        <f t="shared" si="163"/>
        <v>1.1813857650398871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-1.0936673788819462E-13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364.67510777943329</v>
      </c>
      <c r="AO178" s="59">
        <f t="shared" si="144"/>
        <v>352.13878061387169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0.50062484081755376</v>
      </c>
      <c r="AV178" s="21">
        <f>EXP(-LN(2)/25)*AV177+(1-EXP(-LN(2)/25))/(LN(2)/25)*Calculateur!AQ178*Calculateur!AS178*VLOOKUP('Données projet'!$B$10,Paramètres!$A$1:$I$89,3,0)*0.475*44/12</f>
        <v>0.32334498711302206</v>
      </c>
      <c r="AW178" s="21">
        <f>EXP(-LN(2)/2)*AW177+(1-EXP(-LN(2)/2))/(LN(2)/2)*AQ178*AT178*VLOOKUP('Données projet'!$B$10,Paramètres!$A$1:$I$89,3,0)*0.475*44/12</f>
        <v>4.1137718154726324E-21</v>
      </c>
      <c r="AX178" s="21">
        <f t="shared" si="166"/>
        <v>0.82396982793057583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1.1368683772161603E-13</v>
      </c>
      <c r="BE178" s="13">
        <f>BD178*VLOOKUP('Données projet'!$B$11,Paramètres!$A$1:$I$89,3,0)*VLOOKUP('Données projet'!$B$11,Paramètres!$A$1:$I$89,5,0)</f>
        <v>6.7984728957526396E-14</v>
      </c>
      <c r="BF178" s="13">
        <f t="shared" si="167"/>
        <v>1.0682447123141398E-12</v>
      </c>
      <c r="BG178" s="20">
        <f t="shared" si="168"/>
        <v>1.978932943548152E-12</v>
      </c>
      <c r="BH178" s="59">
        <f t="shared" si="116"/>
        <v>293.3333333333353</v>
      </c>
      <c r="BI178" s="59">
        <f ca="1">AVERAGE(OFFSET($BH$3,0,0,'Données projet'!$E$11+1,1))-AVERAGE(OFFSET($H$3,0,0,'Données projet'!$E$11+1,1))</f>
        <v>289.66713787052475</v>
      </c>
      <c r="BJ178" s="59">
        <f t="shared" si="146"/>
        <v>298.29439200198652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0.32366394383587588</v>
      </c>
      <c r="BR178" s="21">
        <f>EXP(-LN(2)/2)*BR177+(1-EXP(-LN(2)/2))/(LN(2)/2)*BL178*BO178*VLOOKUP('Données projet'!$B$11,Paramètres!$A$1:$I$89,3,0)*0.475*44/12</f>
        <v>4.2944898551989719E-21</v>
      </c>
      <c r="BS178" s="22">
        <f t="shared" si="169"/>
        <v>0.32366394383587588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2.5420376914553347E-13</v>
      </c>
      <c r="P179" s="13">
        <f t="shared" si="141"/>
        <v>3.4258699088369875E-12</v>
      </c>
      <c r="Q179" s="20">
        <f t="shared" si="162"/>
        <v>6.4094616558195571E-12</v>
      </c>
      <c r="R179" s="59">
        <f t="shared" si="109"/>
        <v>293.33333333333974</v>
      </c>
      <c r="S179" s="59">
        <f ca="1">AVERAGE(OFFSET($R$3,0,0,'Données projet'!$E$9+1,1))-AVERAGE(OFFSET($H$3,0,0,'Données projet'!$E$9+1,1))</f>
        <v>394.9953131332565</v>
      </c>
      <c r="T179" s="59">
        <f t="shared" si="142"/>
        <v>399.58193819355591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0.57039836218176465</v>
      </c>
      <c r="AA179" s="21">
        <f>EXP(-LN(2)/25)*AA178+(1-EXP(-LN(2)/25))/(LN(2)/25)*Calculateur!V179*Calculateur!X179*VLOOKUP('Données projet'!$B$9,Paramètres!$A$1:$I$89,3,0)*0.475*44/12</f>
        <v>0.58318301150894558</v>
      </c>
      <c r="AB179" s="21">
        <f>EXP(-LN(2)/2)*AB178+(1-EXP(-LN(2)/2))/(LN(2)/2)*V179*Y179*VLOOKUP('Données projet'!$B$9,Paramètres!$A$1:$I$89,3,0)*0.475*44/12</f>
        <v>3.4653986153033774E-21</v>
      </c>
      <c r="AC179" s="22">
        <f t="shared" si="163"/>
        <v>1.1535813736907103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-1.0936673788819462E-13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364.67510777943329</v>
      </c>
      <c r="AO179" s="59">
        <f t="shared" si="144"/>
        <v>352.13878061387169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0.49080789304012351</v>
      </c>
      <c r="AV179" s="21">
        <f>EXP(-LN(2)/25)*AV178+(1-EXP(-LN(2)/25))/(LN(2)/25)*Calculateur!AQ179*Calculateur!AS179*VLOOKUP('Données projet'!$B$10,Paramètres!$A$1:$I$89,3,0)*0.475*44/12</f>
        <v>0.31450310143644261</v>
      </c>
      <c r="AW179" s="21">
        <f>EXP(-LN(2)/2)*AW178+(1-EXP(-LN(2)/2))/(LN(2)/2)*AQ179*AT179*VLOOKUP('Données projet'!$B$10,Paramètres!$A$1:$I$89,3,0)*0.475*44/12</f>
        <v>2.9088759469747931E-21</v>
      </c>
      <c r="AX179" s="21">
        <f t="shared" si="166"/>
        <v>0.80531099447656618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1.1368683772161603E-13</v>
      </c>
      <c r="BE179" s="13">
        <f>BD179*VLOOKUP('Données projet'!$B$11,Paramètres!$A$1:$I$89,3,0)*VLOOKUP('Données projet'!$B$11,Paramètres!$A$1:$I$89,5,0)</f>
        <v>6.7984728957526396E-14</v>
      </c>
      <c r="BF179" s="13">
        <f t="shared" si="167"/>
        <v>1.0682447123141398E-12</v>
      </c>
      <c r="BG179" s="20">
        <f t="shared" si="168"/>
        <v>1.978932943548152E-12</v>
      </c>
      <c r="BH179" s="59">
        <f t="shared" si="116"/>
        <v>293.3333333333353</v>
      </c>
      <c r="BI179" s="59">
        <f ca="1">AVERAGE(OFFSET($BH$3,0,0,'Données projet'!$E$11+1,1))-AVERAGE(OFFSET($H$3,0,0,'Données projet'!$E$11+1,1))</f>
        <v>289.66713787052475</v>
      </c>
      <c r="BJ179" s="59">
        <f t="shared" si="146"/>
        <v>298.29439200198652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0.31481333627093677</v>
      </c>
      <c r="BR179" s="21">
        <f>EXP(-LN(2)/2)*BR178+(1-EXP(-LN(2)/2))/(LN(2)/2)*BL179*BO179*VLOOKUP('Données projet'!$B$11,Paramètres!$A$1:$I$89,3,0)*0.475*44/12</f>
        <v>3.0366628983480276E-21</v>
      </c>
      <c r="BS179" s="22">
        <f t="shared" si="169"/>
        <v>0.31481333627093677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2.5420376914553347E-13</v>
      </c>
      <c r="P180" s="13">
        <f t="shared" si="141"/>
        <v>3.4258699088369875E-12</v>
      </c>
      <c r="Q180" s="20">
        <f t="shared" si="162"/>
        <v>6.4094616558195571E-12</v>
      </c>
      <c r="R180" s="59">
        <f t="shared" si="109"/>
        <v>293.33333333333974</v>
      </c>
      <c r="S180" s="59">
        <f ca="1">AVERAGE(OFFSET($R$3,0,0,'Données projet'!$E$9+1,1))-AVERAGE(OFFSET($H$3,0,0,'Données projet'!$E$9+1,1))</f>
        <v>394.9953131332565</v>
      </c>
      <c r="T180" s="59">
        <f t="shared" si="142"/>
        <v>399.58193819355591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0.55921319820802806</v>
      </c>
      <c r="AA180" s="21">
        <f>EXP(-LN(2)/25)*AA179+(1-EXP(-LN(2)/25))/(LN(2)/25)*Calculateur!V180*Calculateur!X180*VLOOKUP('Données projet'!$B$9,Paramètres!$A$1:$I$89,3,0)*0.475*44/12</f>
        <v>0.56723584139097172</v>
      </c>
      <c r="AB180" s="21">
        <f>EXP(-LN(2)/2)*AB179+(1-EXP(-LN(2)/2))/(LN(2)/2)*V180*Y180*VLOOKUP('Données projet'!$B$9,Paramètres!$A$1:$I$89,3,0)*0.475*44/12</f>
        <v>2.4504068603954901E-21</v>
      </c>
      <c r="AC180" s="22">
        <f t="shared" si="163"/>
        <v>1.1264490395989997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-1.0936673788819462E-13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364.67510777943329</v>
      </c>
      <c r="AO180" s="59">
        <f t="shared" si="144"/>
        <v>352.13878061387169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0.48118344962086179</v>
      </c>
      <c r="AV180" s="21">
        <f>EXP(-LN(2)/25)*AV179+(1-EXP(-LN(2)/25))/(LN(2)/25)*Calculateur!AQ180*Calculateur!AS180*VLOOKUP('Données projet'!$B$10,Paramètres!$A$1:$I$89,3,0)*0.475*44/12</f>
        <v>0.30590299758866379</v>
      </c>
      <c r="AW180" s="21">
        <f>EXP(-LN(2)/2)*AW179+(1-EXP(-LN(2)/2))/(LN(2)/2)*AQ180*AT180*VLOOKUP('Données projet'!$B$10,Paramètres!$A$1:$I$89,3,0)*0.475*44/12</f>
        <v>2.0568859077363162E-21</v>
      </c>
      <c r="AX180" s="21">
        <f t="shared" si="166"/>
        <v>0.78708644720952559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1.1368683772161603E-13</v>
      </c>
      <c r="BE180" s="13">
        <f>BD180*VLOOKUP('Données projet'!$B$11,Paramètres!$A$1:$I$89,3,0)*VLOOKUP('Données projet'!$B$11,Paramètres!$A$1:$I$89,5,0)</f>
        <v>6.7984728957526396E-14</v>
      </c>
      <c r="BF180" s="13">
        <f t="shared" si="167"/>
        <v>1.0682447123141398E-12</v>
      </c>
      <c r="BG180" s="20">
        <f t="shared" si="168"/>
        <v>1.978932943548152E-12</v>
      </c>
      <c r="BH180" s="59">
        <f t="shared" si="116"/>
        <v>293.3333333333353</v>
      </c>
      <c r="BI180" s="59">
        <f ca="1">AVERAGE(OFFSET($BH$3,0,0,'Données projet'!$E$11+1,1))-AVERAGE(OFFSET($H$3,0,0,'Données projet'!$E$11+1,1))</f>
        <v>289.66713787052475</v>
      </c>
      <c r="BJ180" s="59">
        <f t="shared" si="146"/>
        <v>298.29439200198652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0.30620474903529415</v>
      </c>
      <c r="BR180" s="21">
        <f>EXP(-LN(2)/2)*BR179+(1-EXP(-LN(2)/2))/(LN(2)/2)*BL180*BO180*VLOOKUP('Données projet'!$B$11,Paramètres!$A$1:$I$89,3,0)*0.475*44/12</f>
        <v>2.147244927599486E-21</v>
      </c>
      <c r="BS180" s="22">
        <f t="shared" si="169"/>
        <v>0.30620474903529415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2.5420376914553347E-13</v>
      </c>
      <c r="P181" s="13">
        <f t="shared" si="141"/>
        <v>3.4258699088369875E-12</v>
      </c>
      <c r="Q181" s="20">
        <f t="shared" si="162"/>
        <v>6.4094616558195571E-12</v>
      </c>
      <c r="R181" s="59">
        <f t="shared" si="109"/>
        <v>293.33333333333974</v>
      </c>
      <c r="S181" s="59">
        <f ca="1">AVERAGE(OFFSET($R$3,0,0,'Données projet'!$E$9+1,1))-AVERAGE(OFFSET($H$3,0,0,'Données projet'!$E$9+1,1))</f>
        <v>394.9953131332565</v>
      </c>
      <c r="T181" s="59">
        <f t="shared" si="142"/>
        <v>399.58193819355591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0.54824736847754008</v>
      </c>
      <c r="AA181" s="21">
        <f>EXP(-LN(2)/25)*AA180+(1-EXP(-LN(2)/25))/(LN(2)/25)*Calculateur!V181*Calculateur!X181*VLOOKUP('Données projet'!$B$9,Paramètres!$A$1:$I$89,3,0)*0.475*44/12</f>
        <v>0.55172474747849909</v>
      </c>
      <c r="AB181" s="21">
        <f>EXP(-LN(2)/2)*AB180+(1-EXP(-LN(2)/2))/(LN(2)/2)*V181*Y181*VLOOKUP('Données projet'!$B$9,Paramètres!$A$1:$I$89,3,0)*0.475*44/12</f>
        <v>1.7326993076516887E-21</v>
      </c>
      <c r="AC181" s="22">
        <f t="shared" si="163"/>
        <v>1.0999721159560392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-1.0936673788819462E-13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364.67510777943329</v>
      </c>
      <c r="AO181" s="59">
        <f t="shared" si="144"/>
        <v>352.13878061387169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0.47174773566672096</v>
      </c>
      <c r="AV181" s="21">
        <f>EXP(-LN(2)/25)*AV180+(1-EXP(-LN(2)/25))/(LN(2)/25)*Calculateur!AQ181*Calculateur!AS181*VLOOKUP('Données projet'!$B$10,Paramètres!$A$1:$I$89,3,0)*0.475*44/12</f>
        <v>0.29753806403286231</v>
      </c>
      <c r="AW181" s="21">
        <f>EXP(-LN(2)/2)*AW180+(1-EXP(-LN(2)/2))/(LN(2)/2)*AQ181*AT181*VLOOKUP('Données projet'!$B$10,Paramètres!$A$1:$I$89,3,0)*0.475*44/12</f>
        <v>1.4544379734873966E-21</v>
      </c>
      <c r="AX181" s="21">
        <f t="shared" si="166"/>
        <v>0.76928579969958322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1.1368683772161603E-13</v>
      </c>
      <c r="BE181" s="13">
        <f>BD181*VLOOKUP('Données projet'!$B$11,Paramètres!$A$1:$I$89,3,0)*VLOOKUP('Données projet'!$B$11,Paramètres!$A$1:$I$89,5,0)</f>
        <v>6.7984728957526396E-14</v>
      </c>
      <c r="BF181" s="13">
        <f t="shared" si="167"/>
        <v>1.0682447123141398E-12</v>
      </c>
      <c r="BG181" s="20">
        <f t="shared" si="168"/>
        <v>1.978932943548152E-12</v>
      </c>
      <c r="BH181" s="59">
        <f t="shared" si="116"/>
        <v>293.3333333333353</v>
      </c>
      <c r="BI181" s="59">
        <f ca="1">AVERAGE(OFFSET($BH$3,0,0,'Données projet'!$E$11+1,1))-AVERAGE(OFFSET($H$3,0,0,'Données projet'!$E$11+1,1))</f>
        <v>289.66713787052475</v>
      </c>
      <c r="BJ181" s="59">
        <f t="shared" si="146"/>
        <v>298.29439200198652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0.29783156407031613</v>
      </c>
      <c r="BR181" s="21">
        <f>EXP(-LN(2)/2)*BR180+(1-EXP(-LN(2)/2))/(LN(2)/2)*BL181*BO181*VLOOKUP('Données projet'!$B$11,Paramètres!$A$1:$I$89,3,0)*0.475*44/12</f>
        <v>1.5183314491740138E-21</v>
      </c>
      <c r="BS181" s="22">
        <f t="shared" si="169"/>
        <v>0.29783156407031613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2.5420376914553347E-13</v>
      </c>
      <c r="P182" s="13">
        <f t="shared" si="141"/>
        <v>3.4258699088369875E-12</v>
      </c>
      <c r="Q182" s="20">
        <f t="shared" si="162"/>
        <v>6.4094616558195571E-12</v>
      </c>
      <c r="R182" s="59">
        <f t="shared" si="109"/>
        <v>293.33333333333974</v>
      </c>
      <c r="S182" s="59">
        <f ca="1">AVERAGE(OFFSET($R$3,0,0,'Données projet'!$E$9+1,1))-AVERAGE(OFFSET($H$3,0,0,'Données projet'!$E$9+1,1))</f>
        <v>394.9953131332565</v>
      </c>
      <c r="T182" s="59">
        <f t="shared" si="142"/>
        <v>399.58193819355591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0.53749657197957124</v>
      </c>
      <c r="AA182" s="21">
        <f>EXP(-LN(2)/25)*AA181+(1-EXP(-LN(2)/25))/(LN(2)/25)*Calculateur!V182*Calculateur!X182*VLOOKUP('Données projet'!$B$9,Paramètres!$A$1:$I$89,3,0)*0.475*44/12</f>
        <v>0.53663780524475602</v>
      </c>
      <c r="AB182" s="21">
        <f>EXP(-LN(2)/2)*AB181+(1-EXP(-LN(2)/2))/(LN(2)/2)*V182*Y182*VLOOKUP('Données projet'!$B$9,Paramètres!$A$1:$I$89,3,0)*0.475*44/12</f>
        <v>1.2252034301977451E-21</v>
      </c>
      <c r="AC182" s="22">
        <f t="shared" si="163"/>
        <v>1.0741343772243273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-1.0936673788819462E-13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364.67510777943329</v>
      </c>
      <c r="AO182" s="59">
        <f t="shared" si="144"/>
        <v>352.13878061387169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0.46249705030800359</v>
      </c>
      <c r="AV182" s="21">
        <f>EXP(-LN(2)/25)*AV181+(1-EXP(-LN(2)/25))/(LN(2)/25)*Calculateur!AQ182*Calculateur!AS182*VLOOKUP('Données projet'!$B$10,Paramètres!$A$1:$I$89,3,0)*0.475*44/12</f>
        <v>0.28940187002503692</v>
      </c>
      <c r="AW182" s="21">
        <f>EXP(-LN(2)/2)*AW181+(1-EXP(-LN(2)/2))/(LN(2)/2)*AQ182*AT182*VLOOKUP('Données projet'!$B$10,Paramètres!$A$1:$I$89,3,0)*0.475*44/12</f>
        <v>1.0284429538681581E-21</v>
      </c>
      <c r="AX182" s="21">
        <f t="shared" si="166"/>
        <v>0.75189892033304051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1.1368683772161603E-13</v>
      </c>
      <c r="BE182" s="13">
        <f>BD182*VLOOKUP('Données projet'!$B$11,Paramètres!$A$1:$I$89,3,0)*VLOOKUP('Données projet'!$B$11,Paramètres!$A$1:$I$89,5,0)</f>
        <v>6.7984728957526396E-14</v>
      </c>
      <c r="BF182" s="13">
        <f t="shared" si="167"/>
        <v>1.0682447123141398E-12</v>
      </c>
      <c r="BG182" s="20">
        <f t="shared" si="168"/>
        <v>1.978932943548152E-12</v>
      </c>
      <c r="BH182" s="59">
        <f t="shared" si="116"/>
        <v>293.3333333333353</v>
      </c>
      <c r="BI182" s="59">
        <f ca="1">AVERAGE(OFFSET($BH$3,0,0,'Données projet'!$E$11+1,1))-AVERAGE(OFFSET($H$3,0,0,'Données projet'!$E$11+1,1))</f>
        <v>289.66713787052475</v>
      </c>
      <c r="BJ182" s="59">
        <f t="shared" si="146"/>
        <v>298.29439200198652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0.2896873442885321</v>
      </c>
      <c r="BR182" s="21">
        <f>EXP(-LN(2)/2)*BR181+(1-EXP(-LN(2)/2))/(LN(2)/2)*BL182*BO182*VLOOKUP('Données projet'!$B$11,Paramètres!$A$1:$I$89,3,0)*0.475*44/12</f>
        <v>1.073622463799743E-21</v>
      </c>
      <c r="BS182" s="22">
        <f t="shared" si="169"/>
        <v>0.2896873442885321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2.5420376914553347E-13</v>
      </c>
      <c r="P183" s="13">
        <f t="shared" si="141"/>
        <v>3.4258699088369875E-12</v>
      </c>
      <c r="Q183" s="20">
        <f t="shared" si="162"/>
        <v>6.4094616558195571E-12</v>
      </c>
      <c r="R183" s="59">
        <f t="shared" si="109"/>
        <v>293.33333333333974</v>
      </c>
      <c r="S183" s="59">
        <f ca="1">AVERAGE(OFFSET($R$3,0,0,'Données projet'!$E$9+1,1))-AVERAGE(OFFSET($H$3,0,0,'Données projet'!$E$9+1,1))</f>
        <v>394.9953131332565</v>
      </c>
      <c r="T183" s="59">
        <f t="shared" si="142"/>
        <v>399.58193819355591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0.52695659204358913</v>
      </c>
      <c r="AA183" s="21">
        <f>EXP(-LN(2)/25)*AA182+(1-EXP(-LN(2)/25))/(LN(2)/25)*Calculateur!V183*Calculateur!X183*VLOOKUP('Données projet'!$B$9,Paramètres!$A$1:$I$89,3,0)*0.475*44/12</f>
        <v>0.52196341623978249</v>
      </c>
      <c r="AB183" s="21">
        <f>EXP(-LN(2)/2)*AB182+(1-EXP(-LN(2)/2))/(LN(2)/2)*V183*Y183*VLOOKUP('Données projet'!$B$9,Paramètres!$A$1:$I$89,3,0)*0.475*44/12</f>
        <v>8.6634965382584434E-22</v>
      </c>
      <c r="AC183" s="22">
        <f t="shared" si="163"/>
        <v>1.0489200082833716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-1.0936673788819462E-13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364.67510777943329</v>
      </c>
      <c r="AO183" s="59">
        <f t="shared" si="144"/>
        <v>352.13878061387169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0.45342776524680972</v>
      </c>
      <c r="AV183" s="21">
        <f>EXP(-LN(2)/25)*AV182+(1-EXP(-LN(2)/25))/(LN(2)/25)*Calculateur!AQ183*Calculateur!AS183*VLOOKUP('Données projet'!$B$10,Paramètres!$A$1:$I$89,3,0)*0.475*44/12</f>
        <v>0.28148816067021937</v>
      </c>
      <c r="AW183" s="21">
        <f>EXP(-LN(2)/2)*AW182+(1-EXP(-LN(2)/2))/(LN(2)/2)*AQ183*AT183*VLOOKUP('Données projet'!$B$10,Paramètres!$A$1:$I$89,3,0)*0.475*44/12</f>
        <v>7.2721898674369828E-22</v>
      </c>
      <c r="AX183" s="21">
        <f t="shared" si="166"/>
        <v>0.73491592591702903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1.1368683772161603E-13</v>
      </c>
      <c r="BE183" s="13">
        <f>BD183*VLOOKUP('Données projet'!$B$11,Paramètres!$A$1:$I$89,3,0)*VLOOKUP('Données projet'!$B$11,Paramètres!$A$1:$I$89,5,0)</f>
        <v>6.7984728957526396E-14</v>
      </c>
      <c r="BF183" s="13">
        <f t="shared" si="167"/>
        <v>1.0682447123141398E-12</v>
      </c>
      <c r="BG183" s="20">
        <f t="shared" si="168"/>
        <v>1.978932943548152E-12</v>
      </c>
      <c r="BH183" s="59">
        <f t="shared" si="116"/>
        <v>293.3333333333353</v>
      </c>
      <c r="BI183" s="59">
        <f ca="1">AVERAGE(OFFSET($BH$3,0,0,'Données projet'!$E$11+1,1))-AVERAGE(OFFSET($H$3,0,0,'Données projet'!$E$11+1,1))</f>
        <v>289.66713787052475</v>
      </c>
      <c r="BJ183" s="59">
        <f t="shared" si="146"/>
        <v>298.29439200198652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0.28176582862496685</v>
      </c>
      <c r="BR183" s="21">
        <f>EXP(-LN(2)/2)*BR182+(1-EXP(-LN(2)/2))/(LN(2)/2)*BL183*BO183*VLOOKUP('Données projet'!$B$11,Paramètres!$A$1:$I$89,3,0)*0.475*44/12</f>
        <v>7.5916572458700691E-22</v>
      </c>
      <c r="BS183" s="22">
        <f t="shared" si="169"/>
        <v>0.28176582862496685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2.5420376914553347E-13</v>
      </c>
      <c r="P184" s="13">
        <f t="shared" si="141"/>
        <v>3.4258699088369875E-12</v>
      </c>
      <c r="Q184" s="20">
        <f t="shared" si="162"/>
        <v>6.4094616558195571E-12</v>
      </c>
      <c r="R184" s="59">
        <f t="shared" si="109"/>
        <v>293.33333333333974</v>
      </c>
      <c r="S184" s="59">
        <f ca="1">AVERAGE(OFFSET($R$3,0,0,'Données projet'!$E$9+1,1))-AVERAGE(OFFSET($H$3,0,0,'Données projet'!$E$9+1,1))</f>
        <v>394.9953131332565</v>
      </c>
      <c r="T184" s="59">
        <f t="shared" si="142"/>
        <v>399.58193819355591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0.51662329468539869</v>
      </c>
      <c r="AA184" s="21">
        <f>EXP(-LN(2)/25)*AA183+(1-EXP(-LN(2)/25))/(LN(2)/25)*Calculateur!V184*Calculateur!X184*VLOOKUP('Données projet'!$B$9,Paramètres!$A$1:$I$89,3,0)*0.475*44/12</f>
        <v>0.50769029917384256</v>
      </c>
      <c r="AB184" s="21">
        <f>EXP(-LN(2)/2)*AB183+(1-EXP(-LN(2)/2))/(LN(2)/2)*V184*Y184*VLOOKUP('Données projet'!$B$9,Paramètres!$A$1:$I$89,3,0)*0.475*44/12</f>
        <v>6.1260171509887253E-22</v>
      </c>
      <c r="AC184" s="22">
        <f t="shared" si="163"/>
        <v>1.0243135938592411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-1.0936673788819462E-13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364.67510777943329</v>
      </c>
      <c r="AO184" s="59">
        <f t="shared" si="144"/>
        <v>352.13878061387169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0.44453632333394821</v>
      </c>
      <c r="AV184" s="21">
        <f>EXP(-LN(2)/25)*AV183+(1-EXP(-LN(2)/25))/(LN(2)/25)*Calculateur!AQ184*Calculateur!AS184*VLOOKUP('Données projet'!$B$10,Paramètres!$A$1:$I$89,3,0)*0.475*44/12</f>
        <v>0.27379085211387322</v>
      </c>
      <c r="AW184" s="21">
        <f>EXP(-LN(2)/2)*AW183+(1-EXP(-LN(2)/2))/(LN(2)/2)*AQ184*AT184*VLOOKUP('Données projet'!$B$10,Paramètres!$A$1:$I$89,3,0)*0.475*44/12</f>
        <v>5.1422147693407906E-22</v>
      </c>
      <c r="AX184" s="21">
        <f t="shared" si="166"/>
        <v>0.71832717544782143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1.1368683772161603E-13</v>
      </c>
      <c r="BE184" s="13">
        <f>BD184*VLOOKUP('Données projet'!$B$11,Paramètres!$A$1:$I$89,3,0)*VLOOKUP('Données projet'!$B$11,Paramètres!$A$1:$I$89,5,0)</f>
        <v>6.7984728957526396E-14</v>
      </c>
      <c r="BF184" s="13">
        <f t="shared" si="167"/>
        <v>1.0682447123141398E-12</v>
      </c>
      <c r="BG184" s="20">
        <f t="shared" si="168"/>
        <v>1.978932943548152E-12</v>
      </c>
      <c r="BH184" s="59">
        <f t="shared" si="116"/>
        <v>293.3333333333353</v>
      </c>
      <c r="BI184" s="59">
        <f ca="1">AVERAGE(OFFSET($BH$3,0,0,'Données projet'!$E$11+1,1))-AVERAGE(OFFSET($H$3,0,0,'Données projet'!$E$11+1,1))</f>
        <v>289.66713787052475</v>
      </c>
      <c r="BJ184" s="59">
        <f t="shared" si="146"/>
        <v>298.29439200198652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0.27406092722379621</v>
      </c>
      <c r="BR184" s="21">
        <f>EXP(-LN(2)/2)*BR183+(1-EXP(-LN(2)/2))/(LN(2)/2)*BL184*BO184*VLOOKUP('Données projet'!$B$11,Paramètres!$A$1:$I$89,3,0)*0.475*44/12</f>
        <v>5.3681123189987149E-22</v>
      </c>
      <c r="BS184" s="22">
        <f t="shared" si="169"/>
        <v>0.27406092722379621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2.5420376914553347E-13</v>
      </c>
      <c r="P185" s="13">
        <f t="shared" si="141"/>
        <v>3.4258699088369875E-12</v>
      </c>
      <c r="Q185" s="20">
        <f t="shared" si="162"/>
        <v>6.4094616558195571E-12</v>
      </c>
      <c r="R185" s="59">
        <f t="shared" si="109"/>
        <v>293.33333333333974</v>
      </c>
      <c r="S185" s="59">
        <f ca="1">AVERAGE(OFFSET($R$3,0,0,'Données projet'!$E$9+1,1))-AVERAGE(OFFSET($H$3,0,0,'Données projet'!$E$9+1,1))</f>
        <v>394.9953131332565</v>
      </c>
      <c r="T185" s="59">
        <f t="shared" si="142"/>
        <v>399.58193819355591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0.50649262698571329</v>
      </c>
      <c r="AA185" s="21">
        <f>EXP(-LN(2)/25)*AA184+(1-EXP(-LN(2)/25))/(LN(2)/25)*Calculateur!V185*Calculateur!X185*VLOOKUP('Données projet'!$B$9,Paramètres!$A$1:$I$89,3,0)*0.475*44/12</f>
        <v>0.49380748124466134</v>
      </c>
      <c r="AB185" s="21">
        <f>EXP(-LN(2)/2)*AB184+(1-EXP(-LN(2)/2))/(LN(2)/2)*V185*Y185*VLOOKUP('Données projet'!$B$9,Paramètres!$A$1:$I$89,3,0)*0.475*44/12</f>
        <v>4.3317482691292217E-22</v>
      </c>
      <c r="AC185" s="22">
        <f t="shared" si="163"/>
        <v>1.0003001082303746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-1.0936673788819462E-13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364.67510777943329</v>
      </c>
      <c r="AO185" s="59">
        <f t="shared" si="144"/>
        <v>352.13878061387169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0.43581923717375382</v>
      </c>
      <c r="AV185" s="21">
        <f>EXP(-LN(2)/25)*AV184+(1-EXP(-LN(2)/25))/(LN(2)/25)*Calculateur!AQ185*Calculateur!AS185*VLOOKUP('Données projet'!$B$10,Paramètres!$A$1:$I$89,3,0)*0.475*44/12</f>
        <v>0.26630402686478422</v>
      </c>
      <c r="AW185" s="21">
        <f>EXP(-LN(2)/2)*AW184+(1-EXP(-LN(2)/2))/(LN(2)/2)*AQ185*AT185*VLOOKUP('Données projet'!$B$10,Paramètres!$A$1:$I$89,3,0)*0.475*44/12</f>
        <v>3.6360949337184914E-22</v>
      </c>
      <c r="AX185" s="21">
        <f t="shared" si="166"/>
        <v>0.70212326403853798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1.1368683772161603E-13</v>
      </c>
      <c r="BE185" s="13">
        <f>BD185*VLOOKUP('Données projet'!$B$11,Paramètres!$A$1:$I$89,3,0)*VLOOKUP('Données projet'!$B$11,Paramètres!$A$1:$I$89,5,0)</f>
        <v>6.7984728957526396E-14</v>
      </c>
      <c r="BF185" s="13">
        <f t="shared" si="167"/>
        <v>1.0682447123141398E-12</v>
      </c>
      <c r="BG185" s="20">
        <f t="shared" si="168"/>
        <v>1.978932943548152E-12</v>
      </c>
      <c r="BH185" s="59">
        <f t="shared" si="116"/>
        <v>293.3333333333353</v>
      </c>
      <c r="BI185" s="59">
        <f ca="1">AVERAGE(OFFSET($BH$3,0,0,'Données projet'!$E$11+1,1))-AVERAGE(OFFSET($H$3,0,0,'Données projet'!$E$11+1,1))</f>
        <v>289.66713787052475</v>
      </c>
      <c r="BJ185" s="59">
        <f t="shared" si="146"/>
        <v>298.29439200198652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0.26656671675662374</v>
      </c>
      <c r="BR185" s="21">
        <f>EXP(-LN(2)/2)*BR184+(1-EXP(-LN(2)/2))/(LN(2)/2)*BL185*BO185*VLOOKUP('Données projet'!$B$11,Paramètres!$A$1:$I$89,3,0)*0.475*44/12</f>
        <v>3.7958286229350345E-22</v>
      </c>
      <c r="BS185" s="22">
        <f t="shared" si="169"/>
        <v>0.26656671675662374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2.5420376914553347E-13</v>
      </c>
      <c r="P186" s="13">
        <f t="shared" si="141"/>
        <v>3.4258699088369875E-12</v>
      </c>
      <c r="Q186" s="20">
        <f t="shared" si="162"/>
        <v>6.4094616558195571E-12</v>
      </c>
      <c r="R186" s="59">
        <f t="shared" si="109"/>
        <v>293.33333333333974</v>
      </c>
      <c r="S186" s="59">
        <f ca="1">AVERAGE(OFFSET($R$3,0,0,'Données projet'!$E$9+1,1))-AVERAGE(OFFSET($H$3,0,0,'Données projet'!$E$9+1,1))</f>
        <v>394.9953131332565</v>
      </c>
      <c r="T186" s="59">
        <f t="shared" si="142"/>
        <v>399.58193819355591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0.49656061550052161</v>
      </c>
      <c r="AA186" s="21">
        <f>EXP(-LN(2)/25)*AA185+(1-EXP(-LN(2)/25))/(LN(2)/25)*Calculateur!V186*Calculateur!X186*VLOOKUP('Données projet'!$B$9,Paramètres!$A$1:$I$89,3,0)*0.475*44/12</f>
        <v>0.48030428970181926</v>
      </c>
      <c r="AB186" s="21">
        <f>EXP(-LN(2)/2)*AB185+(1-EXP(-LN(2)/2))/(LN(2)/2)*V186*Y186*VLOOKUP('Données projet'!$B$9,Paramètres!$A$1:$I$89,3,0)*0.475*44/12</f>
        <v>3.0630085754943627E-22</v>
      </c>
      <c r="AC186" s="22">
        <f t="shared" si="163"/>
        <v>0.97686490520234082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-1.0936673788819462E-13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364.67510777943329</v>
      </c>
      <c r="AO186" s="59">
        <f t="shared" si="144"/>
        <v>352.13878061387169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0.42727308775626327</v>
      </c>
      <c r="AV186" s="21">
        <f>EXP(-LN(2)/25)*AV185+(1-EXP(-LN(2)/25))/(LN(2)/25)*Calculateur!AQ186*Calculateur!AS186*VLOOKUP('Données projet'!$B$10,Paramètres!$A$1:$I$89,3,0)*0.475*44/12</f>
        <v>0.25902192924584655</v>
      </c>
      <c r="AW186" s="21">
        <f>EXP(-LN(2)/2)*AW185+(1-EXP(-LN(2)/2))/(LN(2)/2)*AQ186*AT186*VLOOKUP('Données projet'!$B$10,Paramètres!$A$1:$I$89,3,0)*0.475*44/12</f>
        <v>2.5711073846703953E-22</v>
      </c>
      <c r="AX186" s="21">
        <f t="shared" si="166"/>
        <v>0.68629501700210982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1.1368683772161603E-13</v>
      </c>
      <c r="BE186" s="13">
        <f>BD186*VLOOKUP('Données projet'!$B$11,Paramètres!$A$1:$I$89,3,0)*VLOOKUP('Données projet'!$B$11,Paramètres!$A$1:$I$89,5,0)</f>
        <v>6.7984728957526396E-14</v>
      </c>
      <c r="BF186" s="13">
        <f t="shared" si="167"/>
        <v>1.0682447123141398E-12</v>
      </c>
      <c r="BG186" s="20">
        <f t="shared" si="168"/>
        <v>1.978932943548152E-12</v>
      </c>
      <c r="BH186" s="59">
        <f t="shared" si="116"/>
        <v>293.3333333333353</v>
      </c>
      <c r="BI186" s="59">
        <f ca="1">AVERAGE(OFFSET($BH$3,0,0,'Données projet'!$E$11+1,1))-AVERAGE(OFFSET($H$3,0,0,'Données projet'!$E$11+1,1))</f>
        <v>289.66713787052475</v>
      </c>
      <c r="BJ186" s="59">
        <f t="shared" si="146"/>
        <v>298.29439200198652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0.25927743586877949</v>
      </c>
      <c r="BR186" s="21">
        <f>EXP(-LN(2)/2)*BR185+(1-EXP(-LN(2)/2))/(LN(2)/2)*BL186*BO186*VLOOKUP('Données projet'!$B$11,Paramètres!$A$1:$I$89,3,0)*0.475*44/12</f>
        <v>2.6840561594993574E-22</v>
      </c>
      <c r="BS186" s="22">
        <f t="shared" si="169"/>
        <v>0.25927743586877949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2.5420376914553347E-13</v>
      </c>
      <c r="P187" s="13">
        <f t="shared" si="141"/>
        <v>3.4258699088369875E-12</v>
      </c>
      <c r="Q187" s="20">
        <f t="shared" si="162"/>
        <v>6.4094616558195571E-12</v>
      </c>
      <c r="R187" s="59">
        <f t="shared" si="109"/>
        <v>293.33333333333974</v>
      </c>
      <c r="S187" s="59">
        <f ca="1">AVERAGE(OFFSET($R$3,0,0,'Données projet'!$E$9+1,1))-AVERAGE(OFFSET($H$3,0,0,'Données projet'!$E$9+1,1))</f>
        <v>394.9953131332565</v>
      </c>
      <c r="T187" s="59">
        <f t="shared" si="142"/>
        <v>399.58193819355591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0.48682336470262572</v>
      </c>
      <c r="AA187" s="21">
        <f>EXP(-LN(2)/25)*AA186+(1-EXP(-LN(2)/25))/(LN(2)/25)*Calculateur!V187*Calculateur!X187*VLOOKUP('Données projet'!$B$9,Paramètres!$A$1:$I$89,3,0)*0.475*44/12</f>
        <v>0.4671703436418182</v>
      </c>
      <c r="AB187" s="21">
        <f>EXP(-LN(2)/2)*AB186+(1-EXP(-LN(2)/2))/(LN(2)/2)*V187*Y187*VLOOKUP('Données projet'!$B$9,Paramètres!$A$1:$I$89,3,0)*0.475*44/12</f>
        <v>2.1658741345646109E-22</v>
      </c>
      <c r="AC187" s="22">
        <f t="shared" si="163"/>
        <v>0.95399370834444386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-1.0936673788819462E-13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364.67510777943329</v>
      </c>
      <c r="AO187" s="59">
        <f t="shared" si="144"/>
        <v>352.13878061387169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0.41889452311621328</v>
      </c>
      <c r="AV187" s="21">
        <f>EXP(-LN(2)/25)*AV186+(1-EXP(-LN(2)/25))/(LN(2)/25)*Calculateur!AQ187*Calculateur!AS187*VLOOKUP('Données projet'!$B$10,Paramètres!$A$1:$I$89,3,0)*0.475*44/12</f>
        <v>0.25193896096924762</v>
      </c>
      <c r="AW187" s="21">
        <f>EXP(-LN(2)/2)*AW186+(1-EXP(-LN(2)/2))/(LN(2)/2)*AQ187*AT187*VLOOKUP('Données projet'!$B$10,Paramètres!$A$1:$I$89,3,0)*0.475*44/12</f>
        <v>1.8180474668592457E-22</v>
      </c>
      <c r="AX187" s="21">
        <f t="shared" si="166"/>
        <v>0.67083348408546084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1.1368683772161603E-13</v>
      </c>
      <c r="BE187" s="13">
        <f>BD187*VLOOKUP('Données projet'!$B$11,Paramètres!$A$1:$I$89,3,0)*VLOOKUP('Données projet'!$B$11,Paramètres!$A$1:$I$89,5,0)</f>
        <v>6.7984728957526396E-14</v>
      </c>
      <c r="BF187" s="13">
        <f t="shared" si="167"/>
        <v>1.0682447123141398E-12</v>
      </c>
      <c r="BG187" s="20">
        <f t="shared" si="168"/>
        <v>1.978932943548152E-12</v>
      </c>
      <c r="BH187" s="59">
        <f t="shared" si="116"/>
        <v>293.3333333333353</v>
      </c>
      <c r="BI187" s="59">
        <f ca="1">AVERAGE(OFFSET($BH$3,0,0,'Données projet'!$E$11+1,1))-AVERAGE(OFFSET($H$3,0,0,'Données projet'!$E$11+1,1))</f>
        <v>289.66713787052475</v>
      </c>
      <c r="BJ187" s="59">
        <f t="shared" si="146"/>
        <v>298.29439200198652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0.25218748075013997</v>
      </c>
      <c r="BR187" s="21">
        <f>EXP(-LN(2)/2)*BR186+(1-EXP(-LN(2)/2))/(LN(2)/2)*BL187*BO187*VLOOKUP('Données projet'!$B$11,Paramètres!$A$1:$I$89,3,0)*0.475*44/12</f>
        <v>1.8979143114675173E-22</v>
      </c>
      <c r="BS187" s="22">
        <f t="shared" si="169"/>
        <v>0.25218748075013997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2.5420376914553347E-13</v>
      </c>
      <c r="P188" s="13">
        <f t="shared" si="141"/>
        <v>3.4258699088369875E-12</v>
      </c>
      <c r="Q188" s="20">
        <f t="shared" si="162"/>
        <v>6.4094616558195571E-12</v>
      </c>
      <c r="R188" s="59">
        <f t="shared" si="109"/>
        <v>293.33333333333974</v>
      </c>
      <c r="S188" s="59">
        <f ca="1">AVERAGE(OFFSET($R$3,0,0,'Données projet'!$E$9+1,1))-AVERAGE(OFFSET($H$3,0,0,'Données projet'!$E$9+1,1))</f>
        <v>394.9953131332565</v>
      </c>
      <c r="T188" s="59">
        <f t="shared" si="142"/>
        <v>399.58193819355591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0.47727705545374</v>
      </c>
      <c r="AA188" s="21">
        <f>EXP(-LN(2)/25)*AA187+(1-EXP(-LN(2)/25))/(LN(2)/25)*Calculateur!V188*Calculateur!X188*VLOOKUP('Données projet'!$B$9,Paramètres!$A$1:$I$89,3,0)*0.475*44/12</f>
        <v>0.45439554602751203</v>
      </c>
      <c r="AB188" s="21">
        <f>EXP(-LN(2)/2)*AB187+(1-EXP(-LN(2)/2))/(LN(2)/2)*V188*Y188*VLOOKUP('Données projet'!$B$9,Paramètres!$A$1:$I$89,3,0)*0.475*44/12</f>
        <v>1.5315042877471813E-22</v>
      </c>
      <c r="AC188" s="22">
        <f t="shared" si="163"/>
        <v>0.93167260148125197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-1.0936673788819462E-13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364.67510777943329</v>
      </c>
      <c r="AO188" s="59">
        <f t="shared" si="144"/>
        <v>352.13878061387169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0.41068025701833488</v>
      </c>
      <c r="AV188" s="21">
        <f>EXP(-LN(2)/25)*AV187+(1-EXP(-LN(2)/25))/(LN(2)/25)*Calculateur!AQ188*Calculateur!AS188*VLOOKUP('Données projet'!$B$10,Paramètres!$A$1:$I$89,3,0)*0.475*44/12</f>
        <v>0.24504967683264939</v>
      </c>
      <c r="AW188" s="21">
        <f>EXP(-LN(2)/2)*AW187+(1-EXP(-LN(2)/2))/(LN(2)/2)*AQ188*AT188*VLOOKUP('Données projet'!$B$10,Paramètres!$A$1:$I$89,3,0)*0.475*44/12</f>
        <v>1.2855536923351976E-22</v>
      </c>
      <c r="AX188" s="21">
        <f t="shared" si="166"/>
        <v>0.65572993385098433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1.1368683772161603E-13</v>
      </c>
      <c r="BE188" s="13">
        <f>BD188*VLOOKUP('Données projet'!$B$11,Paramètres!$A$1:$I$89,3,0)*VLOOKUP('Données projet'!$B$11,Paramètres!$A$1:$I$89,5,0)</f>
        <v>6.7984728957526396E-14</v>
      </c>
      <c r="BF188" s="13">
        <f t="shared" si="167"/>
        <v>1.0682447123141398E-12</v>
      </c>
      <c r="BG188" s="20">
        <f t="shared" si="168"/>
        <v>1.978932943548152E-12</v>
      </c>
      <c r="BH188" s="59">
        <f t="shared" si="116"/>
        <v>293.3333333333353</v>
      </c>
      <c r="BI188" s="59">
        <f ca="1">AVERAGE(OFFSET($BH$3,0,0,'Données projet'!$E$11+1,1))-AVERAGE(OFFSET($H$3,0,0,'Données projet'!$E$11+1,1))</f>
        <v>289.66713787052475</v>
      </c>
      <c r="BJ188" s="59">
        <f t="shared" si="146"/>
        <v>298.29439200198652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0.24529140082706416</v>
      </c>
      <c r="BR188" s="21">
        <f>EXP(-LN(2)/2)*BR187+(1-EXP(-LN(2)/2))/(LN(2)/2)*BL188*BO188*VLOOKUP('Données projet'!$B$11,Paramètres!$A$1:$I$89,3,0)*0.475*44/12</f>
        <v>1.3420280797496787E-22</v>
      </c>
      <c r="BS188" s="22">
        <f t="shared" si="169"/>
        <v>0.24529140082706416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2.5420376914553347E-13</v>
      </c>
      <c r="P189" s="13">
        <f t="shared" si="141"/>
        <v>3.4258699088369875E-12</v>
      </c>
      <c r="Q189" s="20">
        <f t="shared" si="162"/>
        <v>6.4094616558195571E-12</v>
      </c>
      <c r="R189" s="59">
        <f t="shared" si="109"/>
        <v>293.33333333333974</v>
      </c>
      <c r="S189" s="59">
        <f ca="1">AVERAGE(OFFSET($R$3,0,0,'Données projet'!$E$9+1,1))-AVERAGE(OFFSET($H$3,0,0,'Données projet'!$E$9+1,1))</f>
        <v>394.9953131332565</v>
      </c>
      <c r="T189" s="59">
        <f t="shared" si="142"/>
        <v>399.58193819355591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0.46791794350655125</v>
      </c>
      <c r="AA189" s="21">
        <f>EXP(-LN(2)/25)*AA188+(1-EXP(-LN(2)/25))/(LN(2)/25)*Calculateur!V189*Calculateur!X189*VLOOKUP('Données projet'!$B$9,Paramètres!$A$1:$I$89,3,0)*0.475*44/12</f>
        <v>0.44197007592576648</v>
      </c>
      <c r="AB189" s="21">
        <f>EXP(-LN(2)/2)*AB188+(1-EXP(-LN(2)/2))/(LN(2)/2)*V189*Y189*VLOOKUP('Données projet'!$B$9,Paramètres!$A$1:$I$89,3,0)*0.475*44/12</f>
        <v>1.0829370672823054E-22</v>
      </c>
      <c r="AC189" s="22">
        <f t="shared" si="163"/>
        <v>0.90988801943231779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-1.0936673788819462E-13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364.67510777943329</v>
      </c>
      <c r="AO189" s="59">
        <f t="shared" si="144"/>
        <v>352.13878061387169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0.40262706766842826</v>
      </c>
      <c r="AV189" s="21">
        <f>EXP(-LN(2)/25)*AV188+(1-EXP(-LN(2)/25))/(LN(2)/25)*Calculateur!AQ189*Calculateur!AS189*VLOOKUP('Données projet'!$B$10,Paramètres!$A$1:$I$89,3,0)*0.475*44/12</f>
        <v>0.23834878053305816</v>
      </c>
      <c r="AW189" s="21">
        <f>EXP(-LN(2)/2)*AW188+(1-EXP(-LN(2)/2))/(LN(2)/2)*AQ189*AT189*VLOOKUP('Données projet'!$B$10,Paramètres!$A$1:$I$89,3,0)*0.475*44/12</f>
        <v>9.0902373342962286E-23</v>
      </c>
      <c r="AX189" s="21">
        <f t="shared" si="166"/>
        <v>0.64097584820148645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1.1368683772161603E-13</v>
      </c>
      <c r="BE189" s="13">
        <f>BD189*VLOOKUP('Données projet'!$B$11,Paramètres!$A$1:$I$89,3,0)*VLOOKUP('Données projet'!$B$11,Paramètres!$A$1:$I$89,5,0)</f>
        <v>6.7984728957526396E-14</v>
      </c>
      <c r="BF189" s="13">
        <f t="shared" si="167"/>
        <v>1.0682447123141398E-12</v>
      </c>
      <c r="BG189" s="20">
        <f t="shared" si="168"/>
        <v>1.978932943548152E-12</v>
      </c>
      <c r="BH189" s="59">
        <f t="shared" si="116"/>
        <v>293.3333333333353</v>
      </c>
      <c r="BI189" s="59">
        <f ca="1">AVERAGE(OFFSET($BH$3,0,0,'Données projet'!$E$11+1,1))-AVERAGE(OFFSET($H$3,0,0,'Données projet'!$E$11+1,1))</f>
        <v>289.66713787052475</v>
      </c>
      <c r="BJ189" s="59">
        <f t="shared" si="146"/>
        <v>298.29439200198652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0.23858389457213394</v>
      </c>
      <c r="BR189" s="21">
        <f>EXP(-LN(2)/2)*BR188+(1-EXP(-LN(2)/2))/(LN(2)/2)*BL189*BO189*VLOOKUP('Données projet'!$B$11,Paramètres!$A$1:$I$89,3,0)*0.475*44/12</f>
        <v>9.4895715573375864E-23</v>
      </c>
      <c r="BS189" s="22">
        <f t="shared" si="169"/>
        <v>0.23858389457213394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2.5420376914553347E-13</v>
      </c>
      <c r="P190" s="13">
        <f t="shared" si="141"/>
        <v>3.4258699088369875E-12</v>
      </c>
      <c r="Q190" s="20">
        <f t="shared" si="162"/>
        <v>6.4094616558195571E-12</v>
      </c>
      <c r="R190" s="59">
        <f t="shared" si="109"/>
        <v>293.33333333333974</v>
      </c>
      <c r="S190" s="59">
        <f ca="1">AVERAGE(OFFSET($R$3,0,0,'Données projet'!$E$9+1,1))-AVERAGE(OFFSET($H$3,0,0,'Données projet'!$E$9+1,1))</f>
        <v>394.9953131332565</v>
      </c>
      <c r="T190" s="59">
        <f t="shared" si="142"/>
        <v>399.58193819355591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0.45874235803615221</v>
      </c>
      <c r="AA190" s="21">
        <f>EXP(-LN(2)/25)*AA189+(1-EXP(-LN(2)/25))/(LN(2)/25)*Calculateur!V190*Calculateur!X190*VLOOKUP('Données projet'!$B$9,Paramètres!$A$1:$I$89,3,0)*0.475*44/12</f>
        <v>0.42988438095738024</v>
      </c>
      <c r="AB190" s="21">
        <f>EXP(-LN(2)/2)*AB189+(1-EXP(-LN(2)/2))/(LN(2)/2)*V190*Y190*VLOOKUP('Données projet'!$B$9,Paramètres!$A$1:$I$89,3,0)*0.475*44/12</f>
        <v>7.6575214387359067E-23</v>
      </c>
      <c r="AC190" s="22">
        <f t="shared" si="163"/>
        <v>0.88862673899353251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-1.0936673788819462E-13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364.67510777943329</v>
      </c>
      <c r="AO190" s="59">
        <f t="shared" si="144"/>
        <v>352.13878061387169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0.39473179644971285</v>
      </c>
      <c r="AV190" s="21">
        <f>EXP(-LN(2)/25)*AV189+(1-EXP(-LN(2)/25))/(LN(2)/25)*Calculateur!AQ190*Calculateur!AS190*VLOOKUP('Données projet'!$B$10,Paramètres!$A$1:$I$89,3,0)*0.475*44/12</f>
        <v>0.23183112059516409</v>
      </c>
      <c r="AW190" s="21">
        <f>EXP(-LN(2)/2)*AW189+(1-EXP(-LN(2)/2))/(LN(2)/2)*AQ190*AT190*VLOOKUP('Données projet'!$B$10,Paramètres!$A$1:$I$89,3,0)*0.475*44/12</f>
        <v>6.4277684616759882E-23</v>
      </c>
      <c r="AX190" s="21">
        <f t="shared" si="166"/>
        <v>0.62656291704487699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1.1368683772161603E-13</v>
      </c>
      <c r="BE190" s="13">
        <f>BD190*VLOOKUP('Données projet'!$B$11,Paramètres!$A$1:$I$89,3,0)*VLOOKUP('Données projet'!$B$11,Paramètres!$A$1:$I$89,5,0)</f>
        <v>6.7984728957526396E-14</v>
      </c>
      <c r="BF190" s="13">
        <f t="shared" si="167"/>
        <v>1.0682447123141398E-12</v>
      </c>
      <c r="BG190" s="20">
        <f t="shared" si="168"/>
        <v>1.978932943548152E-12</v>
      </c>
      <c r="BH190" s="59">
        <f t="shared" si="116"/>
        <v>293.3333333333353</v>
      </c>
      <c r="BI190" s="59">
        <f ca="1">AVERAGE(OFFSET($BH$3,0,0,'Données projet'!$E$11+1,1))-AVERAGE(OFFSET($H$3,0,0,'Données projet'!$E$11+1,1))</f>
        <v>289.66713787052475</v>
      </c>
      <c r="BJ190" s="59">
        <f t="shared" si="146"/>
        <v>298.29439200198652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0.23205980542847721</v>
      </c>
      <c r="BR190" s="21">
        <f>EXP(-LN(2)/2)*BR189+(1-EXP(-LN(2)/2))/(LN(2)/2)*BL190*BO190*VLOOKUP('Données projet'!$B$11,Paramètres!$A$1:$I$89,3,0)*0.475*44/12</f>
        <v>6.7101403987483936E-23</v>
      </c>
      <c r="BS190" s="22">
        <f t="shared" si="169"/>
        <v>0.23205980542847721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2.5420376914553347E-13</v>
      </c>
      <c r="P191" s="13">
        <f t="shared" si="141"/>
        <v>3.4258699088369875E-12</v>
      </c>
      <c r="Q191" s="20">
        <f t="shared" si="162"/>
        <v>6.4094616558195571E-12</v>
      </c>
      <c r="R191" s="59">
        <f t="shared" si="109"/>
        <v>293.33333333333974</v>
      </c>
      <c r="S191" s="59">
        <f ca="1">AVERAGE(OFFSET($R$3,0,0,'Données projet'!$E$9+1,1))-AVERAGE(OFFSET($H$3,0,0,'Données projet'!$E$9+1,1))</f>
        <v>394.9953131332565</v>
      </c>
      <c r="T191" s="59">
        <f t="shared" si="142"/>
        <v>399.58193819355591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0.44974670020027319</v>
      </c>
      <c r="AA191" s="21">
        <f>EXP(-LN(2)/25)*AA190+(1-EXP(-LN(2)/25))/(LN(2)/25)*Calculateur!V191*Calculateur!X191*VLOOKUP('Données projet'!$B$9,Paramètres!$A$1:$I$89,3,0)*0.475*44/12</f>
        <v>0.41812916995346361</v>
      </c>
      <c r="AB191" s="21">
        <f>EXP(-LN(2)/2)*AB190+(1-EXP(-LN(2)/2))/(LN(2)/2)*V191*Y191*VLOOKUP('Données projet'!$B$9,Paramètres!$A$1:$I$89,3,0)*0.475*44/12</f>
        <v>5.4146853364115271E-23</v>
      </c>
      <c r="AC191" s="22">
        <f t="shared" si="163"/>
        <v>0.86787587015373679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-1.0936673788819462E-13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364.67510777943329</v>
      </c>
      <c r="AO191" s="59">
        <f t="shared" si="144"/>
        <v>352.13878061387169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0.38699134668395646</v>
      </c>
      <c r="AV191" s="21">
        <f>EXP(-LN(2)/25)*AV190+(1-EXP(-LN(2)/25))/(LN(2)/25)*Calculateur!AQ191*Calculateur!AS191*VLOOKUP('Données projet'!$B$10,Paramètres!$A$1:$I$89,3,0)*0.475*44/12</f>
        <v>0.22549168641102055</v>
      </c>
      <c r="AW191" s="21">
        <f>EXP(-LN(2)/2)*AW190+(1-EXP(-LN(2)/2))/(LN(2)/2)*AQ191*AT191*VLOOKUP('Données projet'!$B$10,Paramètres!$A$1:$I$89,3,0)*0.475*44/12</f>
        <v>4.5451186671481143E-23</v>
      </c>
      <c r="AX191" s="21">
        <f t="shared" si="166"/>
        <v>0.61248303309497698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1.1368683772161603E-13</v>
      </c>
      <c r="BE191" s="13">
        <f>BD191*VLOOKUP('Données projet'!$B$11,Paramètres!$A$1:$I$89,3,0)*VLOOKUP('Données projet'!$B$11,Paramètres!$A$1:$I$89,5,0)</f>
        <v>6.7984728957526396E-14</v>
      </c>
      <c r="BF191" s="13">
        <f t="shared" si="167"/>
        <v>1.0682447123141398E-12</v>
      </c>
      <c r="BG191" s="20">
        <f t="shared" si="168"/>
        <v>1.978932943548152E-12</v>
      </c>
      <c r="BH191" s="59">
        <f t="shared" si="116"/>
        <v>293.3333333333353</v>
      </c>
      <c r="BI191" s="59">
        <f ca="1">AVERAGE(OFFSET($BH$3,0,0,'Données projet'!$E$11+1,1))-AVERAGE(OFFSET($H$3,0,0,'Données projet'!$E$11+1,1))</f>
        <v>289.66713787052475</v>
      </c>
      <c r="BJ191" s="59">
        <f t="shared" si="146"/>
        <v>298.29439200198652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0.22571411784554071</v>
      </c>
      <c r="BR191" s="21">
        <f>EXP(-LN(2)/2)*BR190+(1-EXP(-LN(2)/2))/(LN(2)/2)*BL191*BO191*VLOOKUP('Données projet'!$B$11,Paramètres!$A$1:$I$89,3,0)*0.475*44/12</f>
        <v>4.7447857786687932E-23</v>
      </c>
      <c r="BS191" s="22">
        <f t="shared" si="169"/>
        <v>0.22571411784554071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2.5420376914553347E-13</v>
      </c>
      <c r="P192" s="13">
        <f t="shared" si="141"/>
        <v>3.4258699088369875E-12</v>
      </c>
      <c r="Q192" s="20">
        <f t="shared" si="162"/>
        <v>6.4094616558195571E-12</v>
      </c>
      <c r="R192" s="59">
        <f t="shared" si="109"/>
        <v>293.33333333333974</v>
      </c>
      <c r="S192" s="59">
        <f ca="1">AVERAGE(OFFSET($R$3,0,0,'Données projet'!$E$9+1,1))-AVERAGE(OFFSET($H$3,0,0,'Données projet'!$E$9+1,1))</f>
        <v>394.9953131332565</v>
      </c>
      <c r="T192" s="59">
        <f t="shared" si="142"/>
        <v>399.58193819355591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0.44092744172774628</v>
      </c>
      <c r="AA192" s="21">
        <f>EXP(-LN(2)/25)*AA191+(1-EXP(-LN(2)/25))/(LN(2)/25)*Calculateur!V192*Calculateur!X192*VLOOKUP('Données projet'!$B$9,Paramètres!$A$1:$I$89,3,0)*0.475*44/12</f>
        <v>0.40669540581262875</v>
      </c>
      <c r="AB192" s="21">
        <f>EXP(-LN(2)/2)*AB191+(1-EXP(-LN(2)/2))/(LN(2)/2)*V192*Y192*VLOOKUP('Données projet'!$B$9,Paramètres!$A$1:$I$89,3,0)*0.475*44/12</f>
        <v>3.8287607193679533E-23</v>
      </c>
      <c r="AC192" s="22">
        <f t="shared" si="163"/>
        <v>0.84762284754037509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-1.0936673788819462E-13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364.67510777943329</v>
      </c>
      <c r="AO192" s="59">
        <f t="shared" si="144"/>
        <v>352.13878061387169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0.3794026824168984</v>
      </c>
      <c r="AV192" s="21">
        <f>EXP(-LN(2)/25)*AV191+(1-EXP(-LN(2)/25))/(LN(2)/25)*Calculateur!AQ192*Calculateur!AS192*VLOOKUP('Données projet'!$B$10,Paramètres!$A$1:$I$89,3,0)*0.475*44/12</f>
        <v>0.21932560438801876</v>
      </c>
      <c r="AW192" s="21">
        <f>EXP(-LN(2)/2)*AW191+(1-EXP(-LN(2)/2))/(LN(2)/2)*AQ192*AT192*VLOOKUP('Données projet'!$B$10,Paramètres!$A$1:$I$89,3,0)*0.475*44/12</f>
        <v>3.2138842308379941E-23</v>
      </c>
      <c r="AX192" s="21">
        <f t="shared" si="166"/>
        <v>0.59872828680491719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1.1368683772161603E-13</v>
      </c>
      <c r="BE192" s="13">
        <f>BD192*VLOOKUP('Données projet'!$B$11,Paramètres!$A$1:$I$89,3,0)*VLOOKUP('Données projet'!$B$11,Paramètres!$A$1:$I$89,5,0)</f>
        <v>6.7984728957526396E-14</v>
      </c>
      <c r="BF192" s="13">
        <f t="shared" si="167"/>
        <v>1.0682447123141398E-12</v>
      </c>
      <c r="BG192" s="20">
        <f t="shared" si="168"/>
        <v>1.978932943548152E-12</v>
      </c>
      <c r="BH192" s="59">
        <f t="shared" si="116"/>
        <v>293.3333333333353</v>
      </c>
      <c r="BI192" s="59">
        <f ca="1">AVERAGE(OFFSET($BH$3,0,0,'Données projet'!$E$11+1,1))-AVERAGE(OFFSET($H$3,0,0,'Données projet'!$E$11+1,1))</f>
        <v>289.66713787052475</v>
      </c>
      <c r="BJ192" s="59">
        <f t="shared" si="146"/>
        <v>298.29439200198652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0.21954195342326482</v>
      </c>
      <c r="BR192" s="21">
        <f>EXP(-LN(2)/2)*BR191+(1-EXP(-LN(2)/2))/(LN(2)/2)*BL192*BO192*VLOOKUP('Données projet'!$B$11,Paramètres!$A$1:$I$89,3,0)*0.475*44/12</f>
        <v>3.3550701993741968E-23</v>
      </c>
      <c r="BS192" s="22">
        <f t="shared" si="169"/>
        <v>0.21954195342326482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2.5420376914553347E-13</v>
      </c>
      <c r="P193" s="13">
        <f t="shared" si="141"/>
        <v>3.4258699088369875E-12</v>
      </c>
      <c r="Q193" s="20">
        <f t="shared" si="162"/>
        <v>6.4094616558195571E-12</v>
      </c>
      <c r="R193" s="59">
        <f t="shared" si="109"/>
        <v>293.33333333333974</v>
      </c>
      <c r="S193" s="59">
        <f ca="1">AVERAGE(OFFSET($R$3,0,0,'Données projet'!$E$9+1,1))-AVERAGE(OFFSET($H$3,0,0,'Données projet'!$E$9+1,1))</f>
        <v>394.9953131332565</v>
      </c>
      <c r="T193" s="59">
        <f t="shared" si="142"/>
        <v>399.58193819355591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0.43228112353464909</v>
      </c>
      <c r="AA193" s="21">
        <f>EXP(-LN(2)/25)*AA192+(1-EXP(-LN(2)/25))/(LN(2)/25)*Calculateur!V193*Calculateur!X193*VLOOKUP('Données projet'!$B$9,Paramètres!$A$1:$I$89,3,0)*0.475*44/12</f>
        <v>0.39557429855350057</v>
      </c>
      <c r="AB193" s="21">
        <f>EXP(-LN(2)/2)*AB192+(1-EXP(-LN(2)/2))/(LN(2)/2)*V193*Y193*VLOOKUP('Données projet'!$B$9,Paramètres!$A$1:$I$89,3,0)*0.475*44/12</f>
        <v>2.7073426682057636E-23</v>
      </c>
      <c r="AC193" s="22">
        <f t="shared" si="163"/>
        <v>0.82785542208814966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-1.0936673788819462E-13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364.67510777943329</v>
      </c>
      <c r="AO193" s="59">
        <f t="shared" si="144"/>
        <v>352.13878061387169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0.37196282722748919</v>
      </c>
      <c r="AV193" s="21">
        <f>EXP(-LN(2)/25)*AV192+(1-EXP(-LN(2)/25))/(LN(2)/25)*Calculateur!AQ193*Calculateur!AS193*VLOOKUP('Données projet'!$B$10,Paramètres!$A$1:$I$89,3,0)*0.475*44/12</f>
        <v>0.21332813420219612</v>
      </c>
      <c r="AW193" s="21">
        <f>EXP(-LN(2)/2)*AW192+(1-EXP(-LN(2)/2))/(LN(2)/2)*AQ193*AT193*VLOOKUP('Données projet'!$B$10,Paramètres!$A$1:$I$89,3,0)*0.475*44/12</f>
        <v>2.2725593335740571E-23</v>
      </c>
      <c r="AX193" s="21">
        <f t="shared" si="166"/>
        <v>0.58529096142968529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1.1368683772161603E-13</v>
      </c>
      <c r="BE193" s="13">
        <f>BD193*VLOOKUP('Données projet'!$B$11,Paramètres!$A$1:$I$89,3,0)*VLOOKUP('Données projet'!$B$11,Paramètres!$A$1:$I$89,5,0)</f>
        <v>6.7984728957526396E-14</v>
      </c>
      <c r="BF193" s="13">
        <f t="shared" si="167"/>
        <v>1.0682447123141398E-12</v>
      </c>
      <c r="BG193" s="20">
        <f t="shared" si="168"/>
        <v>1.978932943548152E-12</v>
      </c>
      <c r="BH193" s="59">
        <f t="shared" si="116"/>
        <v>293.3333333333353</v>
      </c>
      <c r="BI193" s="59">
        <f ca="1">AVERAGE(OFFSET($BH$3,0,0,'Données projet'!$E$11+1,1))-AVERAGE(OFFSET($H$3,0,0,'Données projet'!$E$11+1,1))</f>
        <v>289.66713787052475</v>
      </c>
      <c r="BJ193" s="59">
        <f t="shared" si="146"/>
        <v>298.29439200198652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0.21353856716169609</v>
      </c>
      <c r="BR193" s="21">
        <f>EXP(-LN(2)/2)*BR192+(1-EXP(-LN(2)/2))/(LN(2)/2)*BL193*BO193*VLOOKUP('Données projet'!$B$11,Paramètres!$A$1:$I$89,3,0)*0.475*44/12</f>
        <v>2.3723928893343966E-23</v>
      </c>
      <c r="BS193" s="22">
        <f t="shared" si="169"/>
        <v>0.21353856716169609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2.5420376914553347E-13</v>
      </c>
      <c r="P194" s="13">
        <f t="shared" si="141"/>
        <v>3.4258699088369875E-12</v>
      </c>
      <c r="Q194" s="20">
        <f t="shared" si="162"/>
        <v>6.4094616558195571E-12</v>
      </c>
      <c r="R194" s="59">
        <f t="shared" si="109"/>
        <v>293.33333333333974</v>
      </c>
      <c r="S194" s="59">
        <f ca="1">AVERAGE(OFFSET($R$3,0,0,'Données projet'!$E$9+1,1))-AVERAGE(OFFSET($H$3,0,0,'Données projet'!$E$9+1,1))</f>
        <v>394.9953131332565</v>
      </c>
      <c r="T194" s="59">
        <f t="shared" si="142"/>
        <v>399.58193819355591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0.42380435436758518</v>
      </c>
      <c r="AA194" s="21">
        <f>EXP(-LN(2)/25)*AA193+(1-EXP(-LN(2)/25))/(LN(2)/25)*Calculateur!V194*Calculateur!X194*VLOOKUP('Données projet'!$B$9,Paramètres!$A$1:$I$89,3,0)*0.475*44/12</f>
        <v>0.38475729855720681</v>
      </c>
      <c r="AB194" s="21">
        <f>EXP(-LN(2)/2)*AB193+(1-EXP(-LN(2)/2))/(LN(2)/2)*V194*Y194*VLOOKUP('Données projet'!$B$9,Paramètres!$A$1:$I$89,3,0)*0.475*44/12</f>
        <v>1.9143803596839767E-23</v>
      </c>
      <c r="AC194" s="22">
        <f t="shared" si="163"/>
        <v>0.80856165292479198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-1.0936673788819462E-13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364.67510777943329</v>
      </c>
      <c r="AO194" s="59">
        <f t="shared" si="144"/>
        <v>352.13878061387169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0.36466886306048069</v>
      </c>
      <c r="AV194" s="21">
        <f>EXP(-LN(2)/25)*AV193+(1-EXP(-LN(2)/25))/(LN(2)/25)*Calculateur!AQ194*Calculateur!AS194*VLOOKUP('Données projet'!$B$10,Paramètres!$A$1:$I$89,3,0)*0.475*44/12</f>
        <v>0.20749466515399806</v>
      </c>
      <c r="AW194" s="21">
        <f>EXP(-LN(2)/2)*AW193+(1-EXP(-LN(2)/2))/(LN(2)/2)*AQ194*AT194*VLOOKUP('Données projet'!$B$10,Paramètres!$A$1:$I$89,3,0)*0.475*44/12</f>
        <v>1.606942115418997E-23</v>
      </c>
      <c r="AX194" s="21">
        <f t="shared" si="166"/>
        <v>0.5721635282144788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1.1368683772161603E-13</v>
      </c>
      <c r="BE194" s="13">
        <f>BD194*VLOOKUP('Données projet'!$B$11,Paramètres!$A$1:$I$89,3,0)*VLOOKUP('Données projet'!$B$11,Paramètres!$A$1:$I$89,5,0)</f>
        <v>6.7984728957526396E-14</v>
      </c>
      <c r="BF194" s="13">
        <f t="shared" si="167"/>
        <v>1.0682447123141398E-12</v>
      </c>
      <c r="BG194" s="20">
        <f t="shared" si="168"/>
        <v>1.978932943548152E-12</v>
      </c>
      <c r="BH194" s="59">
        <f t="shared" si="116"/>
        <v>293.3333333333353</v>
      </c>
      <c r="BI194" s="59">
        <f ca="1">AVERAGE(OFFSET($BH$3,0,0,'Données projet'!$E$11+1,1))-AVERAGE(OFFSET($H$3,0,0,'Données projet'!$E$11+1,1))</f>
        <v>289.66713787052475</v>
      </c>
      <c r="BJ194" s="59">
        <f t="shared" si="146"/>
        <v>298.29439200198652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0.2076993438131543</v>
      </c>
      <c r="BR194" s="21">
        <f>EXP(-LN(2)/2)*BR193+(1-EXP(-LN(2)/2))/(LN(2)/2)*BL194*BO194*VLOOKUP('Données projet'!$B$11,Paramètres!$A$1:$I$89,3,0)*0.475*44/12</f>
        <v>1.6775350996870984E-23</v>
      </c>
      <c r="BS194" s="22">
        <f t="shared" si="169"/>
        <v>0.2076993438131543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2.5420376914553347E-13</v>
      </c>
      <c r="P195" s="13">
        <f t="shared" si="141"/>
        <v>3.4258699088369875E-12</v>
      </c>
      <c r="Q195" s="20">
        <f t="shared" si="162"/>
        <v>6.4094616558195571E-12</v>
      </c>
      <c r="R195" s="59">
        <f t="shared" ref="R195:R203" si="191">Q195+(I195+J195)*44/12</f>
        <v>293.33333333333974</v>
      </c>
      <c r="S195" s="59">
        <f ca="1">AVERAGE(OFFSET($R$3,0,0,'Données projet'!$E$9+1,1))-AVERAGE(OFFSET($H$3,0,0,'Données projet'!$E$9+1,1))</f>
        <v>394.9953131332565</v>
      </c>
      <c r="T195" s="59">
        <f t="shared" si="142"/>
        <v>399.58193819355591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0.41549380947356873</v>
      </c>
      <c r="AA195" s="21">
        <f>EXP(-LN(2)/25)*AA194+(1-EXP(-LN(2)/25))/(LN(2)/25)*Calculateur!V195*Calculateur!X195*VLOOKUP('Données projet'!$B$9,Paramètres!$A$1:$I$89,3,0)*0.475*44/12</f>
        <v>0.37423608999465302</v>
      </c>
      <c r="AB195" s="21">
        <f>EXP(-LN(2)/2)*AB194+(1-EXP(-LN(2)/2))/(LN(2)/2)*V195*Y195*VLOOKUP('Données projet'!$B$9,Paramètres!$A$1:$I$89,3,0)*0.475*44/12</f>
        <v>1.3536713341028818E-23</v>
      </c>
      <c r="AC195" s="22">
        <f t="shared" si="163"/>
        <v>0.78972989946822181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-1.0936673788819462E-13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364.67510777943329</v>
      </c>
      <c r="AO195" s="59">
        <f t="shared" si="144"/>
        <v>352.13878061387169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0.35751792908190838</v>
      </c>
      <c r="AV195" s="21">
        <f>EXP(-LN(2)/25)*AV194+(1-EXP(-LN(2)/25))/(LN(2)/25)*Calculateur!AQ195*Calculateur!AS195*VLOOKUP('Données projet'!$B$10,Paramètres!$A$1:$I$89,3,0)*0.475*44/12</f>
        <v>0.20182071262369178</v>
      </c>
      <c r="AW195" s="21">
        <f>EXP(-LN(2)/2)*AW194+(1-EXP(-LN(2)/2))/(LN(2)/2)*AQ195*AT195*VLOOKUP('Données projet'!$B$10,Paramètres!$A$1:$I$89,3,0)*0.475*44/12</f>
        <v>1.1362796667870286E-23</v>
      </c>
      <c r="AX195" s="21">
        <f t="shared" si="166"/>
        <v>0.5593386417056001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1.1368683772161603E-13</v>
      </c>
      <c r="BE195" s="13">
        <f>BD195*VLOOKUP('Données projet'!$B$11,Paramètres!$A$1:$I$89,3,0)*VLOOKUP('Données projet'!$B$11,Paramètres!$A$1:$I$89,5,0)</f>
        <v>6.7984728957526396E-14</v>
      </c>
      <c r="BF195" s="13">
        <f t="shared" si="167"/>
        <v>1.0682447123141398E-12</v>
      </c>
      <c r="BG195" s="20">
        <f t="shared" si="168"/>
        <v>1.978932943548152E-12</v>
      </c>
      <c r="BH195" s="59">
        <f t="shared" si="116"/>
        <v>293.3333333333353</v>
      </c>
      <c r="BI195" s="59">
        <f ca="1">AVERAGE(OFFSET($BH$3,0,0,'Données projet'!$E$11+1,1))-AVERAGE(OFFSET($H$3,0,0,'Données projet'!$E$11+1,1))</f>
        <v>289.66713787052475</v>
      </c>
      <c r="BJ195" s="59">
        <f t="shared" si="146"/>
        <v>298.29439200198652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0.20201979433414982</v>
      </c>
      <c r="BR195" s="21">
        <f>EXP(-LN(2)/2)*BR194+(1-EXP(-LN(2)/2))/(LN(2)/2)*BL195*BO195*VLOOKUP('Données projet'!$B$11,Paramètres!$A$1:$I$89,3,0)*0.475*44/12</f>
        <v>1.1861964446671983E-23</v>
      </c>
      <c r="BS195" s="22">
        <f t="shared" si="169"/>
        <v>0.20201979433414982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2.5420376914553347E-13</v>
      </c>
      <c r="P196" s="13">
        <f t="shared" si="141"/>
        <v>3.4258699088369875E-12</v>
      </c>
      <c r="Q196" s="20">
        <f t="shared" si="162"/>
        <v>6.4094616558195571E-12</v>
      </c>
      <c r="R196" s="59">
        <f t="shared" si="191"/>
        <v>293.33333333333974</v>
      </c>
      <c r="S196" s="59">
        <f ca="1">AVERAGE(OFFSET($R$3,0,0,'Données projet'!$E$9+1,1))-AVERAGE(OFFSET($H$3,0,0,'Données projet'!$E$9+1,1))</f>
        <v>394.9953131332565</v>
      </c>
      <c r="T196" s="59">
        <f t="shared" si="142"/>
        <v>399.58193819355591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0.40734622929599207</v>
      </c>
      <c r="AA196" s="21">
        <f>EXP(-LN(2)/25)*AA195+(1-EXP(-LN(2)/25))/(LN(2)/25)*Calculateur!V196*Calculateur!X196*VLOOKUP('Données projet'!$B$9,Paramètres!$A$1:$I$89,3,0)*0.475*44/12</f>
        <v>0.36400258443352856</v>
      </c>
      <c r="AB196" s="21">
        <f>EXP(-LN(2)/2)*AB195+(1-EXP(-LN(2)/2))/(LN(2)/2)*V196*Y196*VLOOKUP('Données projet'!$B$9,Paramètres!$A$1:$I$89,3,0)*0.475*44/12</f>
        <v>9.5719017984198833E-24</v>
      </c>
      <c r="AC196" s="22">
        <f t="shared" si="163"/>
        <v>0.77134881372952058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-1.0936673788819462E-13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364.67510777943329</v>
      </c>
      <c r="AO196" s="59">
        <f t="shared" si="144"/>
        <v>352.13878061387169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0.35050722055701683</v>
      </c>
      <c r="AV196" s="21">
        <f>EXP(-LN(2)/25)*AV195+(1-EXP(-LN(2)/25))/(LN(2)/25)*Calculateur!AQ196*Calculateur!AS196*VLOOKUP('Données projet'!$B$10,Paramètres!$A$1:$I$89,3,0)*0.475*44/12</f>
        <v>0.19630191462370691</v>
      </c>
      <c r="AW196" s="21">
        <f>EXP(-LN(2)/2)*AW195+(1-EXP(-LN(2)/2))/(LN(2)/2)*AQ196*AT196*VLOOKUP('Données projet'!$B$10,Paramètres!$A$1:$I$89,3,0)*0.475*44/12</f>
        <v>8.0347105770949852E-24</v>
      </c>
      <c r="AX196" s="21">
        <f t="shared" si="166"/>
        <v>0.54680913518072372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1.1368683772161603E-13</v>
      </c>
      <c r="BE196" s="13">
        <f>BD196*VLOOKUP('Données projet'!$B$11,Paramètres!$A$1:$I$89,3,0)*VLOOKUP('Données projet'!$B$11,Paramètres!$A$1:$I$89,5,0)</f>
        <v>6.7984728957526396E-14</v>
      </c>
      <c r="BF196" s="13">
        <f t="shared" si="167"/>
        <v>1.0682447123141398E-12</v>
      </c>
      <c r="BG196" s="20">
        <f t="shared" si="168"/>
        <v>1.978932943548152E-12</v>
      </c>
      <c r="BH196" s="59">
        <f t="shared" ref="BH196:BH203" si="194">BG196+(AY196+AZ196)*44/12</f>
        <v>293.3333333333353</v>
      </c>
      <c r="BI196" s="59">
        <f ca="1">AVERAGE(OFFSET($BH$3,0,0,'Données projet'!$E$11+1,1))-AVERAGE(OFFSET($H$3,0,0,'Données projet'!$E$11+1,1))</f>
        <v>289.66713787052475</v>
      </c>
      <c r="BJ196" s="59">
        <f t="shared" si="146"/>
        <v>298.29439200198652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0.19649555243432323</v>
      </c>
      <c r="BR196" s="21">
        <f>EXP(-LN(2)/2)*BR195+(1-EXP(-LN(2)/2))/(LN(2)/2)*BL196*BO196*VLOOKUP('Données projet'!$B$11,Paramètres!$A$1:$I$89,3,0)*0.475*44/12</f>
        <v>8.387675498435492E-24</v>
      </c>
      <c r="BS196" s="22">
        <f t="shared" si="169"/>
        <v>0.19649555243432323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2.5420376914553347E-13</v>
      </c>
      <c r="P197" s="13">
        <f t="shared" ref="P197:P203" si="203">EXP(-1.0587+0.8836*LN(O197)+0.284)</f>
        <v>3.4258699088369875E-12</v>
      </c>
      <c r="Q197" s="20">
        <f t="shared" si="162"/>
        <v>6.4094616558195571E-12</v>
      </c>
      <c r="R197" s="59">
        <f t="shared" si="191"/>
        <v>293.33333333333974</v>
      </c>
      <c r="S197" s="59">
        <f ca="1">AVERAGE(OFFSET($R$3,0,0,'Données projet'!$E$9+1,1))-AVERAGE(OFFSET($H$3,0,0,'Données projet'!$E$9+1,1))</f>
        <v>394.9953131332565</v>
      </c>
      <c r="T197" s="59">
        <f t="shared" ref="T197:T203" si="204">$T$3</f>
        <v>399.58193819355591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0.39935841819616447</v>
      </c>
      <c r="AA197" s="21">
        <f>EXP(-LN(2)/25)*AA196+(1-EXP(-LN(2)/25))/(LN(2)/25)*Calculateur!V197*Calculateur!X197*VLOOKUP('Données projet'!$B$9,Paramètres!$A$1:$I$89,3,0)*0.475*44/12</f>
        <v>0.35404891462012977</v>
      </c>
      <c r="AB197" s="21">
        <f>EXP(-LN(2)/2)*AB196+(1-EXP(-LN(2)/2))/(LN(2)/2)*V197*Y197*VLOOKUP('Données projet'!$B$9,Paramètres!$A$1:$I$89,3,0)*0.475*44/12</f>
        <v>6.7683566705144089E-24</v>
      </c>
      <c r="AC197" s="22">
        <f t="shared" si="163"/>
        <v>0.75340733281629424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-1.0936673788819462E-13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364.67510777943329</v>
      </c>
      <c r="AO197" s="59">
        <f t="shared" ref="AO197:AO203" si="205">$AO$3</f>
        <v>352.13878061387169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0.34363398775018844</v>
      </c>
      <c r="AV197" s="21">
        <f>EXP(-LN(2)/25)*AV196+(1-EXP(-LN(2)/25))/(LN(2)/25)*Calculateur!AQ197*Calculateur!AS197*VLOOKUP('Données projet'!$B$10,Paramètres!$A$1:$I$89,3,0)*0.475*44/12</f>
        <v>0.19093402844525262</v>
      </c>
      <c r="AW197" s="21">
        <f>EXP(-LN(2)/2)*AW196+(1-EXP(-LN(2)/2))/(LN(2)/2)*AQ197*AT197*VLOOKUP('Données projet'!$B$10,Paramètres!$A$1:$I$89,3,0)*0.475*44/12</f>
        <v>5.6813983339351428E-24</v>
      </c>
      <c r="AX197" s="21">
        <f t="shared" si="166"/>
        <v>0.53456801619544103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1.1368683772161603E-13</v>
      </c>
      <c r="BE197" s="13">
        <f>BD197*VLOOKUP('Données projet'!$B$11,Paramètres!$A$1:$I$89,3,0)*VLOOKUP('Données projet'!$B$11,Paramètres!$A$1:$I$89,5,0)</f>
        <v>6.7984728957526396E-14</v>
      </c>
      <c r="BF197" s="13">
        <f t="shared" si="167"/>
        <v>1.0682447123141398E-12</v>
      </c>
      <c r="BG197" s="20">
        <f t="shared" si="168"/>
        <v>1.978932943548152E-12</v>
      </c>
      <c r="BH197" s="59">
        <f t="shared" si="194"/>
        <v>293.3333333333353</v>
      </c>
      <c r="BI197" s="59">
        <f ca="1">AVERAGE(OFFSET($BH$3,0,0,'Données projet'!$E$11+1,1))-AVERAGE(OFFSET($H$3,0,0,'Données projet'!$E$11+1,1))</f>
        <v>289.66713787052475</v>
      </c>
      <c r="BJ197" s="59">
        <f t="shared" ref="BJ197:BJ203" si="206">$BJ$3</f>
        <v>298.29439200198652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0.19112237121975467</v>
      </c>
      <c r="BR197" s="21">
        <f>EXP(-LN(2)/2)*BR196+(1-EXP(-LN(2)/2))/(LN(2)/2)*BL197*BO197*VLOOKUP('Données projet'!$B$11,Paramètres!$A$1:$I$89,3,0)*0.475*44/12</f>
        <v>5.9309822233359915E-24</v>
      </c>
      <c r="BS197" s="22">
        <f t="shared" si="169"/>
        <v>0.19112237121975467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2.5420376914553347E-13</v>
      </c>
      <c r="P198" s="13">
        <f t="shared" si="203"/>
        <v>3.4258699088369875E-12</v>
      </c>
      <c r="Q198" s="20">
        <f t="shared" si="162"/>
        <v>6.4094616558195571E-12</v>
      </c>
      <c r="R198" s="59">
        <f t="shared" si="191"/>
        <v>293.33333333333974</v>
      </c>
      <c r="S198" s="59">
        <f ca="1">AVERAGE(OFFSET($R$3,0,0,'Données projet'!$E$9+1,1))-AVERAGE(OFFSET($H$3,0,0,'Données projet'!$E$9+1,1))</f>
        <v>394.9953131332565</v>
      </c>
      <c r="T198" s="59">
        <f t="shared" si="204"/>
        <v>399.58193819355591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0.39152724319992083</v>
      </c>
      <c r="AA198" s="21">
        <f>EXP(-LN(2)/25)*AA197+(1-EXP(-LN(2)/25))/(LN(2)/25)*Calculateur!V198*Calculateur!X198*VLOOKUP('Données projet'!$B$9,Paramètres!$A$1:$I$89,3,0)*0.475*44/12</f>
        <v>0.34436742843121909</v>
      </c>
      <c r="AB198" s="21">
        <f>EXP(-LN(2)/2)*AB197+(1-EXP(-LN(2)/2))/(LN(2)/2)*V198*Y198*VLOOKUP('Données projet'!$B$9,Paramètres!$A$1:$I$89,3,0)*0.475*44/12</f>
        <v>4.7859508992099417E-24</v>
      </c>
      <c r="AC198" s="22">
        <f t="shared" si="163"/>
        <v>0.73589467163113986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-1.0936673788819462E-13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364.67510777943329</v>
      </c>
      <c r="AO198" s="59">
        <f t="shared" si="205"/>
        <v>352.13878061387169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0.33689553484644386</v>
      </c>
      <c r="AV198" s="21">
        <f>EXP(-LN(2)/25)*AV197+(1-EXP(-LN(2)/25))/(LN(2)/25)*Calculateur!AQ198*Calculateur!AS198*VLOOKUP('Données projet'!$B$10,Paramètres!$A$1:$I$89,3,0)*0.475*44/12</f>
        <v>0.185712927396633</v>
      </c>
      <c r="AW198" s="21">
        <f>EXP(-LN(2)/2)*AW197+(1-EXP(-LN(2)/2))/(LN(2)/2)*AQ198*AT198*VLOOKUP('Données projet'!$B$10,Paramètres!$A$1:$I$89,3,0)*0.475*44/12</f>
        <v>4.0173552885474926E-24</v>
      </c>
      <c r="AX198" s="21">
        <f t="shared" si="166"/>
        <v>0.52260846224307689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1.1368683772161603E-13</v>
      </c>
      <c r="BE198" s="13">
        <f>BD198*VLOOKUP('Données projet'!$B$11,Paramètres!$A$1:$I$89,3,0)*VLOOKUP('Données projet'!$B$11,Paramètres!$A$1:$I$89,5,0)</f>
        <v>6.7984728957526396E-14</v>
      </c>
      <c r="BF198" s="13">
        <f t="shared" si="167"/>
        <v>1.0682447123141398E-12</v>
      </c>
      <c r="BG198" s="20">
        <f t="shared" si="168"/>
        <v>1.978932943548152E-12</v>
      </c>
      <c r="BH198" s="59">
        <f t="shared" si="194"/>
        <v>293.3333333333353</v>
      </c>
      <c r="BI198" s="59">
        <f ca="1">AVERAGE(OFFSET($BH$3,0,0,'Données projet'!$E$11+1,1))-AVERAGE(OFFSET($H$3,0,0,'Données projet'!$E$11+1,1))</f>
        <v>289.66713787052475</v>
      </c>
      <c r="BJ198" s="59">
        <f t="shared" si="206"/>
        <v>298.29439200198652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0.18589611992806179</v>
      </c>
      <c r="BR198" s="21">
        <f>EXP(-LN(2)/2)*BR197+(1-EXP(-LN(2)/2))/(LN(2)/2)*BL198*BO198*VLOOKUP('Données projet'!$B$11,Paramètres!$A$1:$I$89,3,0)*0.475*44/12</f>
        <v>4.193837749217746E-24</v>
      </c>
      <c r="BS198" s="22">
        <f t="shared" si="169"/>
        <v>0.18589611992806179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2.5420376914553347E-13</v>
      </c>
      <c r="P199" s="13">
        <f t="shared" si="203"/>
        <v>3.4258699088369875E-12</v>
      </c>
      <c r="Q199" s="20">
        <f t="shared" si="162"/>
        <v>6.4094616558195571E-12</v>
      </c>
      <c r="R199" s="59">
        <f t="shared" si="191"/>
        <v>293.33333333333974</v>
      </c>
      <c r="S199" s="59">
        <f ca="1">AVERAGE(OFFSET($R$3,0,0,'Données projet'!$E$9+1,1))-AVERAGE(OFFSET($H$3,0,0,'Données projet'!$E$9+1,1))</f>
        <v>394.9953131332565</v>
      </c>
      <c r="T199" s="59">
        <f t="shared" si="204"/>
        <v>399.58193819355591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0.3838496327688084</v>
      </c>
      <c r="AA199" s="21">
        <f>EXP(-LN(2)/25)*AA198+(1-EXP(-LN(2)/25))/(LN(2)/25)*Calculateur!V199*Calculateur!X199*VLOOKUP('Données projet'!$B$9,Paramètres!$A$1:$I$89,3,0)*0.475*44/12</f>
        <v>0.3349506829912714</v>
      </c>
      <c r="AB199" s="21">
        <f>EXP(-LN(2)/2)*AB198+(1-EXP(-LN(2)/2))/(LN(2)/2)*V199*Y199*VLOOKUP('Données projet'!$B$9,Paramètres!$A$1:$I$89,3,0)*0.475*44/12</f>
        <v>3.3841783352572045E-24</v>
      </c>
      <c r="AC199" s="22">
        <f t="shared" si="163"/>
        <v>0.71880031576007974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-1.0936673788819462E-13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364.67510777943329</v>
      </c>
      <c r="AO199" s="59">
        <f t="shared" si="205"/>
        <v>352.13878061387169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0.3302892188940913</v>
      </c>
      <c r="AV199" s="21">
        <f>EXP(-LN(2)/25)*AV198+(1-EXP(-LN(2)/25))/(LN(2)/25)*Calculateur!AQ199*Calculateur!AS199*VLOOKUP('Données projet'!$B$10,Paramètres!$A$1:$I$89,3,0)*0.475*44/12</f>
        <v>0.18063459763075368</v>
      </c>
      <c r="AW199" s="21">
        <f>EXP(-LN(2)/2)*AW198+(1-EXP(-LN(2)/2))/(LN(2)/2)*AQ199*AT199*VLOOKUP('Données projet'!$B$10,Paramètres!$A$1:$I$89,3,0)*0.475*44/12</f>
        <v>2.8406991669675714E-24</v>
      </c>
      <c r="AX199" s="21">
        <f t="shared" si="166"/>
        <v>0.51092381652484498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1.1368683772161603E-13</v>
      </c>
      <c r="BE199" s="13">
        <f>BD199*VLOOKUP('Données projet'!$B$11,Paramètres!$A$1:$I$89,3,0)*VLOOKUP('Données projet'!$B$11,Paramètres!$A$1:$I$89,5,0)</f>
        <v>6.7984728957526396E-14</v>
      </c>
      <c r="BF199" s="13">
        <f t="shared" si="167"/>
        <v>1.0682447123141398E-12</v>
      </c>
      <c r="BG199" s="20">
        <f t="shared" si="168"/>
        <v>1.978932943548152E-12</v>
      </c>
      <c r="BH199" s="59">
        <f t="shared" si="194"/>
        <v>293.3333333333353</v>
      </c>
      <c r="BI199" s="59">
        <f ca="1">AVERAGE(OFFSET($BH$3,0,0,'Données projet'!$E$11+1,1))-AVERAGE(OFFSET($H$3,0,0,'Données projet'!$E$11+1,1))</f>
        <v>289.66713787052475</v>
      </c>
      <c r="BJ199" s="59">
        <f t="shared" si="206"/>
        <v>298.29439200198652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0.18081278075277687</v>
      </c>
      <c r="BR199" s="21">
        <f>EXP(-LN(2)/2)*BR198+(1-EXP(-LN(2)/2))/(LN(2)/2)*BL199*BO199*VLOOKUP('Données projet'!$B$11,Paramètres!$A$1:$I$89,3,0)*0.475*44/12</f>
        <v>2.9654911116679957E-24</v>
      </c>
      <c r="BS199" s="22">
        <f t="shared" si="169"/>
        <v>0.18081278075277687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2.5420376914553347E-13</v>
      </c>
      <c r="P200" s="13">
        <f t="shared" si="203"/>
        <v>3.4258699088369875E-12</v>
      </c>
      <c r="Q200" s="20">
        <f t="shared" si="162"/>
        <v>6.4094616558195571E-12</v>
      </c>
      <c r="R200" s="59">
        <f t="shared" si="191"/>
        <v>293.33333333333974</v>
      </c>
      <c r="S200" s="59">
        <f ca="1">AVERAGE(OFFSET($R$3,0,0,'Données projet'!$E$9+1,1))-AVERAGE(OFFSET($H$3,0,0,'Données projet'!$E$9+1,1))</f>
        <v>394.9953131332565</v>
      </c>
      <c r="T200" s="59">
        <f t="shared" si="204"/>
        <v>399.58193819355591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0.37632257559537013</v>
      </c>
      <c r="AA200" s="21">
        <f>EXP(-LN(2)/25)*AA199+(1-EXP(-LN(2)/25))/(LN(2)/25)*Calculateur!V200*Calculateur!X200*VLOOKUP('Données projet'!$B$9,Paramètres!$A$1:$I$89,3,0)*0.475*44/12</f>
        <v>0.32579143895058421</v>
      </c>
      <c r="AB200" s="21">
        <f>EXP(-LN(2)/2)*AB199+(1-EXP(-LN(2)/2))/(LN(2)/2)*V200*Y200*VLOOKUP('Données projet'!$B$9,Paramètres!$A$1:$I$89,3,0)*0.475*44/12</f>
        <v>2.3929754496049708E-24</v>
      </c>
      <c r="AC200" s="22">
        <f t="shared" si="163"/>
        <v>0.70211401454595435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-1.0936673788819462E-13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364.67510777943329</v>
      </c>
      <c r="AO200" s="59">
        <f t="shared" si="205"/>
        <v>352.13878061387169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0.3238124487681095</v>
      </c>
      <c r="AV200" s="21">
        <f>EXP(-LN(2)/25)*AV199+(1-EXP(-LN(2)/25))/(LN(2)/25)*Calculateur!AQ200*Calculateur!AS200*VLOOKUP('Données projet'!$B$10,Paramètres!$A$1:$I$89,3,0)*0.475*44/12</f>
        <v>0.17569513505938009</v>
      </c>
      <c r="AW200" s="21">
        <f>EXP(-LN(2)/2)*AW199+(1-EXP(-LN(2)/2))/(LN(2)/2)*AQ200*AT200*VLOOKUP('Données projet'!$B$10,Paramètres!$A$1:$I$89,3,0)*0.475*44/12</f>
        <v>2.0086776442737463E-24</v>
      </c>
      <c r="AX200" s="21">
        <f t="shared" si="166"/>
        <v>0.49950758382748961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1.1368683772161603E-13</v>
      </c>
      <c r="BE200" s="13">
        <f>BD200*VLOOKUP('Données projet'!$B$11,Paramètres!$A$1:$I$89,3,0)*VLOOKUP('Données projet'!$B$11,Paramètres!$A$1:$I$89,5,0)</f>
        <v>6.7984728957526396E-14</v>
      </c>
      <c r="BF200" s="13">
        <f t="shared" si="167"/>
        <v>1.0682447123141398E-12</v>
      </c>
      <c r="BG200" s="20">
        <f t="shared" si="168"/>
        <v>1.978932943548152E-12</v>
      </c>
      <c r="BH200" s="59">
        <f t="shared" si="194"/>
        <v>293.3333333333353</v>
      </c>
      <c r="BI200" s="59">
        <f ca="1">AVERAGE(OFFSET($BH$3,0,0,'Données projet'!$E$11+1,1))-AVERAGE(OFFSET($H$3,0,0,'Données projet'!$E$11+1,1))</f>
        <v>289.66713787052475</v>
      </c>
      <c r="BJ200" s="59">
        <f t="shared" si="206"/>
        <v>298.29439200198652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0.17586844575456131</v>
      </c>
      <c r="BR200" s="21">
        <f>EXP(-LN(2)/2)*BR199+(1-EXP(-LN(2)/2))/(LN(2)/2)*BL200*BO200*VLOOKUP('Données projet'!$B$11,Paramètres!$A$1:$I$89,3,0)*0.475*44/12</f>
        <v>2.096918874608873E-24</v>
      </c>
      <c r="BS200" s="22">
        <f t="shared" si="169"/>
        <v>0.17586844575456131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2.5420376914553347E-13</v>
      </c>
      <c r="P201" s="13">
        <f t="shared" si="203"/>
        <v>3.4258699088369875E-12</v>
      </c>
      <c r="Q201" s="20">
        <f t="shared" si="162"/>
        <v>6.4094616558195571E-12</v>
      </c>
      <c r="R201" s="59">
        <f t="shared" si="191"/>
        <v>293.33333333333974</v>
      </c>
      <c r="S201" s="59">
        <f ca="1">AVERAGE(OFFSET($R$3,0,0,'Données projet'!$E$9+1,1))-AVERAGE(OFFSET($H$3,0,0,'Données projet'!$E$9+1,1))</f>
        <v>394.9953131332565</v>
      </c>
      <c r="T201" s="59">
        <f t="shared" si="204"/>
        <v>399.58193819355591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0.36894311942205144</v>
      </c>
      <c r="AA201" s="21">
        <f>EXP(-LN(2)/25)*AA200+(1-EXP(-LN(2)/25))/(LN(2)/25)*Calculateur!V201*Calculateur!X201*VLOOKUP('Données projet'!$B$9,Paramètres!$A$1:$I$89,3,0)*0.475*44/12</f>
        <v>0.31688265491985329</v>
      </c>
      <c r="AB201" s="21">
        <f>EXP(-LN(2)/2)*AB200+(1-EXP(-LN(2)/2))/(LN(2)/2)*V201*Y201*VLOOKUP('Données projet'!$B$9,Paramètres!$A$1:$I$89,3,0)*0.475*44/12</f>
        <v>1.6920891676286022E-24</v>
      </c>
      <c r="AC201" s="22">
        <f t="shared" si="163"/>
        <v>0.68582577434190473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-1.0936673788819462E-13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364.67510777943329</v>
      </c>
      <c r="AO201" s="59">
        <f t="shared" si="205"/>
        <v>352.13878061387169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0.31746268415385853</v>
      </c>
      <c r="AV201" s="21">
        <f>EXP(-LN(2)/25)*AV200+(1-EXP(-LN(2)/25))/(LN(2)/25)*Calculateur!AQ201*Calculateur!AS201*VLOOKUP('Données projet'!$B$10,Paramètres!$A$1:$I$89,3,0)*0.475*44/12</f>
        <v>0.17089074235177573</v>
      </c>
      <c r="AW201" s="21">
        <f>EXP(-LN(2)/2)*AW200+(1-EXP(-LN(2)/2))/(LN(2)/2)*AQ201*AT201*VLOOKUP('Données projet'!$B$10,Paramètres!$A$1:$I$89,3,0)*0.475*44/12</f>
        <v>1.4203495834837857E-24</v>
      </c>
      <c r="AX201" s="21">
        <f t="shared" si="166"/>
        <v>0.48835342650563429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1.1368683772161603E-13</v>
      </c>
      <c r="BE201" s="13">
        <f>BD201*VLOOKUP('Données projet'!$B$11,Paramètres!$A$1:$I$89,3,0)*VLOOKUP('Données projet'!$B$11,Paramètres!$A$1:$I$89,5,0)</f>
        <v>6.7984728957526396E-14</v>
      </c>
      <c r="BF201" s="13">
        <f t="shared" si="167"/>
        <v>1.0682447123141398E-12</v>
      </c>
      <c r="BG201" s="20">
        <f t="shared" si="168"/>
        <v>1.978932943548152E-12</v>
      </c>
      <c r="BH201" s="59">
        <f t="shared" si="194"/>
        <v>293.3333333333353</v>
      </c>
      <c r="BI201" s="59">
        <f ca="1">AVERAGE(OFFSET($BH$3,0,0,'Données projet'!$E$11+1,1))-AVERAGE(OFFSET($H$3,0,0,'Données projet'!$E$11+1,1))</f>
        <v>289.66713787052475</v>
      </c>
      <c r="BJ201" s="59">
        <f t="shared" si="206"/>
        <v>298.29439200198652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0.17105931385688322</v>
      </c>
      <c r="BR201" s="21">
        <f>EXP(-LN(2)/2)*BR200+(1-EXP(-LN(2)/2))/(LN(2)/2)*BL201*BO201*VLOOKUP('Données projet'!$B$11,Paramètres!$A$1:$I$89,3,0)*0.475*44/12</f>
        <v>1.4827455558339979E-24</v>
      </c>
      <c r="BS201" s="22">
        <f t="shared" si="169"/>
        <v>0.17105931385688322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2.5420376914553347E-13</v>
      </c>
      <c r="P202" s="13">
        <f t="shared" si="203"/>
        <v>3.4258699088369875E-12</v>
      </c>
      <c r="Q202" s="20">
        <f t="shared" si="162"/>
        <v>6.4094616558195571E-12</v>
      </c>
      <c r="R202" s="59">
        <f t="shared" si="191"/>
        <v>293.33333333333974</v>
      </c>
      <c r="S202" s="59">
        <f ca="1">AVERAGE(OFFSET($R$3,0,0,'Données projet'!$E$9+1,1))-AVERAGE(OFFSET($H$3,0,0,'Données projet'!$E$9+1,1))</f>
        <v>394.9953131332565</v>
      </c>
      <c r="T202" s="59">
        <f t="shared" si="204"/>
        <v>399.58193819355591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0.36170836988326766</v>
      </c>
      <c r="AA202" s="21">
        <f>EXP(-LN(2)/25)*AA201+(1-EXP(-LN(2)/25))/(LN(2)/25)*Calculateur!V202*Calculateur!X202*VLOOKUP('Données projet'!$B$9,Paramètres!$A$1:$I$89,3,0)*0.475*44/12</f>
        <v>0.30821748205693533</v>
      </c>
      <c r="AB202" s="21">
        <f>EXP(-LN(2)/2)*AB201+(1-EXP(-LN(2)/2))/(LN(2)/2)*V202*Y202*VLOOKUP('Données projet'!$B$9,Paramètres!$A$1:$I$89,3,0)*0.475*44/12</f>
        <v>1.1964877248024854E-24</v>
      </c>
      <c r="AC202" s="22">
        <f t="shared" si="163"/>
        <v>0.66992585194020293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-1.0936673788819462E-13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364.67510777943329</v>
      </c>
      <c r="AO202" s="59">
        <f t="shared" si="205"/>
        <v>352.13878061387169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0.31123743455071901</v>
      </c>
      <c r="AV202" s="21">
        <f>EXP(-LN(2)/25)*AV201+(1-EXP(-LN(2)/25))/(LN(2)/25)*Calculateur!AQ202*Calculateur!AS202*VLOOKUP('Données projet'!$B$10,Paramètres!$A$1:$I$89,3,0)*0.475*44/12</f>
        <v>0.16621772601541285</v>
      </c>
      <c r="AW202" s="21">
        <f>EXP(-LN(2)/2)*AW201+(1-EXP(-LN(2)/2))/(LN(2)/2)*AQ202*AT202*VLOOKUP('Données projet'!$B$10,Paramètres!$A$1:$I$89,3,0)*0.475*44/12</f>
        <v>1.0043388221368732E-24</v>
      </c>
      <c r="AX202" s="21">
        <f t="shared" si="166"/>
        <v>0.47745516056613185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1.1368683772161603E-13</v>
      </c>
      <c r="BE202" s="13">
        <f>BD202*VLOOKUP('Données projet'!$B$11,Paramètres!$A$1:$I$89,3,0)*VLOOKUP('Données projet'!$B$11,Paramètres!$A$1:$I$89,5,0)</f>
        <v>6.7984728957526396E-14</v>
      </c>
      <c r="BF202" s="13">
        <f t="shared" si="167"/>
        <v>1.0682447123141398E-12</v>
      </c>
      <c r="BG202" s="20">
        <f t="shared" si="168"/>
        <v>1.978932943548152E-12</v>
      </c>
      <c r="BH202" s="59">
        <f t="shared" si="194"/>
        <v>293.3333333333353</v>
      </c>
      <c r="BI202" s="59">
        <f ca="1">AVERAGE(OFFSET($BH$3,0,0,'Données projet'!$E$11+1,1))-AVERAGE(OFFSET($H$3,0,0,'Données projet'!$E$11+1,1))</f>
        <v>289.66713787052475</v>
      </c>
      <c r="BJ202" s="59">
        <f t="shared" si="206"/>
        <v>298.29439200198652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0.16638168792384839</v>
      </c>
      <c r="BR202" s="21">
        <f>EXP(-LN(2)/2)*BR201+(1-EXP(-LN(2)/2))/(LN(2)/2)*BL202*BO202*VLOOKUP('Données projet'!$B$11,Paramètres!$A$1:$I$89,3,0)*0.475*44/12</f>
        <v>1.0484594373044365E-24</v>
      </c>
      <c r="BS202" s="22">
        <f t="shared" si="169"/>
        <v>0.16638168792384839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2.5420376914553347E-13</v>
      </c>
      <c r="P203" s="13">
        <f t="shared" si="203"/>
        <v>3.4258699088369875E-12</v>
      </c>
      <c r="Q203" s="20">
        <f t="shared" si="162"/>
        <v>6.4094616558195571E-12</v>
      </c>
      <c r="R203" s="59">
        <f t="shared" si="191"/>
        <v>293.33333333333974</v>
      </c>
      <c r="S203" s="59">
        <f ca="1">AVERAGE(OFFSET($R$3,0,0,'Données projet'!$E$9+1,1))-AVERAGE(OFFSET($H$3,0,0,'Données projet'!$E$9+1,1))</f>
        <v>394.9953131332565</v>
      </c>
      <c r="T203" s="59">
        <f t="shared" si="204"/>
        <v>399.58193819355591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0.35461548937017795</v>
      </c>
      <c r="AA203" s="21">
        <f>EXP(-LN(2)/25)*AA202+(1-EXP(-LN(2)/25))/(LN(2)/25)*Calculateur!V203*Calculateur!X203*VLOOKUP('Données projet'!$B$9,Paramètres!$A$1:$I$89,3,0)*0.475*44/12</f>
        <v>0.29978925880163548</v>
      </c>
      <c r="AB203" s="21">
        <f>EXP(-LN(2)/2)*AB202+(1-EXP(-LN(2)/2))/(LN(2)/2)*V203*Y203*VLOOKUP('Données projet'!$B$9,Paramètres!$A$1:$I$89,3,0)*0.475*44/12</f>
        <v>8.4604458381430112E-25</v>
      </c>
      <c r="AC203" s="22">
        <f t="shared" si="163"/>
        <v>0.65440474817181338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-1.0936673788819462E-13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364.67510777943329</v>
      </c>
      <c r="AO203" s="59">
        <f t="shared" si="205"/>
        <v>352.13878061387169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0.30513425829526974</v>
      </c>
      <c r="AV203" s="21">
        <f>EXP(-LN(2)/25)*AV202+(1-EXP(-LN(2)/25))/(LN(2)/25)*Calculateur!AQ203*Calculateur!AS203*VLOOKUP('Données projet'!$B$10,Paramètres!$A$1:$I$89,3,0)*0.475*44/12</f>
        <v>0.16167249355651106</v>
      </c>
      <c r="AW203" s="21">
        <f>EXP(-LN(2)/2)*AW202+(1-EXP(-LN(2)/2))/(LN(2)/2)*AQ203*AT203*VLOOKUP('Données projet'!$B$10,Paramètres!$A$1:$I$89,3,0)*0.475*44/12</f>
        <v>7.1017479174189286E-25</v>
      </c>
      <c r="AX203" s="21">
        <f t="shared" si="166"/>
        <v>0.46680675185178078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1.1368683772161603E-13</v>
      </c>
      <c r="BE203" s="13">
        <f>BD203*VLOOKUP('Données projet'!$B$11,Paramètres!$A$1:$I$89,3,0)*VLOOKUP('Données projet'!$B$11,Paramètres!$A$1:$I$89,5,0)</f>
        <v>6.7984728957526396E-14</v>
      </c>
      <c r="BF203" s="13">
        <f t="shared" si="167"/>
        <v>1.0682447123141398E-12</v>
      </c>
      <c r="BG203" s="20">
        <f t="shared" si="168"/>
        <v>1.978932943548152E-12</v>
      </c>
      <c r="BH203" s="59">
        <f t="shared" si="194"/>
        <v>293.3333333333353</v>
      </c>
      <c r="BI203" s="59">
        <f ca="1">AVERAGE(OFFSET($BH$3,0,0,'Données projet'!$E$11+1,1))-AVERAGE(OFFSET($H$3,0,0,'Données projet'!$E$11+1,1))</f>
        <v>289.66713787052475</v>
      </c>
      <c r="BJ203" s="59">
        <f t="shared" si="206"/>
        <v>298.29439200198652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0.16183197191793805</v>
      </c>
      <c r="BR203" s="21">
        <f>EXP(-LN(2)/2)*BR202+(1-EXP(-LN(2)/2))/(LN(2)/2)*BL203*BO203*VLOOKUP('Données projet'!$B$11,Paramètres!$A$1:$I$89,3,0)*0.475*44/12</f>
        <v>7.4137277791699894E-25</v>
      </c>
      <c r="BS203" s="22">
        <f t="shared" si="169"/>
        <v>0.16183197191793805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1.301672502447965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1.274560627319262</v>
      </c>
      <c r="BA205" s="82">
        <f>EXP(LN('Données projet'!B88)/'Données projet'!A88)</f>
        <v>1.2715047635013723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K23" sqref="K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0.81124999999999992</v>
      </c>
      <c r="C6" s="147">
        <f ca="1">IF(OR('Données projet'!B9="",'Données projet'!C9="",'Données projet'!C9=0%),0,Calculateur!S3)</f>
        <v>394.9953131332565</v>
      </c>
      <c r="D6" s="147">
        <f>IF(OR('Données projet'!B9="",'Données projet'!C9="",'Données projet'!C9=0%),0,Calculateur!T3)</f>
        <v>399.58193819355591</v>
      </c>
      <c r="E6" s="147">
        <f ca="1">MIN(C6,D6)</f>
        <v>394.9953131332565</v>
      </c>
      <c r="F6" s="147">
        <f ca="1">E6*B6</f>
        <v>320.43994777935433</v>
      </c>
      <c r="G6" s="147">
        <f ca="1">F6*(100%-'Données projet'!$C$24)*(100%-'Données projet'!$C$25)*(100%-'Données projet'!$C$26)*(100%-'Données projet'!$C$27)</f>
        <v>288.39595300141889</v>
      </c>
      <c r="H6" s="148">
        <f>IF(OR('Données projet'!B9="",'Données projet'!C9="",'Données projet'!C9=0%),0,AVERAGE(Calculateur!$AC$3:$AC$33)*B6)</f>
        <v>8.2544290588856466</v>
      </c>
      <c r="I6" s="149">
        <f>H6*(100%-'Données projet'!$C$24)*(100%-'Données projet'!$C$25)*(100%-'Données projet'!$C$26)*(100%-'Données projet'!$C$27)</f>
        <v>7.4289861529970818</v>
      </c>
      <c r="J6" s="150">
        <f>IF(OR('Données projet'!B9="",'Données projet'!C9="",'Données projet'!C9=0%),0,SUM(Calculateur!$V$3:$V$33)*VLOOKUP('Données projet'!$B$9,Paramètres!$A$1:$I$89,9,0)*B6)</f>
        <v>73.255874999999989</v>
      </c>
      <c r="K6" s="151">
        <f>J6*(100%-'Données projet'!$C$24)*(100%-'Données projet'!$C$25)*(100%-'Données projet'!$C$26)*(100%-'Données projet'!$C$27)</f>
        <v>65.930287499999991</v>
      </c>
      <c r="L6" s="152">
        <f ca="1">G6+I6+K6</f>
        <v>361.75522665441599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Sapin méditerranéen</v>
      </c>
      <c r="B7" s="154">
        <f>'Données projet'!D10</f>
        <v>1.0175000000000001</v>
      </c>
      <c r="C7" s="147">
        <f ca="1">IF(OR('Données projet'!B10="",'Données projet'!C10="",'Données projet'!C10=0%),0,Calculateur!AN3)</f>
        <v>364.67510777943329</v>
      </c>
      <c r="D7" s="147">
        <f>IF(OR('Données projet'!B10="",'Données projet'!C10="",'Données projet'!C10=0%),0,Calculateur!AO3)</f>
        <v>352.13878061387169</v>
      </c>
      <c r="E7" s="147">
        <f t="shared" ref="E7:E15" ca="1" si="0">MIN(C7,D7)</f>
        <v>352.13878061387169</v>
      </c>
      <c r="F7" s="147">
        <f t="shared" ref="F7:F15" ca="1" si="1">E7*B7</f>
        <v>358.30120927461445</v>
      </c>
      <c r="G7" s="147">
        <f ca="1">F7*(100%-'Données projet'!$C$24)*(100%-'Données projet'!$C$25)*(100%-'Données projet'!$C$26)*(100%-'Données projet'!$C$27)</f>
        <v>322.471088347153</v>
      </c>
      <c r="H7" s="155">
        <f>IF(OR('Données projet'!B10="",'Données projet'!C10="",'Données projet'!C10=0%),0,AVERAGE(Calculateur!$AX$3:$AX$33)*B7)</f>
        <v>2.0244163707623284</v>
      </c>
      <c r="I7" s="149">
        <f>H7*(100%-'Données projet'!$C$24)*(100%-'Données projet'!$C$25)*(100%-'Données projet'!$C$26)*(100%-'Données projet'!$C$27)</f>
        <v>1.8219747336860956</v>
      </c>
      <c r="J7" s="150">
        <f>IF(OR('Données projet'!B10="",'Données projet'!C10="",'Données projet'!C10=0%),0,SUM(Calculateur!$AQ$3:$AQ$33)*VLOOKUP('Données projet'!$B$10,Paramètres!$A$1:$I$89,9,0)*B7)</f>
        <v>56.440725</v>
      </c>
      <c r="K7" s="151">
        <f>J7*(100%-'Données projet'!$C$24)*(100%-'Données projet'!$C$25)*(100%-'Données projet'!$C$26)*(100%-'Données projet'!$C$27)</f>
        <v>50.7966525</v>
      </c>
      <c r="L7" s="152">
        <f t="shared" ref="L7:L15" ca="1" si="2">G7+I7+K7</f>
        <v>375.08971558083908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laricio</v>
      </c>
      <c r="B8" s="154">
        <f>'Données projet'!D11</f>
        <v>0.90750000000000008</v>
      </c>
      <c r="C8" s="147">
        <f ca="1">IF(OR('Données projet'!B11="",'Données projet'!C11="",'Données projet'!C11=0%),0,Calculateur!BI3)</f>
        <v>289.66713787052475</v>
      </c>
      <c r="D8" s="147">
        <f>IF(OR('Données projet'!B11="",'Données projet'!C11="",'Données projet'!C11=0%),0,Calculateur!BJ3)</f>
        <v>298.29439200198652</v>
      </c>
      <c r="E8" s="147">
        <f t="shared" ca="1" si="0"/>
        <v>289.66713787052475</v>
      </c>
      <c r="F8" s="147">
        <f t="shared" ca="1" si="1"/>
        <v>262.87292761750126</v>
      </c>
      <c r="G8" s="147">
        <f ca="1">F8*(100%-'Données projet'!$C$24)*(100%-'Données projet'!$C$25)*(100%-'Données projet'!$C$26)*(100%-'Données projet'!$C$27)</f>
        <v>236.58563485575115</v>
      </c>
      <c r="H8" s="155">
        <f>IF(OR('Données projet'!B11="",'Données projet'!C11="",'Données projet'!C11=0%),0,AVERAGE(Calculateur!$BS$3:$BS$33)*B8)</f>
        <v>3.1814050847436368</v>
      </c>
      <c r="I8" s="149">
        <f>H8*(100%-'Données projet'!$C$24)*(100%-'Données projet'!$C$25)*(100%-'Données projet'!$C$26)*(100%-'Données projet'!$C$27)</f>
        <v>2.8632645762692732</v>
      </c>
      <c r="J8" s="150">
        <f>IF(OR('Données projet'!B11="",'Données projet'!C11="",'Données projet'!C11=0%),0,SUM(Calculateur!$BL$3:$BL$33)*VLOOKUP('Données projet'!$B$11,Paramètres!$A$1:$I$89,9,0)*B8)</f>
        <v>41.754075</v>
      </c>
      <c r="K8" s="151">
        <f>J8*(100%-'Données projet'!$C$24)*(100%-'Données projet'!$C$25)*(100%-'Données projet'!$C$26)*(100%-'Données projet'!$C$27)</f>
        <v>37.578667500000002</v>
      </c>
      <c r="L8" s="152">
        <f t="shared" ca="1" si="2"/>
        <v>277.02756693202042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941.61408467146998</v>
      </c>
      <c r="G16" s="166">
        <f t="shared" ca="1" si="3"/>
        <v>847.4526762043231</v>
      </c>
      <c r="H16" s="167">
        <f t="shared" si="3"/>
        <v>13.46025051439161</v>
      </c>
      <c r="I16" s="167">
        <f t="shared" si="3"/>
        <v>12.114225462952451</v>
      </c>
      <c r="J16" s="168">
        <f t="shared" si="3"/>
        <v>171.45067499999999</v>
      </c>
      <c r="K16" s="168">
        <f t="shared" si="3"/>
        <v>154.30560749999998</v>
      </c>
      <c r="L16" s="169">
        <f t="shared" ca="1" si="3"/>
        <v>1013.8725091672754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Sapin méditerranéen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4" zoomScale="80" zoomScaleNormal="80" workbookViewId="0">
      <selection activeCell="C62" sqref="C6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3174.7023501302028</v>
      </c>
      <c r="U10" s="178">
        <f>'Données projet'!D9</f>
        <v>0.81124999999999992</v>
      </c>
      <c r="V10" s="177">
        <f>U10*T10</f>
        <v>2575.477281543127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Sapin méditerranéen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195.82738456665174</v>
      </c>
      <c r="U11" s="178">
        <f>'Données projet'!D10</f>
        <v>1.0175000000000001</v>
      </c>
      <c r="V11" s="177">
        <f t="shared" ref="V11" si="0">U11*T11</f>
        <v>199.25436379656816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97.639979819206019</v>
      </c>
      <c r="U12" s="178">
        <f>'Données projet'!D11</f>
        <v>0.90750000000000008</v>
      </c>
      <c r="V12" s="177">
        <f t="shared" ref="V12:V19" si="1">U12*T12</f>
        <v>88.60828168592947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2314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79.999999999999929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3199.9999999999973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2330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84</v>
      </c>
      <c r="C23" s="193">
        <v>12</v>
      </c>
      <c r="D23" s="182">
        <f>B23*C23</f>
        <v>1008</v>
      </c>
      <c r="E23" s="193"/>
      <c r="F23" s="230"/>
      <c r="H23" s="190">
        <v>5</v>
      </c>
      <c r="I23" s="191">
        <v>600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-7893.041064812156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126</v>
      </c>
      <c r="C24" s="193">
        <v>35</v>
      </c>
      <c r="D24" s="182">
        <f t="shared" ref="D24:D42" si="2">B24*C24</f>
        <v>4410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260.123408666915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126</v>
      </c>
      <c r="C25" s="193">
        <v>45</v>
      </c>
      <c r="D25" s="182">
        <f t="shared" si="2"/>
        <v>5670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-8153.1644734790707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119</v>
      </c>
      <c r="C26" s="193">
        <v>50</v>
      </c>
      <c r="D26" s="182">
        <f t="shared" si="2"/>
        <v>5950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90</v>
      </c>
      <c r="C27" s="193">
        <v>55</v>
      </c>
      <c r="D27" s="182">
        <f t="shared" si="2"/>
        <v>4950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75</v>
      </c>
      <c r="C28" s="193">
        <v>60</v>
      </c>
      <c r="D28" s="182">
        <f t="shared" si="2"/>
        <v>4500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719</v>
      </c>
      <c r="C29" s="193">
        <v>80</v>
      </c>
      <c r="D29" s="182">
        <f t="shared" si="2"/>
        <v>57520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Sapin méditerranéen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2600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3</v>
      </c>
      <c r="C54" s="191">
        <v>5</v>
      </c>
      <c r="D54" s="179">
        <f>B54*C54</f>
        <v>15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126</v>
      </c>
      <c r="C55" s="191">
        <v>5</v>
      </c>
      <c r="D55" s="179">
        <f t="shared" ref="D55:D73" si="4">B55*C55</f>
        <v>630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126</v>
      </c>
      <c r="C56" s="191">
        <v>8</v>
      </c>
      <c r="D56" s="179">
        <f t="shared" si="4"/>
        <v>1008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126</v>
      </c>
      <c r="C57" s="191">
        <v>15</v>
      </c>
      <c r="D57" s="179">
        <f t="shared" si="4"/>
        <v>1890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107</v>
      </c>
      <c r="C58" s="191">
        <v>30</v>
      </c>
      <c r="D58" s="179">
        <f t="shared" si="4"/>
        <v>3210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98</v>
      </c>
      <c r="C59" s="191">
        <v>50</v>
      </c>
      <c r="D59" s="179">
        <f t="shared" si="4"/>
        <v>4900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826</v>
      </c>
      <c r="C60" s="191">
        <v>80</v>
      </c>
      <c r="D60" s="179">
        <f t="shared" si="4"/>
        <v>66080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2236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23</v>
      </c>
      <c r="C85" s="191">
        <v>10</v>
      </c>
      <c r="D85" s="179">
        <f>B85*C85</f>
        <v>230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84</v>
      </c>
      <c r="C86" s="191">
        <v>15</v>
      </c>
      <c r="D86" s="179">
        <f t="shared" ref="D86:D104" si="6">B86*C86</f>
        <v>1260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84</v>
      </c>
      <c r="C87" s="191">
        <v>25</v>
      </c>
      <c r="D87" s="179">
        <f t="shared" si="6"/>
        <v>2100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82</v>
      </c>
      <c r="C88" s="191">
        <v>35</v>
      </c>
      <c r="D88" s="179">
        <f t="shared" si="6"/>
        <v>2870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64</v>
      </c>
      <c r="C89" s="191">
        <v>40</v>
      </c>
      <c r="D89" s="179">
        <f t="shared" si="6"/>
        <v>2560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50</v>
      </c>
      <c r="C90" s="191">
        <v>50</v>
      </c>
      <c r="D90" s="179">
        <f t="shared" si="6"/>
        <v>2500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522</v>
      </c>
      <c r="C91" s="191">
        <v>60</v>
      </c>
      <c r="D91" s="179">
        <f t="shared" si="6"/>
        <v>31320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Florent CORNIAUX</cp:lastModifiedBy>
  <dcterms:created xsi:type="dcterms:W3CDTF">2021-02-01T08:22:39Z</dcterms:created>
  <dcterms:modified xsi:type="dcterms:W3CDTF">2024-07-05T12:20:07Z</dcterms:modified>
</cp:coreProperties>
</file>