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DossiersLBC/SUD EST (HB)/2TOUR-123/"/>
    </mc:Choice>
  </mc:AlternateContent>
  <xr:revisionPtr revIDLastSave="51" documentId="8_{1887EF8D-920D-47DD-8C3A-3ADE3C44A8B7}" xr6:coauthVersionLast="47" xr6:coauthVersionMax="47" xr10:uidLastSave="{A15B1BF5-9BCA-4D39-A919-009B0B1DBA68}"/>
  <bookViews>
    <workbookView minimized="1" xWindow="3240" yWindow="-13290" windowWidth="17250" windowHeight="994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="1" iterateCount="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6" l="1"/>
  <c r="I21" i="6"/>
  <c r="I20" i="6"/>
  <c r="E50" i="6"/>
  <c r="E1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62" i="2" l="1" a="1"/>
  <c r="AH62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<sst xmlns="http://schemas.openxmlformats.org/spreadsheetml/2006/main" count="1174" uniqueCount="327">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</sst>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427F140E-8E59-4B48-AF61-6FB1146CE0F5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2.6358219284503748</c:v>
                </c:pt>
                <c:pt idx="2">
                  <c:v>3.3407802804799442</c:v>
                </c:pt>
                <c:pt idx="3">
                  <c:v>4.2350219291255007</c:v>
                </c:pt>
                <c:pt idx="4">
                  <c:v>5.3695572305815107</c:v>
                </c:pt>
                <c:pt idx="5">
                  <c:v>6.8091906246186555</c:v>
                </c:pt>
                <c:pt idx="6">
                  <c:v>8.6362626443738666</c:v>
                </c:pt>
                <c:pt idx="7">
                  <c:v>10.955410010785373</c:v>
                </c:pt>
                <c:pt idx="8">
                  <c:v>13.899621540652397</c:v>
                </c:pt>
                <c:pt idx="9">
                  <c:v>17.637943544532806</c:v>
                </c:pt>
                <c:pt idx="10">
                  <c:v>22.385285151953138</c:v>
                </c:pt>
                <c:pt idx="11">
                  <c:v>28.414897292262125</c:v>
                </c:pt>
                <c:pt idx="12">
                  <c:v>36.074256167773257</c:v>
                </c:pt>
                <c:pt idx="13">
                  <c:v>45.805282274976577</c:v>
                </c:pt>
                <c:pt idx="14">
                  <c:v>58.170081211163478</c:v>
                </c:pt>
                <c:pt idx="15">
                  <c:v>73.883717762935518</c:v>
                </c:pt>
                <c:pt idx="16">
                  <c:v>85.717976445344206</c:v>
                </c:pt>
                <c:pt idx="17">
                  <c:v>102.8595313521908</c:v>
                </c:pt>
                <c:pt idx="18">
                  <c:v>119.9302774112839</c:v>
                </c:pt>
                <c:pt idx="19">
                  <c:v>136.94173921341994</c:v>
                </c:pt>
                <c:pt idx="20">
                  <c:v>153.90233005028915</c:v>
                </c:pt>
                <c:pt idx="21">
                  <c:v>128.44283600598467</c:v>
                </c:pt>
                <c:pt idx="22">
                  <c:v>147.19440041072556</c:v>
                </c:pt>
                <c:pt idx="23">
                  <c:v>165.88885903505457</c:v>
                </c:pt>
                <c:pt idx="24">
                  <c:v>184.5335587844996</c:v>
                </c:pt>
                <c:pt idx="25">
                  <c:v>203.13423715529458</c:v>
                </c:pt>
                <c:pt idx="26">
                  <c:v>175.92057051227536</c:v>
                </c:pt>
                <c:pt idx="27">
                  <c:v>196.11997175537036</c:v>
                </c:pt>
                <c:pt idx="28">
                  <c:v>216.27104494240783</c:v>
                </c:pt>
                <c:pt idx="29">
                  <c:v>236.37892704001885</c:v>
                </c:pt>
                <c:pt idx="30">
                  <c:v>256.44780875667226</c:v>
                </c:pt>
                <c:pt idx="31">
                  <c:v>276.4811708949199</c:v>
                </c:pt>
                <c:pt idx="32">
                  <c:v>233.75845318467341</c:v>
                </c:pt>
                <c:pt idx="33">
                  <c:v>253.8322112206821</c:v>
                </c:pt>
                <c:pt idx="34">
                  <c:v>273.87002957132694</c:v>
                </c:pt>
                <c:pt idx="35">
                  <c:v>293.87490695294508</c:v>
                </c:pt>
                <c:pt idx="36">
                  <c:v>313.84940040812484</c:v>
                </c:pt>
                <c:pt idx="37">
                  <c:v>333.79571492319081</c:v>
                </c:pt>
                <c:pt idx="38">
                  <c:v>290.64642518676169</c:v>
                </c:pt>
                <c:pt idx="39">
                  <c:v>310.005634252378</c:v>
                </c:pt>
                <c:pt idx="40">
                  <c:v>329.33801275966857</c:v>
                </c:pt>
                <c:pt idx="41">
                  <c:v>348.64535664092614</c:v>
                </c:pt>
                <c:pt idx="42">
                  <c:v>367.92924671972077</c:v>
                </c:pt>
                <c:pt idx="43">
                  <c:v>387.19108463358799</c:v>
                </c:pt>
                <c:pt idx="44">
                  <c:v>406.43212123270081</c:v>
                </c:pt>
                <c:pt idx="45">
                  <c:v>350.0367887774446</c:v>
                </c:pt>
                <c:pt idx="46">
                  <c:v>367.99101790074377</c:v>
                </c:pt>
                <c:pt idx="47">
                  <c:v>385.92613449835773</c:v>
                </c:pt>
                <c:pt idx="48">
                  <c:v>403.84315144097849</c:v>
                </c:pt>
                <c:pt idx="49">
                  <c:v>421.7429844216399</c:v>
                </c:pt>
                <c:pt idx="50">
                  <c:v>439.62646509306956</c:v>
                </c:pt>
                <c:pt idx="51">
                  <c:v>457.49435195604104</c:v>
                </c:pt>
                <c:pt idx="52">
                  <c:v>475.34733945827844</c:v>
                </c:pt>
                <c:pt idx="53">
                  <c:v>408.80503035744977</c:v>
                </c:pt>
                <c:pt idx="54">
                  <c:v>424.97612632602926</c:v>
                </c:pt>
                <c:pt idx="55">
                  <c:v>441.13398732603906</c:v>
                </c:pt>
                <c:pt idx="56">
                  <c:v>457.27916621968069</c:v>
                </c:pt>
                <c:pt idx="57">
                  <c:v>473.41217365831932</c:v>
                </c:pt>
                <c:pt idx="58">
                  <c:v>489.53348266366947</c:v>
                </c:pt>
                <c:pt idx="59">
                  <c:v>505.6435325742238</c:v>
                </c:pt>
                <c:pt idx="60">
                  <c:v>521.74273246270184</c:v>
                </c:pt>
                <c:pt idx="61">
                  <c:v>455.84453930443095</c:v>
                </c:pt>
                <c:pt idx="62">
                  <c:v>470.76000609173252</c:v>
                </c:pt>
                <c:pt idx="63">
                  <c:v>485.66541136738391</c:v>
                </c:pt>
                <c:pt idx="64">
                  <c:v>500.5611073217562</c:v>
                </c:pt>
                <c:pt idx="65">
                  <c:v>515.44742348183297</c:v>
                </c:pt>
                <c:pt idx="66">
                  <c:v>530.32466879559684</c:v>
                </c:pt>
                <c:pt idx="67">
                  <c:v>545.19313347042976</c:v>
                </c:pt>
                <c:pt idx="68">
                  <c:v>560.05309060059756</c:v>
                </c:pt>
                <c:pt idx="69">
                  <c:v>574.90479761309109</c:v>
                </c:pt>
                <c:pt idx="70">
                  <c:v>1.4005661123635408E-12</c:v>
                </c:pt>
                <c:pt idx="71">
                  <c:v>1.4005661123635408E-12</c:v>
                </c:pt>
                <c:pt idx="72">
                  <c:v>1.4005661123635408E-12</c:v>
                </c:pt>
                <c:pt idx="73">
                  <c:v>1.4005661123635408E-12</c:v>
                </c:pt>
                <c:pt idx="74">
                  <c:v>1.4005661123635408E-12</c:v>
                </c:pt>
                <c:pt idx="75">
                  <c:v>1.4005661123635408E-12</c:v>
                </c:pt>
                <c:pt idx="76">
                  <c:v>1.4005661123635408E-12</c:v>
                </c:pt>
                <c:pt idx="77">
                  <c:v>1.4005661123635408E-12</c:v>
                </c:pt>
                <c:pt idx="78">
                  <c:v>1.4005661123635408E-12</c:v>
                </c:pt>
                <c:pt idx="79">
                  <c:v>1.4005661123635408E-12</c:v>
                </c:pt>
                <c:pt idx="80">
                  <c:v>1.4005661123635408E-12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373.74425409046029</c:v>
                </c:pt>
                <c:pt idx="47">
                  <c:v>390.49424676672498</c:v>
                </c:pt>
                <c:pt idx="48">
                  <c:v>407.22865549260922</c:v>
                </c:pt>
                <c:pt idx="49">
                  <c:v>423.9482106076091</c:v>
                </c:pt>
                <c:pt idx="50">
                  <c:v>440.65358016358823</c:v>
                </c:pt>
                <c:pt idx="51">
                  <c:v>393.47036990588714</c:v>
                </c:pt>
                <c:pt idx="52">
                  <c:v>407.60035995338382</c:v>
                </c:pt>
                <c:pt idx="53">
                  <c:v>421.71977019610949</c:v>
                </c:pt>
                <c:pt idx="54">
                  <c:v>435.82900470393241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5" zoomScale="80" zoomScaleNormal="80" workbookViewId="0">
      <selection activeCell="E11" sqref="E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3.9230999999999998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30</v>
      </c>
      <c r="C9" s="32">
        <v>0.79</v>
      </c>
      <c r="D9" s="33">
        <f t="shared" ref="D9:D18" si="0">C9*$C$5</f>
        <v>3.0992489999999999</v>
      </c>
      <c r="E9" s="34">
        <v>69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0.21</v>
      </c>
      <c r="D10" s="33">
        <f t="shared" si="0"/>
        <v>0.82385099999999989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3.9230999999999998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Noyer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40</v>
      </c>
      <c r="C36" s="60">
        <v>1</v>
      </c>
      <c r="D36" s="60">
        <v>3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2.6666666666666665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85</v>
      </c>
      <c r="C37" s="60">
        <v>2</v>
      </c>
      <c r="D37" s="60">
        <v>25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9.6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113</v>
      </c>
      <c r="C38" s="60">
        <v>3</v>
      </c>
      <c r="D38" s="60">
        <v>27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10.6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31</v>
      </c>
      <c r="B39" s="60">
        <v>155</v>
      </c>
      <c r="C39" s="60">
        <v>4</v>
      </c>
      <c r="D39" s="60">
        <v>36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37</v>
      </c>
      <c r="B40" s="60">
        <v>188</v>
      </c>
      <c r="C40" s="60">
        <v>5</v>
      </c>
      <c r="D40" s="60">
        <v>36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11.5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44</v>
      </c>
      <c r="B41" s="60">
        <v>230</v>
      </c>
      <c r="C41" s="60">
        <v>6</v>
      </c>
      <c r="D41" s="60">
        <v>43</v>
      </c>
      <c r="E41" s="51">
        <v>0.3</v>
      </c>
      <c r="F41" s="51">
        <v>0</v>
      </c>
      <c r="G41" s="51">
        <v>0</v>
      </c>
      <c r="H41" s="51">
        <v>0.7</v>
      </c>
      <c r="I41" s="53">
        <f t="shared" si="1"/>
        <v>11.142857142857142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52</v>
      </c>
      <c r="B42" s="60">
        <v>270</v>
      </c>
      <c r="C42" s="60">
        <v>7</v>
      </c>
      <c r="D42" s="60">
        <v>48</v>
      </c>
      <c r="E42" s="51">
        <v>0.3</v>
      </c>
      <c r="F42" s="51">
        <v>0</v>
      </c>
      <c r="G42" s="51">
        <v>0</v>
      </c>
      <c r="H42" s="51">
        <v>0.7</v>
      </c>
      <c r="I42" s="53">
        <f t="shared" si="1"/>
        <v>10.375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60</v>
      </c>
      <c r="B43" s="60">
        <v>297</v>
      </c>
      <c r="C43" s="60">
        <v>8</v>
      </c>
      <c r="D43" s="60">
        <v>47</v>
      </c>
      <c r="E43" s="51">
        <v>0.3</v>
      </c>
      <c r="F43" s="51">
        <v>0</v>
      </c>
      <c r="G43" s="51">
        <v>0</v>
      </c>
      <c r="H43" s="51">
        <v>0.7</v>
      </c>
      <c r="I43" s="49">
        <f t="shared" si="1"/>
        <v>9.375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69</v>
      </c>
      <c r="B44" s="60">
        <v>328</v>
      </c>
      <c r="C44" s="60">
        <v>9</v>
      </c>
      <c r="D44" s="60">
        <v>328</v>
      </c>
      <c r="E44" s="51">
        <v>0.6</v>
      </c>
      <c r="F44" s="51">
        <v>0</v>
      </c>
      <c r="G44" s="51">
        <v>0</v>
      </c>
      <c r="H44" s="51">
        <v>0.4</v>
      </c>
      <c r="I44" s="49">
        <f t="shared" si="1"/>
        <v>8.6666666666666661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87</v>
      </c>
      <c r="C62" s="60">
        <v>1</v>
      </c>
      <c r="D62" s="60">
        <v>21</v>
      </c>
      <c r="E62" s="51">
        <v>0</v>
      </c>
      <c r="F62" s="51">
        <v>0.5</v>
      </c>
      <c r="G62" s="51">
        <v>0</v>
      </c>
      <c r="H62" s="51">
        <v>0.5</v>
      </c>
      <c r="I62" s="53">
        <f>IFERROR(B62/A62,"")</f>
        <v>5.8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137</v>
      </c>
      <c r="C63" s="60">
        <v>2</v>
      </c>
      <c r="D63" s="60">
        <v>43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163</v>
      </c>
      <c r="C64" s="60">
        <v>3</v>
      </c>
      <c r="D64" s="60">
        <v>44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13.8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184</v>
      </c>
      <c r="C65" s="60">
        <v>4</v>
      </c>
      <c r="D65" s="60">
        <v>44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201</v>
      </c>
      <c r="C66" s="60">
        <v>5</v>
      </c>
      <c r="D66" s="60">
        <v>42</v>
      </c>
      <c r="E66" s="51">
        <v>0.6</v>
      </c>
      <c r="F66" s="51">
        <v>0.2</v>
      </c>
      <c r="G66" s="51">
        <v>0</v>
      </c>
      <c r="H66" s="51">
        <v>0.2</v>
      </c>
      <c r="I66" s="49">
        <f t="shared" ref="I66:I81" si="2">IF(A66&lt;&gt;0,(B66-(B65-D65))/(A66-A65),"")</f>
        <v>12.2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213</v>
      </c>
      <c r="C67" s="60">
        <v>6</v>
      </c>
      <c r="D67" s="60">
        <v>39</v>
      </c>
      <c r="E67" s="51">
        <v>0.6</v>
      </c>
      <c r="F67" s="51">
        <v>0.2</v>
      </c>
      <c r="G67" s="51">
        <v>0</v>
      </c>
      <c r="H67" s="51">
        <v>0.2</v>
      </c>
      <c r="I67" s="49">
        <f t="shared" si="2"/>
        <v>10.8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223</v>
      </c>
      <c r="C68" s="60">
        <v>7</v>
      </c>
      <c r="D68" s="60">
        <v>36</v>
      </c>
      <c r="E68" s="51">
        <v>0.6</v>
      </c>
      <c r="F68" s="51">
        <v>0.3</v>
      </c>
      <c r="G68" s="51">
        <v>0</v>
      </c>
      <c r="H68" s="51">
        <v>0.1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232</v>
      </c>
      <c r="C69" s="50">
        <v>8</v>
      </c>
      <c r="D69" s="50">
        <v>33</v>
      </c>
      <c r="E69" s="51">
        <v>0.6</v>
      </c>
      <c r="F69" s="51">
        <v>0.3</v>
      </c>
      <c r="G69" s="51">
        <v>0</v>
      </c>
      <c r="H69" s="51">
        <v>0.1</v>
      </c>
      <c r="I69" s="49">
        <f t="shared" si="2"/>
        <v>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237</v>
      </c>
      <c r="C70" s="50">
        <v>9</v>
      </c>
      <c r="D70" s="50">
        <v>29</v>
      </c>
      <c r="E70" s="51">
        <v>0.6</v>
      </c>
      <c r="F70" s="51">
        <v>0.3</v>
      </c>
      <c r="G70" s="51">
        <v>0</v>
      </c>
      <c r="H70" s="51">
        <v>0.1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60</v>
      </c>
      <c r="B71" s="50">
        <v>242</v>
      </c>
      <c r="C71" s="50">
        <v>10</v>
      </c>
      <c r="D71" s="50">
        <v>26</v>
      </c>
      <c r="E71" s="51">
        <v>0.6</v>
      </c>
      <c r="F71" s="51">
        <v>0.3</v>
      </c>
      <c r="G71" s="51">
        <v>0</v>
      </c>
      <c r="H71" s="51">
        <v>0.1</v>
      </c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65</v>
      </c>
      <c r="B72" s="50">
        <v>246</v>
      </c>
      <c r="C72" s="50">
        <v>11</v>
      </c>
      <c r="D72" s="50">
        <v>23</v>
      </c>
      <c r="E72" s="51">
        <v>0.6</v>
      </c>
      <c r="F72" s="51">
        <v>0.3</v>
      </c>
      <c r="G72" s="51">
        <v>0</v>
      </c>
      <c r="H72" s="51">
        <v>0.1</v>
      </c>
      <c r="I72" s="49">
        <f t="shared" si="2"/>
        <v>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70</v>
      </c>
      <c r="B73" s="50">
        <v>249</v>
      </c>
      <c r="C73" s="50">
        <v>12</v>
      </c>
      <c r="D73" s="50">
        <v>249</v>
      </c>
      <c r="E73" s="51">
        <v>0.6</v>
      </c>
      <c r="F73" s="51">
        <v>0.3</v>
      </c>
      <c r="G73" s="51">
        <v>0</v>
      </c>
      <c r="H73" s="51">
        <v>0.1</v>
      </c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2" sqref="F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Noyer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298.98869919374232</v>
      </c>
      <c r="T3" s="59">
        <f>IF('Données projet'!E9&gt;30,$R$33-$H$33,LOOKUP('Données projet'!$E$9,$A$3:$A$203,R3:R203)-LOOKUP('Données projet'!$E$9,$A$3:$A$203,$H$3:$H$203))</f>
        <v>293.11447542333889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321.36684354830828</v>
      </c>
      <c r="AO3" s="59">
        <f>IF('Données projet'!E10&gt;30,$AM$33-$H$33,LOOKUP('Données projet'!$E$10,$A$3:$A$203,AM3:AM203)-LOOKUP('Données projet'!$E$10,$A$3:$A$203,$H$3:$H$203))</f>
        <v>388.05195847800502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2.6666666666666665</v>
      </c>
      <c r="N4" s="13">
        <f>IF('Données projet'!$A$36&gt;35,N3+M4-V3,IF(A4&lt;'Données projet'!$A$36,$K$205^A4,IF(A4='Données projet'!$A$36,'Données projet'!$B$36,N3+M4-V3)))</f>
        <v>1.2788040393997409</v>
      </c>
      <c r="O4" s="13">
        <f>N4*VLOOKUP('Données projet'!$B$9,Paramètres!$A$1:$I$89,3,0)*VLOOKUP('Données projet'!$B$9,Paramètres!$A$1:$I$89,5,0)</f>
        <v>1.0373658367610699</v>
      </c>
      <c r="P4" s="13">
        <f>EXP(-1.0587+0.8836*LN(O4)+0.284)</f>
        <v>0.47602474416737472</v>
      </c>
      <c r="Q4" s="20">
        <f t="shared" ref="Q4:Q34" si="2">(O4+P4)*0.475*44/12</f>
        <v>2.6358219284503748</v>
      </c>
      <c r="R4" s="59">
        <f t="shared" si="0"/>
        <v>260.52471081733921</v>
      </c>
      <c r="S4" s="59">
        <f ca="1">AVERAGE(OFFSET($R$3,0,0,'Données projet'!$E$9+1,1))-AVERAGE(OFFSET($H$3,0,0,'Données projet'!$E$9+1,1))</f>
        <v>298.98869919374232</v>
      </c>
      <c r="T4" s="59">
        <f>$T$3</f>
        <v>293.11447542333889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</v>
      </c>
      <c r="AI4" s="13">
        <f>IF('Données projet'!$A$62&gt;35,AI3+AH4-AQ3,IF(A4&lt;'Données projet'!$A$62,$AF$205^A4,IF(A4='Données projet'!$A$62,'Données projet'!$B$62,AI3+AH4-AQ3)))</f>
        <v>1.3467943429205997</v>
      </c>
      <c r="AJ4" s="13">
        <f>AI4*VLOOKUP('Données projet'!$B$10,Paramètres!$A$1:$I$89,3,0)*VLOOKUP('Données projet'!$B$10,Paramètres!$A$1:$I$89,5,0)</f>
        <v>1.1765595379754361</v>
      </c>
      <c r="AK4" s="13">
        <f>EXP(-1.0587+0.8836*LN(AJ4)+0.284)</f>
        <v>0.53204273185561757</v>
      </c>
      <c r="AL4" s="20">
        <f t="shared" ref="AL4:AL67" si="4">(AJ4+AK4)*0.475*44/12</f>
        <v>2.9758156199557515</v>
      </c>
      <c r="AM4" s="59">
        <f t="shared" ref="AM4:AM67" si="5">AL4+(AD4+AE4)*44/12</f>
        <v>260.86470450884462</v>
      </c>
      <c r="AN4" s="59">
        <f ca="1">AVERAGE(OFFSET($AM$3,0,0,'Données projet'!$E$10+1,1))-AVERAGE(OFFSET($H$3,0,0,'Données projet'!$E$10+1,1))</f>
        <v>321.36684354830828</v>
      </c>
      <c r="AO4" s="59">
        <f>$AO$3</f>
        <v>388.05195847800502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2.6666666666666665</v>
      </c>
      <c r="N5" s="13">
        <f>IF('Données projet'!$A$36&gt;35,N4+M5-V4,IF(A5&lt;'Données projet'!$A$36,$K$205^A5,IF(A5='Données projet'!$A$36,'Données projet'!$B$36,N4+M5-V4)))</f>
        <v>1.6353397711850939</v>
      </c>
      <c r="O5" s="13">
        <f>N5*VLOOKUP('Données projet'!$B$9,Paramètres!$A$1:$I$89,3,0)*VLOOKUP('Données projet'!$B$9,Paramètres!$A$1:$I$89,5,0)</f>
        <v>1.3265876223853483</v>
      </c>
      <c r="P5" s="13">
        <f t="shared" ref="P5:P68" si="33">EXP(-1.0587+0.8836*LN(O5)+0.284)</f>
        <v>0.59156373482801727</v>
      </c>
      <c r="Q5" s="20">
        <f t="shared" si="2"/>
        <v>3.3407802804799442</v>
      </c>
      <c r="R5" s="59">
        <f t="shared" si="0"/>
        <v>262.45189139159106</v>
      </c>
      <c r="S5" s="59">
        <f ca="1">AVERAGE(OFFSET($R$3,0,0,'Données projet'!$E$9+1,1))-AVERAGE(OFFSET($H$3,0,0,'Données projet'!$E$9+1,1))</f>
        <v>298.98869919374232</v>
      </c>
      <c r="T5" s="59">
        <f t="shared" ref="T5:T68" si="34">$T$3</f>
        <v>293.11447542333889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</v>
      </c>
      <c r="AI5" s="13">
        <f>IF('Données projet'!$A$62&gt;35,AI4+AH5-AQ4,IF(A5&lt;'Données projet'!$A$62,$AF$205^A5,IF(A5='Données projet'!$A$62,'Données projet'!$B$62,AI4+AH5-AQ4)))</f>
        <v>1.81385500212293</v>
      </c>
      <c r="AJ5" s="13">
        <f>AI5*VLOOKUP('Données projet'!$B$10,Paramètres!$A$1:$I$89,3,0)*VLOOKUP('Données projet'!$B$10,Paramètres!$A$1:$I$89,5,0)</f>
        <v>1.5845837298545919</v>
      </c>
      <c r="AK5" s="13">
        <f t="shared" ref="AK5:AK68" si="35">EXP(-1.0587+0.8836*LN(AJ5)+0.284)</f>
        <v>0.69214506839939893</v>
      </c>
      <c r="AL5" s="20">
        <f t="shared" si="4"/>
        <v>3.9653026569590337</v>
      </c>
      <c r="AM5" s="59">
        <f t="shared" si="5"/>
        <v>263.07641376807015</v>
      </c>
      <c r="AN5" s="59">
        <f ca="1">AVERAGE(OFFSET($AM$3,0,0,'Données projet'!$E$10+1,1))-AVERAGE(OFFSET($H$3,0,0,'Données projet'!$E$10+1,1))</f>
        <v>321.36684354830828</v>
      </c>
      <c r="AO5" s="59">
        <f t="shared" ref="AO5:AO68" si="36">$AO$3</f>
        <v>388.05195847800502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2.6666666666666665</v>
      </c>
      <c r="N6" s="13">
        <f>IF('Données projet'!$A$36&gt;35,N5+M6-V5,IF(A6&lt;'Données projet'!$A$36,$K$205^A6,IF(A6='Données projet'!$A$36,'Données projet'!$B$36,N5+M6-V5)))</f>
        <v>2.0912791051825459</v>
      </c>
      <c r="O6" s="13">
        <f>N6*VLOOKUP('Données projet'!$B$9,Paramètres!$A$1:$I$89,3,0)*VLOOKUP('Données projet'!$B$9,Paramètres!$A$1:$I$89,5,0)</f>
        <v>1.6964456101240815</v>
      </c>
      <c r="P6" s="13">
        <f t="shared" si="33"/>
        <v>0.73514592812979451</v>
      </c>
      <c r="Q6" s="20">
        <f t="shared" si="2"/>
        <v>4.2350219291255007</v>
      </c>
      <c r="R6" s="59">
        <f t="shared" si="0"/>
        <v>264.56835526245879</v>
      </c>
      <c r="S6" s="59">
        <f ca="1">AVERAGE(OFFSET($R$3,0,0,'Données projet'!$E$9+1,1))-AVERAGE(OFFSET($H$3,0,0,'Données projet'!$E$9+1,1))</f>
        <v>298.98869919374232</v>
      </c>
      <c r="T6" s="59">
        <f t="shared" si="34"/>
        <v>293.11447542333889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</v>
      </c>
      <c r="AI6" s="13">
        <f>IF('Données projet'!$A$62&gt;35,AI5+AH6-AQ5,IF(A6&lt;'Données projet'!$A$62,$AF$205^A6,IF(A6='Données projet'!$A$62,'Données projet'!$B$62,AI5+AH6-AQ5)))</f>
        <v>2.4428896557373947</v>
      </c>
      <c r="AJ6" s="13">
        <f>AI6*VLOOKUP('Données projet'!$B$10,Paramètres!$A$1:$I$89,3,0)*VLOOKUP('Données projet'!$B$10,Paramètres!$A$1:$I$89,5,0)</f>
        <v>2.1341084032521884</v>
      </c>
      <c r="AK6" s="13">
        <f t="shared" si="35"/>
        <v>0.90042541139273424</v>
      </c>
      <c r="AL6" s="20">
        <f t="shared" si="4"/>
        <v>5.2851463938399075</v>
      </c>
      <c r="AM6" s="59">
        <f t="shared" si="5"/>
        <v>265.61847972717322</v>
      </c>
      <c r="AN6" s="59">
        <f ca="1">AVERAGE(OFFSET($AM$3,0,0,'Données projet'!$E$10+1,1))-AVERAGE(OFFSET($H$3,0,0,'Données projet'!$E$10+1,1))</f>
        <v>321.36684354830828</v>
      </c>
      <c r="AO6" s="59">
        <f t="shared" si="36"/>
        <v>388.05195847800502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2.6666666666666665</v>
      </c>
      <c r="N7" s="13">
        <f>IF('Données projet'!$A$36&gt;35,N6+M7-V6,IF(A7&lt;'Données projet'!$A$36,$K$205^A7,IF(A7='Données projet'!$A$36,'Données projet'!$B$36,N6+M7-V6)))</f>
        <v>2.6743361672197152</v>
      </c>
      <c r="O7" s="13">
        <f>N7*VLOOKUP('Données projet'!$B$9,Paramètres!$A$1:$I$89,3,0)*VLOOKUP('Données projet'!$B$9,Paramètres!$A$1:$I$89,5,0)</f>
        <v>2.1694214988486329</v>
      </c>
      <c r="P7" s="13">
        <f t="shared" si="33"/>
        <v>0.91357786799242624</v>
      </c>
      <c r="Q7" s="20">
        <f t="shared" si="2"/>
        <v>5.3695572305815107</v>
      </c>
      <c r="R7" s="59">
        <f t="shared" si="0"/>
        <v>266.92511278613705</v>
      </c>
      <c r="S7" s="59">
        <f ca="1">AVERAGE(OFFSET($R$3,0,0,'Données projet'!$E$9+1,1))-AVERAGE(OFFSET($H$3,0,0,'Données projet'!$E$9+1,1))</f>
        <v>298.98869919374232</v>
      </c>
      <c r="T7" s="59">
        <f t="shared" si="34"/>
        <v>293.11447542333889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</v>
      </c>
      <c r="AI7" s="13">
        <f>IF('Données projet'!$A$62&gt;35,AI6+AH7-AQ6,IF(A7&lt;'Données projet'!$A$62,$AF$205^A7,IF(A7='Données projet'!$A$62,'Données projet'!$B$62,AI6+AH7-AQ6)))</f>
        <v>3.2900699687263746</v>
      </c>
      <c r="AJ7" s="13">
        <f>AI7*VLOOKUP('Données projet'!$B$10,Paramètres!$A$1:$I$89,3,0)*VLOOKUP('Données projet'!$B$10,Paramètres!$A$1:$I$89,5,0)</f>
        <v>2.874205124679361</v>
      </c>
      <c r="AK7" s="13">
        <f t="shared" si="35"/>
        <v>1.1713814899478936</v>
      </c>
      <c r="AL7" s="20">
        <f t="shared" si="4"/>
        <v>7.0460633538091342</v>
      </c>
      <c r="AM7" s="59">
        <f t="shared" si="5"/>
        <v>268.60161890936467</v>
      </c>
      <c r="AN7" s="59">
        <f ca="1">AVERAGE(OFFSET($AM$3,0,0,'Données projet'!$E$10+1,1))-AVERAGE(OFFSET($H$3,0,0,'Données projet'!$E$10+1,1))</f>
        <v>321.36684354830828</v>
      </c>
      <c r="AO7" s="59">
        <f t="shared" si="36"/>
        <v>388.05195847800502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2.6666666666666665</v>
      </c>
      <c r="N8" s="13">
        <f>IF('Données projet'!$A$36&gt;35,N7+M8-V7,IF(A8&lt;'Données projet'!$A$36,$K$205^A8,IF(A8='Données projet'!$A$36,'Données projet'!$B$36,N7+M8-V7)))</f>
        <v>3.4199518933533928</v>
      </c>
      <c r="O8" s="13">
        <f>N8*VLOOKUP('Données projet'!$B$9,Paramètres!$A$1:$I$89,3,0)*VLOOKUP('Données projet'!$B$9,Paramètres!$A$1:$I$89,5,0)</f>
        <v>2.7742649758882725</v>
      </c>
      <c r="P8" s="13">
        <f t="shared" si="33"/>
        <v>1.1353181578640659</v>
      </c>
      <c r="Q8" s="20">
        <f t="shared" si="2"/>
        <v>6.8091906246186555</v>
      </c>
      <c r="R8" s="59">
        <f t="shared" si="0"/>
        <v>269.58696840239645</v>
      </c>
      <c r="S8" s="59">
        <f ca="1">AVERAGE(OFFSET($R$3,0,0,'Données projet'!$E$9+1,1))-AVERAGE(OFFSET($H$3,0,0,'Données projet'!$E$9+1,1))</f>
        <v>298.98869919374232</v>
      </c>
      <c r="T8" s="59">
        <f t="shared" si="34"/>
        <v>293.11447542333889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</v>
      </c>
      <c r="AI8" s="13">
        <f>IF('Données projet'!$A$62&gt;35,AI7+AH8-AQ7,IF(A8&lt;'Données projet'!$A$62,$AF$205^A8,IF(A8='Données projet'!$A$62,'Données projet'!$B$62,AI7+AH8-AQ7)))</f>
        <v>4.4310476216936356</v>
      </c>
      <c r="AJ8" s="13">
        <f>AI8*VLOOKUP('Données projet'!$B$10,Paramètres!$A$1:$I$89,3,0)*VLOOKUP('Données projet'!$B$10,Paramètres!$A$1:$I$89,5,0)</f>
        <v>3.8709632023115605</v>
      </c>
      <c r="AK8" s="13">
        <f t="shared" si="35"/>
        <v>1.5238736908481918</v>
      </c>
      <c r="AL8" s="20">
        <f t="shared" si="4"/>
        <v>9.3960075889199022</v>
      </c>
      <c r="AM8" s="59">
        <f t="shared" si="5"/>
        <v>272.1737853666977</v>
      </c>
      <c r="AN8" s="59">
        <f ca="1">AVERAGE(OFFSET($AM$3,0,0,'Données projet'!$E$10+1,1))-AVERAGE(OFFSET($H$3,0,0,'Données projet'!$E$10+1,1))</f>
        <v>321.36684354830828</v>
      </c>
      <c r="AO8" s="59">
        <f t="shared" si="36"/>
        <v>388.05195847800502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2.6666666666666665</v>
      </c>
      <c r="N9" s="13">
        <f>IF('Données projet'!$A$36&gt;35,N8+M9-V8,IF(A9&lt;'Données projet'!$A$36,$K$205^A9,IF(A9='Données projet'!$A$36,'Données projet'!$B$36,N8+M9-V8)))</f>
        <v>4.3734482957731098</v>
      </c>
      <c r="O9" s="13">
        <f>N9*VLOOKUP('Données projet'!$B$9,Paramètres!$A$1:$I$89,3,0)*VLOOKUP('Données projet'!$B$9,Paramètres!$A$1:$I$89,5,0)</f>
        <v>3.5477412575311469</v>
      </c>
      <c r="P9" s="13">
        <f t="shared" si="33"/>
        <v>1.4108784425878202</v>
      </c>
      <c r="Q9" s="20">
        <f t="shared" si="2"/>
        <v>8.6362626443738666</v>
      </c>
      <c r="R9" s="59">
        <f t="shared" si="0"/>
        <v>272.63626264437386</v>
      </c>
      <c r="S9" s="59">
        <f ca="1">AVERAGE(OFFSET($R$3,0,0,'Données projet'!$E$9+1,1))-AVERAGE(OFFSET($H$3,0,0,'Données projet'!$E$9+1,1))</f>
        <v>298.98869919374232</v>
      </c>
      <c r="T9" s="59">
        <f t="shared" si="34"/>
        <v>293.11447542333889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</v>
      </c>
      <c r="AI9" s="13">
        <f>IF('Données projet'!$A$62&gt;35,AI8+AH9-AQ8,IF(A9&lt;'Données projet'!$A$62,$AF$205^A9,IF(A9='Données projet'!$A$62,'Données projet'!$B$62,AI8+AH9-AQ8)))</f>
        <v>5.9677098701087665</v>
      </c>
      <c r="AJ9" s="13">
        <f>AI9*VLOOKUP('Données projet'!$B$10,Paramètres!$A$1:$I$89,3,0)*VLOOKUP('Données projet'!$B$10,Paramètres!$A$1:$I$89,5,0)</f>
        <v>5.2133913425270189</v>
      </c>
      <c r="AK9" s="13">
        <f t="shared" si="35"/>
        <v>1.9824378698032765</v>
      </c>
      <c r="AL9" s="20">
        <f t="shared" si="4"/>
        <v>12.53273587814193</v>
      </c>
      <c r="AM9" s="59">
        <f t="shared" si="5"/>
        <v>276.53273587814192</v>
      </c>
      <c r="AN9" s="59">
        <f ca="1">AVERAGE(OFFSET($AM$3,0,0,'Données projet'!$E$10+1,1))-AVERAGE(OFFSET($H$3,0,0,'Données projet'!$E$10+1,1))</f>
        <v>321.36684354830828</v>
      </c>
      <c r="AO9" s="59">
        <f t="shared" si="36"/>
        <v>388.05195847800502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2.6666666666666665</v>
      </c>
      <c r="N10" s="13">
        <f>IF('Données projet'!$A$36&gt;35,N9+M10-V9,IF(A10&lt;'Données projet'!$A$36,$K$205^A10,IF(A10='Données projet'!$A$36,'Données projet'!$B$36,N9+M10-V9)))</f>
        <v>5.5927833467405659</v>
      </c>
      <c r="O10" s="13">
        <f>N10*VLOOKUP('Données projet'!$B$9,Paramètres!$A$1:$I$89,3,0)*VLOOKUP('Données projet'!$B$9,Paramètres!$A$1:$I$89,5,0)</f>
        <v>4.5368658508759481</v>
      </c>
      <c r="P10" s="13">
        <f t="shared" si="33"/>
        <v>1.7533217151252238</v>
      </c>
      <c r="Q10" s="20">
        <f t="shared" si="2"/>
        <v>10.955410010785373</v>
      </c>
      <c r="R10" s="59">
        <f t="shared" si="0"/>
        <v>276.17763223300761</v>
      </c>
      <c r="S10" s="59">
        <f ca="1">AVERAGE(OFFSET($R$3,0,0,'Données projet'!$E$9+1,1))-AVERAGE(OFFSET($H$3,0,0,'Données projet'!$E$9+1,1))</f>
        <v>298.98869919374232</v>
      </c>
      <c r="T10" s="59">
        <f t="shared" si="34"/>
        <v>293.11447542333889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</v>
      </c>
      <c r="AI10" s="13">
        <f>IF('Données projet'!$A$62&gt;35,AI9+AH10-AQ9,IF(A10&lt;'Données projet'!$A$62,$AF$205^A10,IF(A10='Données projet'!$A$62,'Données projet'!$B$62,AI9+AH10-AQ9)))</f>
        <v>8.0372778932539148</v>
      </c>
      <c r="AJ10" s="13">
        <f>AI10*VLOOKUP('Données projet'!$B$10,Paramètres!$A$1:$I$89,3,0)*VLOOKUP('Données projet'!$B$10,Paramètres!$A$1:$I$89,5,0)</f>
        <v>7.0213659675466209</v>
      </c>
      <c r="AK10" s="13">
        <f t="shared" si="35"/>
        <v>2.5789932139603198</v>
      </c>
      <c r="AL10" s="20">
        <f t="shared" si="4"/>
        <v>16.72062557445792</v>
      </c>
      <c r="AM10" s="59">
        <f t="shared" si="5"/>
        <v>281.94284779668016</v>
      </c>
      <c r="AN10" s="59">
        <f ca="1">AVERAGE(OFFSET($AM$3,0,0,'Données projet'!$E$10+1,1))-AVERAGE(OFFSET($H$3,0,0,'Données projet'!$E$10+1,1))</f>
        <v>321.36684354830828</v>
      </c>
      <c r="AO10" s="59">
        <f t="shared" si="36"/>
        <v>388.05195847800502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2.6666666666666665</v>
      </c>
      <c r="N11" s="13">
        <f>IF('Données projet'!$A$36&gt;35,N10+M11-V10,IF(A11&lt;'Données projet'!$A$36,$K$205^A11,IF(A11='Données projet'!$A$36,'Données projet'!$B$36,N10+M11-V10)))</f>
        <v>7.1520739352994367</v>
      </c>
      <c r="O11" s="13">
        <f>N11*VLOOKUP('Données projet'!$B$9,Paramètres!$A$1:$I$89,3,0)*VLOOKUP('Données projet'!$B$9,Paramètres!$A$1:$I$89,5,0)</f>
        <v>5.8017623763149038</v>
      </c>
      <c r="P11" s="13">
        <f t="shared" si="33"/>
        <v>2.1788815704711619</v>
      </c>
      <c r="Q11" s="20">
        <f t="shared" si="2"/>
        <v>13.899621540652397</v>
      </c>
      <c r="R11" s="59">
        <f t="shared" si="0"/>
        <v>280.34406598509685</v>
      </c>
      <c r="S11" s="59">
        <f ca="1">AVERAGE(OFFSET($R$3,0,0,'Données projet'!$E$9+1,1))-AVERAGE(OFFSET($H$3,0,0,'Données projet'!$E$9+1,1))</f>
        <v>298.98869919374232</v>
      </c>
      <c r="T11" s="59">
        <f t="shared" si="34"/>
        <v>293.11447542333889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</v>
      </c>
      <c r="AI11" s="13">
        <f>IF('Données projet'!$A$62&gt;35,AI10+AH11-AQ10,IF(A11&lt;'Données projet'!$A$62,$AF$205^A11,IF(A11='Données projet'!$A$62,'Données projet'!$B$62,AI10+AH11-AQ10)))</f>
        <v>10.824560399115168</v>
      </c>
      <c r="AJ11" s="13">
        <f>AI11*VLOOKUP('Données projet'!$B$10,Paramètres!$A$1:$I$89,3,0)*VLOOKUP('Données projet'!$B$10,Paramètres!$A$1:$I$89,5,0)</f>
        <v>9.4563359646670122</v>
      </c>
      <c r="AK11" s="13">
        <f t="shared" si="35"/>
        <v>3.3550640345230081</v>
      </c>
      <c r="AL11" s="20">
        <f t="shared" si="4"/>
        <v>22.313188331922618</v>
      </c>
      <c r="AM11" s="59">
        <f t="shared" si="5"/>
        <v>288.75763277636707</v>
      </c>
      <c r="AN11" s="59">
        <f ca="1">AVERAGE(OFFSET($AM$3,0,0,'Données projet'!$E$10+1,1))-AVERAGE(OFFSET($H$3,0,0,'Données projet'!$E$10+1,1))</f>
        <v>321.36684354830828</v>
      </c>
      <c r="AO11" s="59">
        <f t="shared" si="36"/>
        <v>388.05195847800502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2.6666666666666665</v>
      </c>
      <c r="N12" s="13">
        <f>IF('Données projet'!$A$36&gt;35,N11+M12-V11,IF(A12&lt;'Données projet'!$A$36,$K$205^A12,IF(A12='Données projet'!$A$36,'Données projet'!$B$36,N11+M12-V11)))</f>
        <v>9.1461010385465205</v>
      </c>
      <c r="O12" s="13">
        <f>N12*VLOOKUP('Données projet'!$B$9,Paramètres!$A$1:$I$89,3,0)*VLOOKUP('Données projet'!$B$9,Paramètres!$A$1:$I$89,5,0)</f>
        <v>7.4193171624689374</v>
      </c>
      <c r="P12" s="13">
        <f t="shared" si="33"/>
        <v>2.7077317626216724</v>
      </c>
      <c r="Q12" s="20">
        <f t="shared" si="2"/>
        <v>17.637943544532806</v>
      </c>
      <c r="R12" s="59">
        <f t="shared" si="0"/>
        <v>285.30461021119947</v>
      </c>
      <c r="S12" s="59">
        <f ca="1">AVERAGE(OFFSET($R$3,0,0,'Données projet'!$E$9+1,1))-AVERAGE(OFFSET($H$3,0,0,'Données projet'!$E$9+1,1))</f>
        <v>298.98869919374232</v>
      </c>
      <c r="T12" s="59">
        <f t="shared" si="34"/>
        <v>293.11447542333889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</v>
      </c>
      <c r="AI12" s="13">
        <f>IF('Données projet'!$A$62&gt;35,AI11+AH12-AQ11,IF(A12&lt;'Données projet'!$A$62,$AF$205^A12,IF(A12='Données projet'!$A$62,'Données projet'!$B$62,AI11+AH12-AQ11)))</f>
        <v>14.578456710130657</v>
      </c>
      <c r="AJ12" s="13">
        <f>AI12*VLOOKUP('Données projet'!$B$10,Paramètres!$A$1:$I$89,3,0)*VLOOKUP('Données projet'!$B$10,Paramètres!$A$1:$I$89,5,0)</f>
        <v>12.735739781970144</v>
      </c>
      <c r="AK12" s="13">
        <f t="shared" si="35"/>
        <v>4.364670141362768</v>
      </c>
      <c r="AL12" s="20">
        <f t="shared" si="4"/>
        <v>29.783213949804821</v>
      </c>
      <c r="AM12" s="59">
        <f t="shared" si="5"/>
        <v>297.44988061647149</v>
      </c>
      <c r="AN12" s="59">
        <f ca="1">AVERAGE(OFFSET($AM$3,0,0,'Données projet'!$E$10+1,1))-AVERAGE(OFFSET($H$3,0,0,'Données projet'!$E$10+1,1))</f>
        <v>321.36684354830828</v>
      </c>
      <c r="AO12" s="59">
        <f t="shared" si="36"/>
        <v>388.05195847800502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2.6666666666666665</v>
      </c>
      <c r="N13" s="13">
        <f>IF('Données projet'!$A$36&gt;35,N12+M13-V12,IF(A13&lt;'Données projet'!$A$36,$K$205^A13,IF(A13='Données projet'!$A$36,'Données projet'!$B$36,N12+M13-V12)))</f>
        <v>11.696070952851455</v>
      </c>
      <c r="O13" s="13">
        <f>N13*VLOOKUP('Données projet'!$B$9,Paramètres!$A$1:$I$89,3,0)*VLOOKUP('Données projet'!$B$9,Paramètres!$A$1:$I$89,5,0)</f>
        <v>9.4878527569531013</v>
      </c>
      <c r="P13" s="13">
        <f t="shared" si="33"/>
        <v>3.3649425456037227</v>
      </c>
      <c r="Q13" s="20">
        <f t="shared" si="2"/>
        <v>22.385285151953138</v>
      </c>
      <c r="R13" s="59">
        <f t="shared" si="0"/>
        <v>291.27417404084201</v>
      </c>
      <c r="S13" s="59">
        <f ca="1">AVERAGE(OFFSET($R$3,0,0,'Données projet'!$E$9+1,1))-AVERAGE(OFFSET($H$3,0,0,'Données projet'!$E$9+1,1))</f>
        <v>298.98869919374232</v>
      </c>
      <c r="T13" s="59">
        <f t="shared" si="34"/>
        <v>293.11447542333889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</v>
      </c>
      <c r="AI13" s="13">
        <f>IF('Données projet'!$A$62&gt;35,AI12+AH13-AQ12,IF(A13&lt;'Données projet'!$A$62,$AF$205^A13,IF(A13='Données projet'!$A$62,'Données projet'!$B$62,AI12+AH13-AQ12)))</f>
        <v>19.634183025716826</v>
      </c>
      <c r="AJ13" s="13">
        <f>AI13*VLOOKUP('Données projet'!$B$10,Paramètres!$A$1:$I$89,3,0)*VLOOKUP('Données projet'!$B$10,Paramètres!$A$1:$I$89,5,0)</f>
        <v>17.152422291266223</v>
      </c>
      <c r="AK13" s="13">
        <f t="shared" si="35"/>
        <v>5.678086989362658</v>
      </c>
      <c r="AL13" s="20">
        <f t="shared" si="4"/>
        <v>39.763136997095295</v>
      </c>
      <c r="AM13" s="59">
        <f t="shared" si="5"/>
        <v>308.65202588598413</v>
      </c>
      <c r="AN13" s="59">
        <f ca="1">AVERAGE(OFFSET($AM$3,0,0,'Données projet'!$E$10+1,1))-AVERAGE(OFFSET($H$3,0,0,'Données projet'!$E$10+1,1))</f>
        <v>321.36684354830828</v>
      </c>
      <c r="AO13" s="59">
        <f t="shared" si="36"/>
        <v>388.05195847800502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2.6666666666666665</v>
      </c>
      <c r="N14" s="13">
        <f>IF('Données projet'!$A$36&gt;35,N13+M14-V13,IF(A14&lt;'Données projet'!$A$36,$K$205^A14,IF(A14='Données projet'!$A$36,'Données projet'!$B$36,N13+M14-V13)))</f>
        <v>14.956982779612416</v>
      </c>
      <c r="O14" s="13">
        <f>N14*VLOOKUP('Données projet'!$B$9,Paramètres!$A$1:$I$89,3,0)*VLOOKUP('Données projet'!$B$9,Paramètres!$A$1:$I$89,5,0)</f>
        <v>12.133104430821591</v>
      </c>
      <c r="P14" s="13">
        <f t="shared" si="33"/>
        <v>4.1816691341135996</v>
      </c>
      <c r="Q14" s="20">
        <f t="shared" si="2"/>
        <v>28.414897292262125</v>
      </c>
      <c r="R14" s="59">
        <f t="shared" si="0"/>
        <v>298.52600840337328</v>
      </c>
      <c r="S14" s="59">
        <f ca="1">AVERAGE(OFFSET($R$3,0,0,'Données projet'!$E$9+1,1))-AVERAGE(OFFSET($H$3,0,0,'Données projet'!$E$9+1,1))</f>
        <v>298.98869919374232</v>
      </c>
      <c r="T14" s="59">
        <f t="shared" si="34"/>
        <v>293.11447542333889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</v>
      </c>
      <c r="AI14" s="13">
        <f>IF('Données projet'!$A$62&gt;35,AI13+AH14-AQ13,IF(A14&lt;'Données projet'!$A$62,$AF$205^A14,IF(A14='Données projet'!$A$62,'Données projet'!$B$62,AI13+AH14-AQ13)))</f>
        <v>26.443206626903088</v>
      </c>
      <c r="AJ14" s="13">
        <f>AI14*VLOOKUP('Données projet'!$B$10,Paramètres!$A$1:$I$89,3,0)*VLOOKUP('Données projet'!$B$10,Paramètres!$A$1:$I$89,5,0)</f>
        <v>23.100785309262541</v>
      </c>
      <c r="AK14" s="13">
        <f t="shared" si="35"/>
        <v>7.3867373282653306</v>
      </c>
      <c r="AL14" s="20">
        <f t="shared" si="4"/>
        <v>53.099101927027704</v>
      </c>
      <c r="AM14" s="59">
        <f t="shared" si="5"/>
        <v>323.21021303813882</v>
      </c>
      <c r="AN14" s="59">
        <f ca="1">AVERAGE(OFFSET($AM$3,0,0,'Données projet'!$E$10+1,1))-AVERAGE(OFFSET($H$3,0,0,'Données projet'!$E$10+1,1))</f>
        <v>321.36684354830828</v>
      </c>
      <c r="AO14" s="59">
        <f t="shared" si="36"/>
        <v>388.05195847800502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2.6666666666666665</v>
      </c>
      <c r="N15" s="13">
        <f>IF('Données projet'!$A$36&gt;35,N14+M15-V14,IF(A15&lt;'Données projet'!$A$36,$K$205^A15,IF(A15='Données projet'!$A$36,'Données projet'!$B$36,N14+M15-V14)))</f>
        <v>19.127049995800721</v>
      </c>
      <c r="O15" s="13">
        <f>N15*VLOOKUP('Données projet'!$B$9,Paramètres!$A$1:$I$89,3,0)*VLOOKUP('Données projet'!$B$9,Paramètres!$A$1:$I$89,5,0)</f>
        <v>15.515862956593548</v>
      </c>
      <c r="P15" s="13">
        <f t="shared" si="33"/>
        <v>5.1966286229891843</v>
      </c>
      <c r="Q15" s="20">
        <f t="shared" si="2"/>
        <v>36.074256167773257</v>
      </c>
      <c r="R15" s="59">
        <f t="shared" si="0"/>
        <v>307.4075895011066</v>
      </c>
      <c r="S15" s="59">
        <f ca="1">AVERAGE(OFFSET($R$3,0,0,'Données projet'!$E$9+1,1))-AVERAGE(OFFSET($H$3,0,0,'Données projet'!$E$9+1,1))</f>
        <v>298.98869919374232</v>
      </c>
      <c r="T15" s="59">
        <f t="shared" si="34"/>
        <v>293.11447542333889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</v>
      </c>
      <c r="AI15" s="13">
        <f>IF('Données projet'!$A$62&gt;35,AI14+AH15-AQ14,IF(A15&lt;'Données projet'!$A$62,$AF$205^A15,IF(A15='Données projet'!$A$62,'Données projet'!$B$62,AI14+AH15-AQ14)))</f>
        <v>35.613561093793592</v>
      </c>
      <c r="AJ15" s="13">
        <f>AI15*VLOOKUP('Données projet'!$B$10,Paramètres!$A$1:$I$89,3,0)*VLOOKUP('Données projet'!$B$10,Paramètres!$A$1:$I$89,5,0)</f>
        <v>31.112006971538086</v>
      </c>
      <c r="AK15" s="13">
        <f t="shared" si="35"/>
        <v>9.6095548481396289</v>
      </c>
      <c r="AL15" s="20">
        <f t="shared" si="4"/>
        <v>70.9233868359387</v>
      </c>
      <c r="AM15" s="59">
        <f t="shared" si="5"/>
        <v>342.256720169272</v>
      </c>
      <c r="AN15" s="59">
        <f ca="1">AVERAGE(OFFSET($AM$3,0,0,'Données projet'!$E$10+1,1))-AVERAGE(OFFSET($H$3,0,0,'Données projet'!$E$10+1,1))</f>
        <v>321.36684354830828</v>
      </c>
      <c r="AO15" s="59">
        <f t="shared" si="36"/>
        <v>388.05195847800502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2.6666666666666665</v>
      </c>
      <c r="N16" s="13">
        <f>IF('Données projet'!$A$36&gt;35,N15+M16-V15,IF(A16&lt;'Données projet'!$A$36,$K$205^A16,IF(A16='Données projet'!$A$36,'Données projet'!$B$36,N15+M16-V15)))</f>
        <v>24.459748796430759</v>
      </c>
      <c r="O16" s="13">
        <f>N16*VLOOKUP('Données projet'!$B$9,Paramètres!$A$1:$I$89,3,0)*VLOOKUP('Données projet'!$B$9,Paramètres!$A$1:$I$89,5,0)</f>
        <v>19.841748223664634</v>
      </c>
      <c r="P16" s="13">
        <f t="shared" si="33"/>
        <v>6.4579353791927296</v>
      </c>
      <c r="Q16" s="20">
        <f t="shared" si="2"/>
        <v>45.805282274976577</v>
      </c>
      <c r="R16" s="59">
        <f t="shared" si="0"/>
        <v>318.36083783053209</v>
      </c>
      <c r="S16" s="59">
        <f ca="1">AVERAGE(OFFSET($R$3,0,0,'Données projet'!$E$9+1,1))-AVERAGE(OFFSET($H$3,0,0,'Données projet'!$E$9+1,1))</f>
        <v>298.98869919374232</v>
      </c>
      <c r="T16" s="59">
        <f t="shared" si="34"/>
        <v>293.11447542333889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</v>
      </c>
      <c r="AI16" s="13">
        <f>IF('Données projet'!$A$62&gt;35,AI15+AH16-AQ15,IF(A16&lt;'Données projet'!$A$62,$AF$205^A16,IF(A16='Données projet'!$A$62,'Données projet'!$B$62,AI15+AH16-AQ15)))</f>
        <v>47.964142612378375</v>
      </c>
      <c r="AJ16" s="13">
        <f>AI16*VLOOKUP('Données projet'!$B$10,Paramètres!$A$1:$I$89,3,0)*VLOOKUP('Données projet'!$B$10,Paramètres!$A$1:$I$89,5,0)</f>
        <v>41.901474986173753</v>
      </c>
      <c r="AK16" s="13">
        <f t="shared" si="35"/>
        <v>12.501262773491545</v>
      </c>
      <c r="AL16" s="20">
        <f t="shared" si="4"/>
        <v>94.751434931417066</v>
      </c>
      <c r="AM16" s="59">
        <f t="shared" si="5"/>
        <v>367.30699048697261</v>
      </c>
      <c r="AN16" s="59">
        <f ca="1">AVERAGE(OFFSET($AM$3,0,0,'Données projet'!$E$10+1,1))-AVERAGE(OFFSET($H$3,0,0,'Données projet'!$E$10+1,1))</f>
        <v>321.36684354830828</v>
      </c>
      <c r="AO16" s="59">
        <f t="shared" si="36"/>
        <v>388.05195847800502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2.6666666666666665</v>
      </c>
      <c r="N17" s="13">
        <f>IF('Données projet'!$A$36&gt;35,N16+M17-V16,IF(A17&lt;'Données projet'!$A$36,$K$205^A17,IF(A17='Données projet'!$A$36,'Données projet'!$B$36,N16+M17-V16)))</f>
        <v>31.279225563578599</v>
      </c>
      <c r="O17" s="13">
        <f>N17*VLOOKUP('Données projet'!$B$9,Paramètres!$A$1:$I$89,3,0)*VLOOKUP('Données projet'!$B$9,Paramètres!$A$1:$I$89,5,0)</f>
        <v>25.37370777717496</v>
      </c>
      <c r="P17" s="13">
        <f t="shared" si="33"/>
        <v>8.0253819134452193</v>
      </c>
      <c r="Q17" s="20">
        <f t="shared" si="2"/>
        <v>58.170081211163478</v>
      </c>
      <c r="R17" s="59">
        <f t="shared" si="0"/>
        <v>331.94785898894122</v>
      </c>
      <c r="S17" s="59">
        <f ca="1">AVERAGE(OFFSET($R$3,0,0,'Données projet'!$E$9+1,1))-AVERAGE(OFFSET($H$3,0,0,'Données projet'!$E$9+1,1))</f>
        <v>298.98869919374232</v>
      </c>
      <c r="T17" s="59">
        <f t="shared" si="34"/>
        <v>293.11447542333889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</v>
      </c>
      <c r="AI17" s="13">
        <f>IF('Données projet'!$A$62&gt;35,AI16+AH17-AQ16,IF(A17&lt;'Données projet'!$A$62,$AF$205^A17,IF(A17='Données projet'!$A$62,'Données projet'!$B$62,AI16+AH17-AQ16)))</f>
        <v>64.597835933388069</v>
      </c>
      <c r="AJ17" s="13">
        <f>AI17*VLOOKUP('Données projet'!$B$10,Paramètres!$A$1:$I$89,3,0)*VLOOKUP('Données projet'!$B$10,Paramètres!$A$1:$I$89,5,0)</f>
        <v>56.432669471407827</v>
      </c>
      <c r="AK17" s="13">
        <f t="shared" si="35"/>
        <v>16.263143652501352</v>
      </c>
      <c r="AL17" s="20">
        <f t="shared" si="4"/>
        <v>126.61187452414181</v>
      </c>
      <c r="AM17" s="59">
        <f t="shared" si="5"/>
        <v>400.38965230191957</v>
      </c>
      <c r="AN17" s="59">
        <f ca="1">AVERAGE(OFFSET($AM$3,0,0,'Données projet'!$E$10+1,1))-AVERAGE(OFFSET($H$3,0,0,'Données projet'!$E$10+1,1))</f>
        <v>321.36684354830828</v>
      </c>
      <c r="AO17" s="59">
        <f t="shared" si="36"/>
        <v>388.05195847800502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40</v>
      </c>
      <c r="L18" s="12">
        <f>VLOOKUP(A18,'Données projet'!$A$35:$I$55,9,0)</f>
        <v>2.6666666666666665</v>
      </c>
      <c r="M18" s="12">
        <f t="array" ref="M18">INDEX(L:L,MIN(IF(ISNUMBER(L18:L214),ROW(L18:L214),"")))</f>
        <v>2.6666666666666665</v>
      </c>
      <c r="N18" s="13">
        <f>IF('Données projet'!$A$36&gt;35,N17+M18-V17,IF(A18&lt;'Données projet'!$A$36,$K$205^A18,IF(A18='Données projet'!$A$36,'Données projet'!$B$36,N17+M18-V17)))</f>
        <v>40</v>
      </c>
      <c r="O18" s="13">
        <f>N18*VLOOKUP('Données projet'!$B$9,Paramètres!$A$1:$I$89,3,0)*VLOOKUP('Données projet'!$B$9,Paramètres!$A$1:$I$89,5,0)</f>
        <v>32.448</v>
      </c>
      <c r="P18" s="13">
        <f t="shared" si="33"/>
        <v>9.9732733567093899</v>
      </c>
      <c r="Q18" s="20">
        <f t="shared" si="2"/>
        <v>73.883717762935518</v>
      </c>
      <c r="R18" s="59">
        <f t="shared" si="0"/>
        <v>348.88371776293553</v>
      </c>
      <c r="S18" s="59">
        <f ca="1">AVERAGE(OFFSET($R$3,0,0,'Données projet'!$E$9+1,1))-AVERAGE(OFFSET($H$3,0,0,'Données projet'!$E$9+1,1))</f>
        <v>298.98869919374232</v>
      </c>
      <c r="T18" s="59">
        <f t="shared" si="34"/>
        <v>293.11447542333889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87</v>
      </c>
      <c r="AG18" s="12">
        <f>VLOOKUP(A18,'Données projet'!$A$61:$I$81,9,0)</f>
        <v>5.8</v>
      </c>
      <c r="AH18" s="12">
        <f t="array" ref="AH18">INDEX(AG:AG,MIN(IF(ISNUMBER(AG18:AG214),ROW(AG18:AG214),"")))</f>
        <v>5.8</v>
      </c>
      <c r="AI18" s="13">
        <f>IF('Données projet'!$A$62&gt;35,AI17+AH18-AQ17,IF(A18&lt;'Données projet'!$A$62,$AF$205^A18,IF(A18='Données projet'!$A$62,'Données projet'!$B$62,AI17+AH18-AQ17)))</f>
        <v>87</v>
      </c>
      <c r="AJ18" s="13">
        <f>AI18*VLOOKUP('Données projet'!$B$10,Paramètres!$A$1:$I$89,3,0)*VLOOKUP('Données projet'!$B$10,Paramètres!$A$1:$I$89,5,0)</f>
        <v>76.003200000000007</v>
      </c>
      <c r="AK18" s="13">
        <f t="shared" si="35"/>
        <v>21.157049992000456</v>
      </c>
      <c r="AL18" s="20">
        <f t="shared" si="4"/>
        <v>169.22076873606747</v>
      </c>
      <c r="AM18" s="59">
        <f t="shared" si="5"/>
        <v>444.2207687360675</v>
      </c>
      <c r="AN18" s="59">
        <f ca="1">AVERAGE(OFFSET($AM$3,0,0,'Données projet'!$E$10+1,1))-AVERAGE(OFFSET($H$3,0,0,'Données projet'!$E$10+1,1))</f>
        <v>321.36684354830828</v>
      </c>
      <c r="AO18" s="59">
        <f t="shared" si="36"/>
        <v>388.05195847800502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21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0.215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4.3431430331131171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4.3431430331131171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9.6</v>
      </c>
      <c r="N19" s="13">
        <f>IF('Données projet'!$A$36&gt;35,N18+M19-V18,IF(A19&lt;'Données projet'!$A$36,$K$205^A19,IF(A19='Données projet'!$A$36,'Données projet'!$B$36,N18+M19-V18)))</f>
        <v>46.6</v>
      </c>
      <c r="O19" s="13">
        <f>N19*VLOOKUP('Données projet'!$B$9,Paramètres!$A$1:$I$89,3,0)*VLOOKUP('Données projet'!$B$9,Paramètres!$A$1:$I$89,5,0)</f>
        <v>37.801920000000003</v>
      </c>
      <c r="P19" s="13">
        <f t="shared" si="33"/>
        <v>11.414143030819638</v>
      </c>
      <c r="Q19" s="20">
        <f t="shared" si="2"/>
        <v>85.717976445344206</v>
      </c>
      <c r="R19" s="59">
        <f t="shared" si="0"/>
        <v>361.94019866756645</v>
      </c>
      <c r="S19" s="59">
        <f ca="1">AVERAGE(OFFSET($R$3,0,0,'Données projet'!$E$9+1,1))-AVERAGE(OFFSET($H$3,0,0,'Données projet'!$E$9+1,1))</f>
        <v>298.98869919374232</v>
      </c>
      <c r="T19" s="59">
        <f t="shared" si="34"/>
        <v>293.11447542333889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14.2</v>
      </c>
      <c r="AI19" s="13">
        <f>IF('Données projet'!$A$62&gt;35,AI18+AH19-AQ18,IF(A19&lt;'Données projet'!$A$62,$AF$205^A19,IF(A19='Données projet'!$A$62,'Données projet'!$B$62,AI18+AH19-AQ18)))</f>
        <v>80.2</v>
      </c>
      <c r="AJ19" s="13">
        <f>AI19*VLOOKUP('Données projet'!$B$10,Paramètres!$A$1:$I$89,3,0)*VLOOKUP('Données projet'!$B$10,Paramètres!$A$1:$I$89,5,0)</f>
        <v>70.062720000000013</v>
      </c>
      <c r="AK19" s="13">
        <f t="shared" si="35"/>
        <v>19.689032345957123</v>
      </c>
      <c r="AL19" s="20">
        <f t="shared" si="4"/>
        <v>156.31763533587534</v>
      </c>
      <c r="AM19" s="59">
        <f t="shared" si="5"/>
        <v>432.53985755809754</v>
      </c>
      <c r="AN19" s="59">
        <f ca="1">AVERAGE(OFFSET($AM$3,0,0,'Données projet'!$E$10+1,1))-AVERAGE(OFFSET($H$3,0,0,'Données projet'!$E$10+1,1))</f>
        <v>321.36684354830828</v>
      </c>
      <c r="AO19" s="59">
        <f t="shared" si="36"/>
        <v>388.05195847800502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4.2243795584766728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4.2243795584766728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9.6</v>
      </c>
      <c r="N20" s="13">
        <f>IF('Données projet'!$A$36&gt;35,N19+M20-V19,IF(A20&lt;'Données projet'!$A$36,$K$205^A20,IF(A20='Données projet'!$A$36,'Données projet'!$B$36,N19+M20-V19)))</f>
        <v>56.2</v>
      </c>
      <c r="O20" s="13">
        <f>N20*VLOOKUP('Données projet'!$B$9,Paramètres!$A$1:$I$89,3,0)*VLOOKUP('Données projet'!$B$9,Paramètres!$A$1:$I$89,5,0)</f>
        <v>45.58944000000001</v>
      </c>
      <c r="P20" s="13">
        <f t="shared" si="33"/>
        <v>13.468664125659778</v>
      </c>
      <c r="Q20" s="20">
        <f t="shared" si="2"/>
        <v>102.8595313521908</v>
      </c>
      <c r="R20" s="59">
        <f t="shared" si="0"/>
        <v>380.30397579663526</v>
      </c>
      <c r="S20" s="59">
        <f ca="1">AVERAGE(OFFSET($R$3,0,0,'Données projet'!$E$9+1,1))-AVERAGE(OFFSET($H$3,0,0,'Données projet'!$E$9+1,1))</f>
        <v>298.98869919374232</v>
      </c>
      <c r="T20" s="59">
        <f t="shared" si="34"/>
        <v>293.11447542333889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14.2</v>
      </c>
      <c r="AI20" s="13">
        <f>IF('Données projet'!$A$62&gt;35,AI19+AH20-AQ19,IF(A20&lt;'Données projet'!$A$62,$AF$205^A20,IF(A20='Données projet'!$A$62,'Données projet'!$B$62,AI19+AH20-AQ19)))</f>
        <v>94.4</v>
      </c>
      <c r="AJ20" s="13">
        <f>AI20*VLOOKUP('Données projet'!$B$10,Paramètres!$A$1:$I$89,3,0)*VLOOKUP('Données projet'!$B$10,Paramètres!$A$1:$I$89,5,0)</f>
        <v>82.467840000000024</v>
      </c>
      <c r="AK20" s="13">
        <f t="shared" si="35"/>
        <v>22.739512759227473</v>
      </c>
      <c r="AL20" s="20">
        <f t="shared" si="4"/>
        <v>183.23613938898788</v>
      </c>
      <c r="AM20" s="59">
        <f t="shared" si="5"/>
        <v>460.68058383343237</v>
      </c>
      <c r="AN20" s="59">
        <f ca="1">AVERAGE(OFFSET($AM$3,0,0,'Données projet'!$E$10+1,1))-AVERAGE(OFFSET($H$3,0,0,'Données projet'!$E$10+1,1))</f>
        <v>321.36684354830828</v>
      </c>
      <c r="AO20" s="59">
        <f t="shared" si="36"/>
        <v>388.05195847800502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4.1088636772996621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4.1088636772996621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9.6</v>
      </c>
      <c r="N21" s="13">
        <f>IF('Données projet'!$A$36&gt;35,N20+M21-V20,IF(A21&lt;'Données projet'!$A$36,$K$205^A21,IF(A21='Données projet'!$A$36,'Données projet'!$B$36,N20+M21-V20)))</f>
        <v>65.8</v>
      </c>
      <c r="O21" s="13">
        <f>N21*VLOOKUP('Données projet'!$B$9,Paramètres!$A$1:$I$89,3,0)*VLOOKUP('Données projet'!$B$9,Paramètres!$A$1:$I$89,5,0)</f>
        <v>53.376960000000004</v>
      </c>
      <c r="P21" s="13">
        <f t="shared" si="33"/>
        <v>15.48252942274674</v>
      </c>
      <c r="Q21" s="20">
        <f t="shared" si="2"/>
        <v>119.9302774112839</v>
      </c>
      <c r="R21" s="59">
        <f t="shared" si="0"/>
        <v>398.59694407795058</v>
      </c>
      <c r="S21" s="59">
        <f ca="1">AVERAGE(OFFSET($R$3,0,0,'Données projet'!$E$9+1,1))-AVERAGE(OFFSET($H$3,0,0,'Données projet'!$E$9+1,1))</f>
        <v>298.98869919374232</v>
      </c>
      <c r="T21" s="59">
        <f t="shared" si="34"/>
        <v>293.11447542333889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14.2</v>
      </c>
      <c r="AI21" s="13">
        <f>IF('Données projet'!$A$62&gt;35,AI20+AH21-AQ20,IF(A21&lt;'Données projet'!$A$62,$AF$205^A21,IF(A21='Données projet'!$A$62,'Données projet'!$B$62,AI20+AH21-AQ20)))</f>
        <v>108.60000000000001</v>
      </c>
      <c r="AJ21" s="13">
        <f>AI21*VLOOKUP('Données projet'!$B$10,Paramètres!$A$1:$I$89,3,0)*VLOOKUP('Données projet'!$B$10,Paramètres!$A$1:$I$89,5,0)</f>
        <v>94.87296000000002</v>
      </c>
      <c r="AK21" s="13">
        <f t="shared" si="35"/>
        <v>25.736834760472274</v>
      </c>
      <c r="AL21" s="20">
        <f t="shared" si="4"/>
        <v>210.06205920782259</v>
      </c>
      <c r="AM21" s="59">
        <f t="shared" si="5"/>
        <v>488.72872587448927</v>
      </c>
      <c r="AN21" s="59">
        <f ca="1">AVERAGE(OFFSET($AM$3,0,0,'Données projet'!$E$10+1,1))-AVERAGE(OFFSET($H$3,0,0,'Données projet'!$E$10+1,1))</f>
        <v>321.36684354830828</v>
      </c>
      <c r="AO21" s="59">
        <f t="shared" si="36"/>
        <v>388.05195847800502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3.9965065839681531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3.9965065839681531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9.6</v>
      </c>
      <c r="N22" s="13">
        <f>IF('Données projet'!$A$36&gt;35,N21+M22-V21,IF(A22&lt;'Données projet'!$A$36,$K$205^A22,IF(A22='Données projet'!$A$36,'Données projet'!$B$36,N21+M22-V21)))</f>
        <v>75.399999999999991</v>
      </c>
      <c r="O22" s="13">
        <f>N22*VLOOKUP('Données projet'!$B$9,Paramètres!$A$1:$I$89,3,0)*VLOOKUP('Données projet'!$B$9,Paramètres!$A$1:$I$89,5,0)</f>
        <v>61.164479999999998</v>
      </c>
      <c r="P22" s="13">
        <f t="shared" si="33"/>
        <v>17.462355912011439</v>
      </c>
      <c r="Q22" s="20">
        <f t="shared" si="2"/>
        <v>136.94173921341994</v>
      </c>
      <c r="R22" s="59">
        <f t="shared" si="0"/>
        <v>416.83062810230876</v>
      </c>
      <c r="S22" s="59">
        <f ca="1">AVERAGE(OFFSET($R$3,0,0,'Données projet'!$E$9+1,1))-AVERAGE(OFFSET($H$3,0,0,'Données projet'!$E$9+1,1))</f>
        <v>298.98869919374232</v>
      </c>
      <c r="T22" s="59">
        <f t="shared" si="34"/>
        <v>293.11447542333889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14.2</v>
      </c>
      <c r="AI22" s="13">
        <f>IF('Données projet'!$A$62&gt;35,AI21+AH22-AQ21,IF(A22&lt;'Données projet'!$A$62,$AF$205^A22,IF(A22='Données projet'!$A$62,'Données projet'!$B$62,AI21+AH22-AQ21)))</f>
        <v>122.80000000000001</v>
      </c>
      <c r="AJ22" s="13">
        <f>AI22*VLOOKUP('Données projet'!$B$10,Paramètres!$A$1:$I$89,3,0)*VLOOKUP('Données projet'!$B$10,Paramètres!$A$1:$I$89,5,0)</f>
        <v>107.27808000000003</v>
      </c>
      <c r="AK22" s="13">
        <f t="shared" si="35"/>
        <v>28.688746800886673</v>
      </c>
      <c r="AL22" s="20">
        <f t="shared" si="4"/>
        <v>236.80889001154432</v>
      </c>
      <c r="AM22" s="59">
        <f t="shared" si="5"/>
        <v>516.69777890043315</v>
      </c>
      <c r="AN22" s="59">
        <f ca="1">AVERAGE(OFFSET($AM$3,0,0,'Données projet'!$E$10+1,1))-AVERAGE(OFFSET($H$3,0,0,'Données projet'!$E$10+1,1))</f>
        <v>321.36684354830828</v>
      </c>
      <c r="AO22" s="59">
        <f t="shared" si="36"/>
        <v>388.05195847800502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3.887221901262397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3.887221901262397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85</v>
      </c>
      <c r="L23" s="12">
        <f>VLOOKUP(A23,'Données projet'!$A$35:$I$55,9,0)</f>
        <v>9.6</v>
      </c>
      <c r="M23" s="12">
        <f t="array" ref="M23">INDEX(L:L,MIN(IF(ISNUMBER(L23:L219),ROW(L23:L219),"")))</f>
        <v>9.6</v>
      </c>
      <c r="N23" s="13">
        <f>IF('Données projet'!$A$36&gt;35,N22+M23-V22,IF(A23&lt;'Données projet'!$A$36,$K$205^A23,IF(A23='Données projet'!$A$36,'Données projet'!$B$36,N22+M23-V22)))</f>
        <v>84.999999999999986</v>
      </c>
      <c r="O23" s="13">
        <f>N23*VLOOKUP('Données projet'!$B$9,Paramètres!$A$1:$I$89,3,0)*VLOOKUP('Données projet'!$B$9,Paramètres!$A$1:$I$89,5,0)</f>
        <v>68.951999999999998</v>
      </c>
      <c r="P23" s="13">
        <f t="shared" si="33"/>
        <v>19.412974191553594</v>
      </c>
      <c r="Q23" s="20">
        <f t="shared" si="2"/>
        <v>153.90233005028915</v>
      </c>
      <c r="R23" s="59">
        <f t="shared" si="0"/>
        <v>435.01344116140029</v>
      </c>
      <c r="S23" s="59">
        <f ca="1">AVERAGE(OFFSET($R$3,0,0,'Données projet'!$E$9+1,1))-AVERAGE(OFFSET($H$3,0,0,'Données projet'!$E$9+1,1))</f>
        <v>298.98869919374232</v>
      </c>
      <c r="T23" s="59">
        <f t="shared" si="34"/>
        <v>293.11447542333889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137</v>
      </c>
      <c r="AG23" s="12">
        <f>VLOOKUP(A23,'Données projet'!$A$61:$I$81,9,0)</f>
        <v>14.2</v>
      </c>
      <c r="AH23" s="12">
        <f t="array" ref="AH23">INDEX(AG:AG,MIN(IF(ISNUMBER(AG23:AG219),ROW(AG23:AG219),"")))</f>
        <v>14.2</v>
      </c>
      <c r="AI23" s="13">
        <f>IF('Données projet'!$A$62&gt;35,AI22+AH23-AQ22,IF(A23&lt;'Données projet'!$A$62,$AF$205^A23,IF(A23='Données projet'!$A$62,'Données projet'!$B$62,AI22+AH23-AQ22)))</f>
        <v>137</v>
      </c>
      <c r="AJ23" s="13">
        <f>AI23*VLOOKUP('Données projet'!$B$10,Paramètres!$A$1:$I$89,3,0)*VLOOKUP('Données projet'!$B$10,Paramètres!$A$1:$I$89,5,0)</f>
        <v>119.68320000000003</v>
      </c>
      <c r="AK23" s="13">
        <f t="shared" si="35"/>
        <v>31.601099532596194</v>
      </c>
      <c r="AL23" s="20">
        <f t="shared" si="4"/>
        <v>263.48682168593842</v>
      </c>
      <c r="AM23" s="59">
        <f t="shared" si="5"/>
        <v>544.59793279704957</v>
      </c>
      <c r="AN23" s="59">
        <f ca="1">AVERAGE(OFFSET($AM$3,0,0,'Données projet'!$E$10+1,1))-AVERAGE(OFFSET($H$3,0,0,'Données projet'!$E$10+1,1))</f>
        <v>321.36684354830828</v>
      </c>
      <c r="AO23" s="59">
        <f t="shared" si="36"/>
        <v>388.05195847800502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0.215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12.674028015088645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12.674028015088645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70.59999999999998</v>
      </c>
      <c r="O24" s="13">
        <f>N24*VLOOKUP('Données projet'!$B$9,Paramètres!$A$1:$I$89,3,0)*VLOOKUP('Données projet'!$B$9,Paramètres!$A$1:$I$89,5,0)</f>
        <v>57.270719999999983</v>
      </c>
      <c r="P24" s="13">
        <f t="shared" si="33"/>
        <v>16.476362874249581</v>
      </c>
      <c r="Q24" s="20">
        <f t="shared" si="2"/>
        <v>128.44283600598467</v>
      </c>
      <c r="R24" s="59">
        <f t="shared" si="0"/>
        <v>410.77616933931802</v>
      </c>
      <c r="S24" s="59">
        <f ca="1">AVERAGE(OFFSET($R$3,0,0,'Données projet'!$E$9+1,1))-AVERAGE(OFFSET($H$3,0,0,'Données projet'!$E$9+1,1))</f>
        <v>298.98869919374232</v>
      </c>
      <c r="T24" s="59">
        <f t="shared" si="34"/>
        <v>293.11447542333889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13.8</v>
      </c>
      <c r="AI24" s="13">
        <f>IF('Données projet'!$A$62&gt;35,AI23+AH24-AQ23,IF(A24&lt;'Données projet'!$A$62,$AF$205^A24,IF(A24='Données projet'!$A$62,'Données projet'!$B$62,AI23+AH24-AQ23)))</f>
        <v>107.80000000000001</v>
      </c>
      <c r="AJ24" s="13">
        <f>AI24*VLOOKUP('Données projet'!$B$10,Paramètres!$A$1:$I$89,3,0)*VLOOKUP('Données projet'!$B$10,Paramètres!$A$1:$I$89,5,0)</f>
        <v>94.174080000000018</v>
      </c>
      <c r="AK24" s="13">
        <f t="shared" si="35"/>
        <v>25.569241067746205</v>
      </c>
      <c r="AL24" s="20">
        <f t="shared" si="4"/>
        <v>208.55295085965801</v>
      </c>
      <c r="AM24" s="59">
        <f t="shared" si="5"/>
        <v>490.8862841929913</v>
      </c>
      <c r="AN24" s="59">
        <f ca="1">AVERAGE(OFFSET($AM$3,0,0,'Données projet'!$E$10+1,1))-AVERAGE(OFFSET($H$3,0,0,'Données projet'!$E$10+1,1))</f>
        <v>321.36684354830828</v>
      </c>
      <c r="AO24" s="59">
        <f t="shared" si="36"/>
        <v>388.05195847800502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12.32745605251788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12.32745605251788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81.199999999999974</v>
      </c>
      <c r="O25" s="13">
        <f>N25*VLOOKUP('Données projet'!$B$9,Paramètres!$A$1:$I$89,3,0)*VLOOKUP('Données projet'!$B$9,Paramètres!$A$1:$I$89,5,0)</f>
        <v>65.869439999999983</v>
      </c>
      <c r="P25" s="13">
        <f t="shared" si="33"/>
        <v>18.644091336301784</v>
      </c>
      <c r="Q25" s="20">
        <f t="shared" si="2"/>
        <v>147.19440041072556</v>
      </c>
      <c r="R25" s="59">
        <f t="shared" si="0"/>
        <v>430.74995596628111</v>
      </c>
      <c r="S25" s="59">
        <f ca="1">AVERAGE(OFFSET($R$3,0,0,'Données projet'!$E$9+1,1))-AVERAGE(OFFSET($H$3,0,0,'Données projet'!$E$9+1,1))</f>
        <v>298.98869919374232</v>
      </c>
      <c r="T25" s="59">
        <f t="shared" si="34"/>
        <v>293.11447542333889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13.8</v>
      </c>
      <c r="AI25" s="13">
        <f>IF('Données projet'!$A$62&gt;35,AI24+AH25-AQ24,IF(A25&lt;'Données projet'!$A$62,$AF$205^A25,IF(A25='Données projet'!$A$62,'Données projet'!$B$62,AI24+AH25-AQ24)))</f>
        <v>121.60000000000001</v>
      </c>
      <c r="AJ25" s="13">
        <f>AI25*VLOOKUP('Données projet'!$B$10,Paramètres!$A$1:$I$89,3,0)*VLOOKUP('Données projet'!$B$10,Paramètres!$A$1:$I$89,5,0)</f>
        <v>106.22976000000003</v>
      </c>
      <c r="AK25" s="13">
        <f t="shared" si="35"/>
        <v>28.440891625171492</v>
      </c>
      <c r="AL25" s="20">
        <f t="shared" si="4"/>
        <v>234.55138491384039</v>
      </c>
      <c r="AM25" s="59">
        <f t="shared" si="5"/>
        <v>518.10694046939591</v>
      </c>
      <c r="AN25" s="59">
        <f ca="1">AVERAGE(OFFSET($AM$3,0,0,'Données projet'!$E$10+1,1))-AVERAGE(OFFSET($H$3,0,0,'Données projet'!$E$10+1,1))</f>
        <v>321.36684354830828</v>
      </c>
      <c r="AO25" s="59">
        <f t="shared" si="36"/>
        <v>388.05195847800502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11.990361118489039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11.990361118489039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91.799999999999969</v>
      </c>
      <c r="O26" s="13">
        <f>N26*VLOOKUP('Données projet'!$B$9,Paramètres!$A$1:$I$89,3,0)*VLOOKUP('Données projet'!$B$9,Paramètres!$A$1:$I$89,5,0)</f>
        <v>74.468159999999969</v>
      </c>
      <c r="P26" s="13">
        <f t="shared" si="33"/>
        <v>20.779031790461993</v>
      </c>
      <c r="Q26" s="20">
        <f t="shared" si="2"/>
        <v>165.88885903505457</v>
      </c>
      <c r="R26" s="59">
        <f t="shared" si="0"/>
        <v>450.66663681283234</v>
      </c>
      <c r="S26" s="59">
        <f ca="1">AVERAGE(OFFSET($R$3,0,0,'Données projet'!$E$9+1,1))-AVERAGE(OFFSET($H$3,0,0,'Données projet'!$E$9+1,1))</f>
        <v>298.98869919374232</v>
      </c>
      <c r="T26" s="59">
        <f t="shared" si="34"/>
        <v>293.11447542333889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13.8</v>
      </c>
      <c r="AI26" s="13">
        <f>IF('Données projet'!$A$62&gt;35,AI25+AH26-AQ25,IF(A26&lt;'Données projet'!$A$62,$AF$205^A26,IF(A26='Données projet'!$A$62,'Données projet'!$B$62,AI25+AH26-AQ25)))</f>
        <v>135.4</v>
      </c>
      <c r="AJ26" s="13">
        <f>AI26*VLOOKUP('Données projet'!$B$10,Paramètres!$A$1:$I$89,3,0)*VLOOKUP('Données projet'!$B$10,Paramètres!$A$1:$I$89,5,0)</f>
        <v>118.28544000000002</v>
      </c>
      <c r="AK26" s="13">
        <f t="shared" si="35"/>
        <v>31.274772013169596</v>
      </c>
      <c r="AL26" s="20">
        <f t="shared" si="4"/>
        <v>260.48403592293715</v>
      </c>
      <c r="AM26" s="59">
        <f t="shared" si="5"/>
        <v>545.26181370071492</v>
      </c>
      <c r="AN26" s="59">
        <f ca="1">AVERAGE(OFFSET($AM$3,0,0,'Données projet'!$E$10+1,1))-AVERAGE(OFFSET($H$3,0,0,'Données projet'!$E$10+1,1))</f>
        <v>321.36684354830828</v>
      </c>
      <c r="AO26" s="59">
        <f t="shared" si="36"/>
        <v>388.05195847800502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11.662484063158269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11.662484063158269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102.39999999999996</v>
      </c>
      <c r="O27" s="13">
        <f>N27*VLOOKUP('Données projet'!$B$9,Paramètres!$A$1:$I$89,3,0)*VLOOKUP('Données projet'!$B$9,Paramètres!$A$1:$I$89,5,0)</f>
        <v>83.066879999999983</v>
      </c>
      <c r="P27" s="13">
        <f t="shared" si="33"/>
        <v>22.88540255569357</v>
      </c>
      <c r="Q27" s="20">
        <f t="shared" si="2"/>
        <v>184.5335587844996</v>
      </c>
      <c r="R27" s="59">
        <f t="shared" si="0"/>
        <v>470.53355878449963</v>
      </c>
      <c r="S27" s="59">
        <f ca="1">AVERAGE(OFFSET($R$3,0,0,'Données projet'!$E$9+1,1))-AVERAGE(OFFSET($H$3,0,0,'Données projet'!$E$9+1,1))</f>
        <v>298.98869919374232</v>
      </c>
      <c r="T27" s="59">
        <f t="shared" si="34"/>
        <v>293.11447542333889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13.8</v>
      </c>
      <c r="AI27" s="13">
        <f>IF('Données projet'!$A$62&gt;35,AI26+AH27-AQ26,IF(A27&lt;'Données projet'!$A$62,$AF$205^A27,IF(A27='Données projet'!$A$62,'Données projet'!$B$62,AI26+AH27-AQ26)))</f>
        <v>149.20000000000002</v>
      </c>
      <c r="AJ27" s="13">
        <f>AI27*VLOOKUP('Données projet'!$B$10,Paramètres!$A$1:$I$89,3,0)*VLOOKUP('Données projet'!$B$10,Paramètres!$A$1:$I$89,5,0)</f>
        <v>130.34112000000005</v>
      </c>
      <c r="AK27" s="13">
        <f t="shared" si="35"/>
        <v>34.075170122989917</v>
      </c>
      <c r="AL27" s="20">
        <f t="shared" si="4"/>
        <v>286.35837196420749</v>
      </c>
      <c r="AM27" s="59">
        <f t="shared" si="5"/>
        <v>572.35837196420744</v>
      </c>
      <c r="AN27" s="59">
        <f ca="1">AVERAGE(OFFSET($AM$3,0,0,'Données projet'!$E$10+1,1))-AVERAGE(OFFSET($H$3,0,0,'Données projet'!$E$10+1,1))</f>
        <v>321.36684354830828</v>
      </c>
      <c r="AO27" s="59">
        <f t="shared" si="36"/>
        <v>388.05195847800502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11.343572823147824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11.343572823147824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113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112.99999999999996</v>
      </c>
      <c r="O28" s="13">
        <f>N28*VLOOKUP('Données projet'!$B$9,Paramètres!$A$1:$I$89,3,0)*VLOOKUP('Données projet'!$B$9,Paramètres!$A$1:$I$89,5,0)</f>
        <v>91.665599999999969</v>
      </c>
      <c r="P28" s="13">
        <f t="shared" si="33"/>
        <v>24.966497888207439</v>
      </c>
      <c r="Q28" s="20">
        <f t="shared" si="2"/>
        <v>203.13423715529458</v>
      </c>
      <c r="R28" s="59">
        <f t="shared" si="0"/>
        <v>490.35645937751679</v>
      </c>
      <c r="S28" s="59">
        <f ca="1">AVERAGE(OFFSET($R$3,0,0,'Données projet'!$E$9+1,1))-AVERAGE(OFFSET($H$3,0,0,'Données projet'!$E$9+1,1))</f>
        <v>298.98869919374232</v>
      </c>
      <c r="T28" s="59">
        <f t="shared" si="34"/>
        <v>293.11447542333889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27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163</v>
      </c>
      <c r="AG28" s="12">
        <f>VLOOKUP(A28,'Données projet'!$A$61:$I$81,9,0)</f>
        <v>13.8</v>
      </c>
      <c r="AH28" s="12">
        <f t="array" ref="AH28">INDEX(AG:AG,MIN(IF(ISNUMBER(AG28:AG224),ROW(AG28:AG224),"")))</f>
        <v>13.8</v>
      </c>
      <c r="AI28" s="13">
        <f>IF('Données projet'!$A$62&gt;35,AI27+AH28-AQ27,IF(A28&lt;'Données projet'!$A$62,$AF$205^A28,IF(A28='Données projet'!$A$62,'Données projet'!$B$62,AI27+AH28-AQ27)))</f>
        <v>163.00000000000003</v>
      </c>
      <c r="AJ28" s="13">
        <f>AI28*VLOOKUP('Données projet'!$B$10,Paramètres!$A$1:$I$89,3,0)*VLOOKUP('Données projet'!$B$10,Paramètres!$A$1:$I$89,5,0)</f>
        <v>142.39680000000004</v>
      </c>
      <c r="AK28" s="13">
        <f t="shared" si="35"/>
        <v>36.845535084476985</v>
      </c>
      <c r="AL28" s="20">
        <f t="shared" si="4"/>
        <v>312.18040027213078</v>
      </c>
      <c r="AM28" s="59">
        <f t="shared" si="5"/>
        <v>599.40262249435295</v>
      </c>
      <c r="AN28" s="59">
        <f ca="1">AVERAGE(OFFSET($AM$3,0,0,'Données projet'!$E$10+1,1))-AVERAGE(OFFSET($H$3,0,0,'Données projet'!$E$10+1,1))</f>
        <v>321.36684354830828</v>
      </c>
      <c r="AO28" s="59">
        <f t="shared" si="36"/>
        <v>388.05195847800502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44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0.215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20.133300963812811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20.133300963812811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11.5</v>
      </c>
      <c r="N29" s="13">
        <f>IF('Données projet'!$A$36&gt;35,N28+M29-V28,IF(A29&lt;'Données projet'!$A$36,$K$205^A29,IF(A29='Données projet'!$A$36,'Données projet'!$B$36,N28+M29-V28)))</f>
        <v>97.499999999999957</v>
      </c>
      <c r="O29" s="13">
        <f>N29*VLOOKUP('Données projet'!$B$9,Paramètres!$A$1:$I$89,3,0)*VLOOKUP('Données projet'!$B$9,Paramètres!$A$1:$I$89,5,0)</f>
        <v>79.09199999999997</v>
      </c>
      <c r="P29" s="13">
        <f t="shared" si="33"/>
        <v>21.915026131449999</v>
      </c>
      <c r="Q29" s="20">
        <f t="shared" si="2"/>
        <v>175.92057051227536</v>
      </c>
      <c r="R29" s="59">
        <f t="shared" si="0"/>
        <v>464.36501495671985</v>
      </c>
      <c r="S29" s="59">
        <f ca="1">AVERAGE(OFFSET($R$3,0,0,'Données projet'!$E$9+1,1))-AVERAGE(OFFSET($H$3,0,0,'Données projet'!$E$9+1,1))</f>
        <v>298.98869919374232</v>
      </c>
      <c r="T29" s="59">
        <f t="shared" si="34"/>
        <v>293.11447542333889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</v>
      </c>
      <c r="AI29" s="13">
        <f>IF('Données projet'!$A$62&gt;35,AI28+AH29-AQ28,IF(A29&lt;'Données projet'!$A$62,$AF$205^A29,IF(A29='Données projet'!$A$62,'Données projet'!$B$62,AI28+AH29-AQ28)))</f>
        <v>132.00000000000003</v>
      </c>
      <c r="AJ29" s="13">
        <f>AI29*VLOOKUP('Données projet'!$B$10,Paramètres!$A$1:$I$89,3,0)*VLOOKUP('Données projet'!$B$10,Paramètres!$A$1:$I$89,5,0)</f>
        <v>115.31520000000003</v>
      </c>
      <c r="AK29" s="13">
        <f t="shared" si="35"/>
        <v>30.579827148797317</v>
      </c>
      <c r="AL29" s="20">
        <f t="shared" si="4"/>
        <v>254.10050561748869</v>
      </c>
      <c r="AM29" s="59">
        <f t="shared" si="5"/>
        <v>542.54495006193315</v>
      </c>
      <c r="AN29" s="59">
        <f ca="1">AVERAGE(OFFSET($AM$3,0,0,'Données projet'!$E$10+1,1))-AVERAGE(OFFSET($H$3,0,0,'Données projet'!$E$10+1,1))</f>
        <v>321.36684354830828</v>
      </c>
      <c r="AO29" s="59">
        <f t="shared" si="36"/>
        <v>388.05195847800502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19.582754790193068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19.582754790193068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11.5</v>
      </c>
      <c r="N30" s="13">
        <f>IF('Données projet'!$A$36&gt;35,N29+M30-V29,IF(A30&lt;'Données projet'!$A$36,$K$205^A30,IF(A30='Données projet'!$A$36,'Données projet'!$B$36,N29+M30-V29)))</f>
        <v>108.99999999999996</v>
      </c>
      <c r="O30" s="13">
        <f>N30*VLOOKUP('Données projet'!$B$9,Paramètres!$A$1:$I$89,3,0)*VLOOKUP('Données projet'!$B$9,Paramètres!$A$1:$I$89,5,0)</f>
        <v>88.420799999999971</v>
      </c>
      <c r="P30" s="13">
        <f t="shared" si="33"/>
        <v>24.183968471983022</v>
      </c>
      <c r="Q30" s="20">
        <f t="shared" si="2"/>
        <v>196.11997175537036</v>
      </c>
      <c r="R30" s="59">
        <f t="shared" si="0"/>
        <v>485.78663842203707</v>
      </c>
      <c r="S30" s="59">
        <f ca="1">AVERAGE(OFFSET($R$3,0,0,'Données projet'!$E$9+1,1))-AVERAGE(OFFSET($H$3,0,0,'Données projet'!$E$9+1,1))</f>
        <v>298.98869919374232</v>
      </c>
      <c r="T30" s="59">
        <f t="shared" si="34"/>
        <v>293.11447542333889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</v>
      </c>
      <c r="AI30" s="13">
        <f>IF('Données projet'!$A$62&gt;35,AI29+AH30-AQ29,IF(A30&lt;'Données projet'!$A$62,$AF$205^A30,IF(A30='Données projet'!$A$62,'Données projet'!$B$62,AI29+AH30-AQ29)))</f>
        <v>145.00000000000003</v>
      </c>
      <c r="AJ30" s="13">
        <f>AI30*VLOOKUP('Données projet'!$B$10,Paramètres!$A$1:$I$89,3,0)*VLOOKUP('Données projet'!$B$10,Paramètres!$A$1:$I$89,5,0)</f>
        <v>126.67200000000003</v>
      </c>
      <c r="AK30" s="13">
        <f t="shared" si="35"/>
        <v>33.226199426361347</v>
      </c>
      <c r="AL30" s="20">
        <f t="shared" si="4"/>
        <v>278.48936400091276</v>
      </c>
      <c r="AM30" s="59">
        <f t="shared" si="5"/>
        <v>568.15603066757944</v>
      </c>
      <c r="AN30" s="59">
        <f ca="1">AVERAGE(OFFSET($AM$3,0,0,'Données projet'!$E$10+1,1))-AVERAGE(OFFSET($H$3,0,0,'Données projet'!$E$10+1,1))</f>
        <v>321.36684354830828</v>
      </c>
      <c r="AO30" s="59">
        <f t="shared" si="36"/>
        <v>388.05195847800502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19.04726333064292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19.04726333064292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11.5</v>
      </c>
      <c r="N31" s="13">
        <f>IF('Données projet'!$A$36&gt;35,N30+M31-V30,IF(A31&lt;'Données projet'!$A$36,$K$205^A31,IF(A31='Données projet'!$A$36,'Données projet'!$B$36,N30+M31-V30)))</f>
        <v>120.49999999999996</v>
      </c>
      <c r="O31" s="13">
        <f>N31*VLOOKUP('Données projet'!$B$9,Paramètres!$A$1:$I$89,3,0)*VLOOKUP('Données projet'!$B$9,Paramètres!$A$1:$I$89,5,0)</f>
        <v>97.749599999999973</v>
      </c>
      <c r="P31" s="13">
        <f t="shared" si="33"/>
        <v>26.425162646358601</v>
      </c>
      <c r="Q31" s="20">
        <f t="shared" si="2"/>
        <v>216.27104494240783</v>
      </c>
      <c r="R31" s="59">
        <f t="shared" si="0"/>
        <v>507.15993383129671</v>
      </c>
      <c r="S31" s="59">
        <f ca="1">AVERAGE(OFFSET($R$3,0,0,'Données projet'!$E$9+1,1))-AVERAGE(OFFSET($H$3,0,0,'Données projet'!$E$9+1,1))</f>
        <v>298.98869919374232</v>
      </c>
      <c r="T31" s="59">
        <f t="shared" si="34"/>
        <v>293.11447542333889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</v>
      </c>
      <c r="AI31" s="13">
        <f>IF('Données projet'!$A$62&gt;35,AI30+AH31-AQ30,IF(A31&lt;'Données projet'!$A$62,$AF$205^A31,IF(A31='Données projet'!$A$62,'Données projet'!$B$62,AI30+AH31-AQ30)))</f>
        <v>158.00000000000003</v>
      </c>
      <c r="AJ31" s="13">
        <f>AI31*VLOOKUP('Données projet'!$B$10,Paramètres!$A$1:$I$89,3,0)*VLOOKUP('Données projet'!$B$10,Paramètres!$A$1:$I$89,5,0)</f>
        <v>138.02880000000005</v>
      </c>
      <c r="AK31" s="13">
        <f t="shared" si="35"/>
        <v>35.845059256813073</v>
      </c>
      <c r="AL31" s="20">
        <f t="shared" si="4"/>
        <v>302.83030487228285</v>
      </c>
      <c r="AM31" s="59">
        <f t="shared" si="5"/>
        <v>593.71919376117171</v>
      </c>
      <c r="AN31" s="59">
        <f ca="1">AVERAGE(OFFSET($AM$3,0,0,'Données projet'!$E$10+1,1))-AVERAGE(OFFSET($H$3,0,0,'Données projet'!$E$10+1,1))</f>
        <v>321.36684354830828</v>
      </c>
      <c r="AO31" s="59">
        <f t="shared" si="36"/>
        <v>388.05195847800502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18.526414913214445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18.526414913214445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11.5</v>
      </c>
      <c r="N32" s="13">
        <f>IF('Données projet'!$A$36&gt;35,N31+M32-V31,IF(A32&lt;'Données projet'!$A$36,$K$205^A32,IF(A32='Données projet'!$A$36,'Données projet'!$B$36,N31+M32-V31)))</f>
        <v>131.99999999999994</v>
      </c>
      <c r="O32" s="13">
        <f>N32*VLOOKUP('Données projet'!$B$9,Paramètres!$A$1:$I$89,3,0)*VLOOKUP('Données projet'!$B$9,Paramètres!$A$1:$I$89,5,0)</f>
        <v>107.07839999999996</v>
      </c>
      <c r="P32" s="13">
        <f t="shared" si="33"/>
        <v>28.64155810910178</v>
      </c>
      <c r="Q32" s="20">
        <f t="shared" si="2"/>
        <v>236.37892704001885</v>
      </c>
      <c r="R32" s="59">
        <f t="shared" si="0"/>
        <v>528.49003815112997</v>
      </c>
      <c r="S32" s="59">
        <f ca="1">AVERAGE(OFFSET($R$3,0,0,'Données projet'!$E$9+1,1))-AVERAGE(OFFSET($H$3,0,0,'Données projet'!$E$9+1,1))</f>
        <v>298.98869919374232</v>
      </c>
      <c r="T32" s="59">
        <f t="shared" si="34"/>
        <v>293.11447542333889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</v>
      </c>
      <c r="AI32" s="13">
        <f>IF('Données projet'!$A$62&gt;35,AI31+AH32-AQ31,IF(A32&lt;'Données projet'!$A$62,$AF$205^A32,IF(A32='Données projet'!$A$62,'Données projet'!$B$62,AI31+AH32-AQ31)))</f>
        <v>171.00000000000003</v>
      </c>
      <c r="AJ32" s="13">
        <f>AI32*VLOOKUP('Données projet'!$B$10,Paramètres!$A$1:$I$89,3,0)*VLOOKUP('Données projet'!$B$10,Paramètres!$A$1:$I$89,5,0)</f>
        <v>149.38560000000004</v>
      </c>
      <c r="AK32" s="13">
        <f t="shared" si="35"/>
        <v>38.438927680599591</v>
      </c>
      <c r="AL32" s="20">
        <f t="shared" si="4"/>
        <v>327.12771904371101</v>
      </c>
      <c r="AM32" s="59">
        <f t="shared" si="5"/>
        <v>619.23883015482215</v>
      </c>
      <c r="AN32" s="59">
        <f ca="1">AVERAGE(OFFSET($AM$3,0,0,'Données projet'!$E$10+1,1))-AVERAGE(OFFSET($H$3,0,0,'Données projet'!$E$10+1,1))</f>
        <v>321.36684354830828</v>
      </c>
      <c r="AO32" s="59">
        <f t="shared" si="36"/>
        <v>388.05195847800502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18.019809123150779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18.019809123150779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11.5</v>
      </c>
      <c r="N33" s="13">
        <f>IF('Données projet'!$A$36&gt;35,N32+M33-V32,IF(A33&lt;'Données projet'!$A$36,$K$205^A33,IF(A33='Données projet'!$A$36,'Données projet'!$B$36,N32+M33-V32)))</f>
        <v>143.49999999999994</v>
      </c>
      <c r="O33" s="13">
        <f>N33*VLOOKUP('Données projet'!$B$9,Paramètres!$A$1:$I$89,3,0)*VLOOKUP('Données projet'!$B$9,Paramètres!$A$1:$I$89,5,0)</f>
        <v>116.40719999999996</v>
      </c>
      <c r="P33" s="13">
        <f t="shared" si="33"/>
        <v>30.835561008615706</v>
      </c>
      <c r="Q33" s="20">
        <f t="shared" si="2"/>
        <v>256.44780875667226</v>
      </c>
      <c r="R33" s="59">
        <f t="shared" si="0"/>
        <v>549.78114209000557</v>
      </c>
      <c r="S33" s="59">
        <f ca="1">AVERAGE(OFFSET($R$3,0,0,'Données projet'!$E$9+1,1))-AVERAGE(OFFSET($H$3,0,0,'Données projet'!$E$9+1,1))</f>
        <v>298.98869919374232</v>
      </c>
      <c r="T33" s="59">
        <f t="shared" si="34"/>
        <v>293.11447542333889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184</v>
      </c>
      <c r="AG33" s="12">
        <f>VLOOKUP(A33,'Données projet'!$A$61:$I$81,9,0)</f>
        <v>13</v>
      </c>
      <c r="AH33" s="12">
        <f t="array" ref="AH33">INDEX(AG:AG,MIN(IF(ISNUMBER(AG33:AG229),ROW(AG33:AG229),"")))</f>
        <v>13</v>
      </c>
      <c r="AI33" s="13">
        <f>IF('Données projet'!$A$62&gt;35,AI32+AH33-AQ32,IF(A33&lt;'Données projet'!$A$62,$AF$205^A33,IF(A33='Données projet'!$A$62,'Données projet'!$B$62,AI32+AH33-AQ32)))</f>
        <v>184.00000000000003</v>
      </c>
      <c r="AJ33" s="13">
        <f>AI33*VLOOKUP('Données projet'!$B$10,Paramètres!$A$1:$I$89,3,0)*VLOOKUP('Données projet'!$B$10,Paramètres!$A$1:$I$89,5,0)</f>
        <v>160.74240000000003</v>
      </c>
      <c r="AK33" s="13">
        <f t="shared" si="35"/>
        <v>41.009920657227809</v>
      </c>
      <c r="AL33" s="20">
        <f t="shared" si="4"/>
        <v>351.38529181133845</v>
      </c>
      <c r="AM33" s="59">
        <f t="shared" si="5"/>
        <v>644.71862514467171</v>
      </c>
      <c r="AN33" s="59">
        <f ca="1">AVERAGE(OFFSET($AM$3,0,0,'Données projet'!$E$10+1,1))-AVERAGE(OFFSET($H$3,0,0,'Données projet'!$E$10+1,1))</f>
        <v>321.36684354830828</v>
      </c>
      <c r="AO33" s="59">
        <f t="shared" si="36"/>
        <v>388.05195847800502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44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0.215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26.626975231104176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26.626975231104176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>
        <f>VLOOKUP(A34,'Données projet'!$A$35:$I$55,2,0)</f>
        <v>155</v>
      </c>
      <c r="L34" s="12">
        <f>VLOOKUP(A34,'Données projet'!$A$35:$I$55,9,0)</f>
        <v>11.5</v>
      </c>
      <c r="M34" s="12">
        <f t="array" ref="M34">INDEX(L:L,MIN(IF(ISNUMBER(L34:L230),ROW(L34:L230),"")))</f>
        <v>11.5</v>
      </c>
      <c r="N34" s="13">
        <f>IF('Données projet'!$A$36&gt;35,N33+M34-V33,IF(A34&lt;'Données projet'!$A$36,$K$205^A34,IF(A34='Données projet'!$A$36,'Données projet'!$B$36,N33+M34-V33)))</f>
        <v>154.99999999999994</v>
      </c>
      <c r="O34" s="13">
        <f>N34*VLOOKUP('Données projet'!$B$9,Paramètres!$A$1:$I$89,3,0)*VLOOKUP('Données projet'!$B$9,Paramètres!$A$1:$I$89,5,0)</f>
        <v>125.73599999999998</v>
      </c>
      <c r="P34" s="13">
        <f t="shared" si="33"/>
        <v>33.0091698918201</v>
      </c>
      <c r="Q34" s="20">
        <f t="shared" si="2"/>
        <v>276.4811708949199</v>
      </c>
      <c r="R34" s="59">
        <f t="shared" si="0"/>
        <v>569.81450422825321</v>
      </c>
      <c r="S34" s="59">
        <f ca="1">AVERAGE(OFFSET($R$3,0,0,'Données projet'!$E$9+1,1))-AVERAGE(OFFSET($H$3,0,0,'Données projet'!$E$9+1,1))</f>
        <v>298.98869919374232</v>
      </c>
      <c r="T34" s="59">
        <f t="shared" si="34"/>
        <v>293.11447542333889</v>
      </c>
      <c r="U34" s="15">
        <f>IF(ISNA(VLOOKUP(A34,'Données projet'!$A$35:$I$55,3,0)),0,VLOOKUP(A34,'Données projet'!$A$35:$I$55,3,0))</f>
        <v>4</v>
      </c>
      <c r="V34" s="15">
        <f>IF(ISNA(VLOOKUP(A34,'Données projet'!$A$35:$I$55,4,0)),0,VLOOKUP(A34,'Données projet'!$A$35:$I$55,4,0))</f>
        <v>36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12.2</v>
      </c>
      <c r="AI34" s="13">
        <f>IF('Données projet'!$A$62&gt;35,AI33+AH34-AQ33,IF(A34&lt;'Données projet'!$A$62,$AF$205^A34,IF(A34='Données projet'!$A$62,'Données projet'!$B$62,AI33+AH34-AQ33)))</f>
        <v>152.20000000000002</v>
      </c>
      <c r="AJ34" s="13">
        <f>AI34*VLOOKUP('Données projet'!$B$10,Paramètres!$A$1:$I$89,3,0)*VLOOKUP('Données projet'!$B$10,Paramètres!$A$1:$I$89,5,0)</f>
        <v>132.96192000000002</v>
      </c>
      <c r="AK34" s="13">
        <f t="shared" si="35"/>
        <v>34.679872132599144</v>
      </c>
      <c r="AL34" s="20">
        <f t="shared" si="4"/>
        <v>291.97612129761018</v>
      </c>
      <c r="AM34" s="59">
        <f t="shared" si="5"/>
        <v>585.30945463094349</v>
      </c>
      <c r="AN34" s="59">
        <f ca="1">AVERAGE(OFFSET($AM$3,0,0,'Données projet'!$E$10+1,1))-AVERAGE(OFFSET($H$3,0,0,'Données projet'!$E$10+1,1))</f>
        <v>321.36684354830828</v>
      </c>
      <c r="AO34" s="59">
        <f t="shared" si="36"/>
        <v>388.05195847800502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25.898859193157861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25.898859193157861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11.5</v>
      </c>
      <c r="N35" s="13">
        <f>IF('Données projet'!$A$36&gt;35,N34+M35-V34,IF(A35&lt;'Données projet'!$A$36,$K$205^A35,IF(A35='Données projet'!$A$36,'Données projet'!$B$36,N34+M35-V34)))</f>
        <v>130.49999999999994</v>
      </c>
      <c r="O35" s="13">
        <f>N35*VLOOKUP('Données projet'!$B$9,Paramètres!$A$1:$I$89,3,0)*VLOOKUP('Données projet'!$B$9,Paramètres!$A$1:$I$89,5,0)</f>
        <v>105.86159999999995</v>
      </c>
      <c r="P35" s="13">
        <f t="shared" si="33"/>
        <v>28.353779818951288</v>
      </c>
      <c r="Q35" s="20">
        <f t="shared" ref="Q35:Q66" si="53">(O35+P35)*0.475*44/12</f>
        <v>233.75845318467341</v>
      </c>
      <c r="R35" s="59">
        <f t="shared" si="0"/>
        <v>527.09178651800676</v>
      </c>
      <c r="S35" s="59">
        <f ca="1">AVERAGE(OFFSET($R$3,0,0,'Données projet'!$E$9+1,1))-AVERAGE(OFFSET($H$3,0,0,'Données projet'!$E$9+1,1))</f>
        <v>298.98869919374232</v>
      </c>
      <c r="T35" s="59">
        <f t="shared" si="34"/>
        <v>293.11447542333889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12.2</v>
      </c>
      <c r="AI35" s="13">
        <f>IF('Données projet'!$A$62&gt;35,AI34+AH35-AQ34,IF(A35&lt;'Données projet'!$A$62,$AF$205^A35,IF(A35='Données projet'!$A$62,'Données projet'!$B$62,AI34+AH35-AQ34)))</f>
        <v>164.4</v>
      </c>
      <c r="AJ35" s="13">
        <f>AI35*VLOOKUP('Données projet'!$B$10,Paramètres!$A$1:$I$89,3,0)*VLOOKUP('Données projet'!$B$10,Paramètres!$A$1:$I$89,5,0)</f>
        <v>143.61984000000001</v>
      </c>
      <c r="AK35" s="13">
        <f t="shared" si="35"/>
        <v>37.125023974706046</v>
      </c>
      <c r="AL35" s="20">
        <f t="shared" si="4"/>
        <v>314.79730475594641</v>
      </c>
      <c r="AM35" s="59">
        <f t="shared" si="5"/>
        <v>608.13063808927973</v>
      </c>
      <c r="AN35" s="59">
        <f ca="1">AVERAGE(OFFSET($AM$3,0,0,'Données projet'!$E$10+1,1))-AVERAGE(OFFSET($H$3,0,0,'Données projet'!$E$10+1,1))</f>
        <v>321.36684354830828</v>
      </c>
      <c r="AO35" s="59">
        <f t="shared" si="36"/>
        <v>388.05195847800502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25.190653526559146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25.190653526559146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11.5</v>
      </c>
      <c r="N36" s="13">
        <f>IF('Données projet'!$A$36&gt;35,N35+M36-V35,IF(A36&lt;'Données projet'!$A$36,$K$205^A36,IF(A36='Données projet'!$A$36,'Données projet'!$B$36,N35+M36-V35)))</f>
        <v>141.99999999999994</v>
      </c>
      <c r="O36" s="13">
        <f>N36*VLOOKUP('Données projet'!$B$9,Paramètres!$A$1:$I$89,3,0)*VLOOKUP('Données projet'!$B$9,Paramètres!$A$1:$I$89,5,0)</f>
        <v>115.19039999999997</v>
      </c>
      <c r="P36" s="13">
        <f t="shared" si="33"/>
        <v>30.550582519051947</v>
      </c>
      <c r="Q36" s="20">
        <f t="shared" si="53"/>
        <v>253.8322112206821</v>
      </c>
      <c r="R36" s="59">
        <f t="shared" si="0"/>
        <v>547.16554455401547</v>
      </c>
      <c r="S36" s="59">
        <f ca="1">AVERAGE(OFFSET($R$3,0,0,'Données projet'!$E$9+1,1))-AVERAGE(OFFSET($H$3,0,0,'Données projet'!$E$9+1,1))</f>
        <v>298.98869919374232</v>
      </c>
      <c r="T36" s="59">
        <f t="shared" si="34"/>
        <v>293.11447542333889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12.2</v>
      </c>
      <c r="AI36" s="13">
        <f>IF('Données projet'!$A$62&gt;35,AI35+AH36-AQ35,IF(A36&lt;'Données projet'!$A$62,$AF$205^A36,IF(A36='Données projet'!$A$62,'Données projet'!$B$62,AI35+AH36-AQ35)))</f>
        <v>176.6</v>
      </c>
      <c r="AJ36" s="13">
        <f>AI36*VLOOKUP('Données projet'!$B$10,Paramètres!$A$1:$I$89,3,0)*VLOOKUP('Données projet'!$B$10,Paramètres!$A$1:$I$89,5,0)</f>
        <v>154.27776</v>
      </c>
      <c r="AK36" s="13">
        <f t="shared" si="35"/>
        <v>39.549125277353333</v>
      </c>
      <c r="AL36" s="20">
        <f t="shared" si="4"/>
        <v>337.58182519139035</v>
      </c>
      <c r="AM36" s="59">
        <f t="shared" si="5"/>
        <v>630.91515852472367</v>
      </c>
      <c r="AN36" s="59">
        <f ca="1">AVERAGE(OFFSET($AM$3,0,0,'Données projet'!$E$10+1,1))-AVERAGE(OFFSET($H$3,0,0,'Données projet'!$E$10+1,1))</f>
        <v>321.36684354830828</v>
      </c>
      <c r="AO36" s="59">
        <f t="shared" si="36"/>
        <v>388.05195847800502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24.501813781156493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24.501813781156493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11.5</v>
      </c>
      <c r="N37" s="13">
        <f>IF('Données projet'!$A$36&gt;35,N36+M37-V36,IF(A37&lt;'Données projet'!$A$36,$K$205^A37,IF(A37='Données projet'!$A$36,'Données projet'!$B$36,N36+M37-V36)))</f>
        <v>153.49999999999994</v>
      </c>
      <c r="O37" s="13">
        <f>N37*VLOOKUP('Données projet'!$B$9,Paramètres!$A$1:$I$89,3,0)*VLOOKUP('Données projet'!$B$9,Paramètres!$A$1:$I$89,5,0)</f>
        <v>124.51919999999997</v>
      </c>
      <c r="P37" s="13">
        <f t="shared" si="33"/>
        <v>32.726749993106388</v>
      </c>
      <c r="Q37" s="20">
        <f t="shared" si="53"/>
        <v>273.87002957132694</v>
      </c>
      <c r="R37" s="59">
        <f t="shared" si="0"/>
        <v>567.20336290466025</v>
      </c>
      <c r="S37" s="59">
        <f ca="1">AVERAGE(OFFSET($R$3,0,0,'Données projet'!$E$9+1,1))-AVERAGE(OFFSET($H$3,0,0,'Données projet'!$E$9+1,1))</f>
        <v>298.98869919374232</v>
      </c>
      <c r="T37" s="59">
        <f t="shared" si="34"/>
        <v>293.11447542333889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12.2</v>
      </c>
      <c r="AI37" s="13">
        <f>IF('Données projet'!$A$62&gt;35,AI36+AH37-AQ36,IF(A37&lt;'Données projet'!$A$62,$AF$205^A37,IF(A37='Données projet'!$A$62,'Données projet'!$B$62,AI36+AH37-AQ36)))</f>
        <v>188.79999999999998</v>
      </c>
      <c r="AJ37" s="13">
        <f>AI37*VLOOKUP('Données projet'!$B$10,Paramètres!$A$1:$I$89,3,0)*VLOOKUP('Données projet'!$B$10,Paramètres!$A$1:$I$89,5,0)</f>
        <v>164.93567999999999</v>
      </c>
      <c r="AK37" s="13">
        <f t="shared" si="35"/>
        <v>41.953795695589498</v>
      </c>
      <c r="AL37" s="20">
        <f t="shared" si="4"/>
        <v>360.33250350315166</v>
      </c>
      <c r="AM37" s="59">
        <f t="shared" si="5"/>
        <v>653.66583683648491</v>
      </c>
      <c r="AN37" s="59">
        <f ca="1">AVERAGE(OFFSET($AM$3,0,0,'Données projet'!$E$10+1,1))-AVERAGE(OFFSET($H$3,0,0,'Données projet'!$E$10+1,1))</f>
        <v>321.36684354830828</v>
      </c>
      <c r="AO37" s="59">
        <f t="shared" si="36"/>
        <v>388.05195847800502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23.83181039481638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23.83181039481638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11.5</v>
      </c>
      <c r="N38" s="13">
        <f>IF('Données projet'!$A$36&gt;35,N37+M38-V37,IF(A38&lt;'Données projet'!$A$36,$K$205^A38,IF(A38='Données projet'!$A$36,'Données projet'!$B$36,N37+M38-V37)))</f>
        <v>164.99999999999994</v>
      </c>
      <c r="O38" s="13">
        <f>N38*VLOOKUP('Données projet'!$B$9,Paramètres!$A$1:$I$89,3,0)*VLOOKUP('Données projet'!$B$9,Paramètres!$A$1:$I$89,5,0)</f>
        <v>133.84799999999996</v>
      </c>
      <c r="P38" s="13">
        <f t="shared" si="33"/>
        <v>34.884003992121656</v>
      </c>
      <c r="Q38" s="20">
        <f t="shared" si="53"/>
        <v>293.87490695294508</v>
      </c>
      <c r="R38" s="59">
        <f t="shared" si="0"/>
        <v>587.2082402862784</v>
      </c>
      <c r="S38" s="59">
        <f ca="1">AVERAGE(OFFSET($R$3,0,0,'Données projet'!$E$9+1,1))-AVERAGE(OFFSET($H$3,0,0,'Données projet'!$E$9+1,1))</f>
        <v>298.98869919374232</v>
      </c>
      <c r="T38" s="59">
        <f t="shared" si="34"/>
        <v>293.11447542333889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</v>
      </c>
      <c r="AG38" s="12">
        <f>VLOOKUP(A38,'Données projet'!$A$61:$I$81,9,0)</f>
        <v>12.2</v>
      </c>
      <c r="AH38" s="12">
        <f t="array" ref="AH38">INDEX(AG:AG,MIN(IF(ISNUMBER(AG38:AG234),ROW(AG38:AG234),"")))</f>
        <v>12.2</v>
      </c>
      <c r="AI38" s="13">
        <f>IF('Données projet'!$A$62&gt;35,AI37+AH38-AQ37,IF(A38&lt;'Données projet'!$A$62,$AF$205^A38,IF(A38='Données projet'!$A$62,'Données projet'!$B$62,AI37+AH38-AQ37)))</f>
        <v>200.99999999999997</v>
      </c>
      <c r="AJ38" s="13">
        <f>AI38*VLOOKUP('Données projet'!$B$10,Paramètres!$A$1:$I$89,3,0)*VLOOKUP('Données projet'!$B$10,Paramètres!$A$1:$I$89,5,0)</f>
        <v>175.59359999999998</v>
      </c>
      <c r="AK38" s="13">
        <f t="shared" si="35"/>
        <v>44.340433728638573</v>
      </c>
      <c r="AL38" s="20">
        <f t="shared" si="4"/>
        <v>383.05177541071208</v>
      </c>
      <c r="AM38" s="59">
        <f t="shared" si="5"/>
        <v>676.3851087440454</v>
      </c>
      <c r="AN38" s="59">
        <f ca="1">AVERAGE(OFFSET($AM$3,0,0,'Données projet'!$E$10+1,1))-AVERAGE(OFFSET($H$3,0,0,'Données projet'!$E$10+1,1))</f>
        <v>321.36684354830828</v>
      </c>
      <c r="AO38" s="59">
        <f t="shared" si="36"/>
        <v>388.05195847800502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0.25800000000000001</v>
      </c>
      <c r="AS38" s="16">
        <f>IF(ISNA(VLOOKUP(A38,'Données projet'!$A$61:$I$81,6,0)),0%,VLOOKUP(A38,'Données projet'!$A$61:$I$81,6,0)*VLOOKUP('Données projet'!$B$10,Paramètres!$A$1:$I$89,7,0))</f>
        <v>8.6000000000000007E-2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10.464746975696002</v>
      </c>
      <c r="AV38" s="21">
        <f>EXP(-LN(2)/25)*AV37+(1-EXP(-LN(2)/25))/(LN(2)/25)*Calculateur!AQ38*Calculateur!AS38*VLOOKUP('Données projet'!$B$10,Paramètres!$A$1:$I$89,3,0)*0.475*44/12</f>
        <v>26.654642712800179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37.119389688496184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11.5</v>
      </c>
      <c r="N39" s="13">
        <f>IF('Données projet'!$A$36&gt;35,N38+M39-V38,IF(A39&lt;'Données projet'!$A$36,$K$205^A39,IF(A39='Données projet'!$A$36,'Données projet'!$B$36,N38+M39-V38)))</f>
        <v>176.49999999999994</v>
      </c>
      <c r="O39" s="13">
        <f>N39*VLOOKUP('Données projet'!$B$9,Paramètres!$A$1:$I$89,3,0)*VLOOKUP('Données projet'!$B$9,Paramètres!$A$1:$I$89,5,0)</f>
        <v>143.17679999999996</v>
      </c>
      <c r="P39" s="13">
        <f t="shared" si="33"/>
        <v>37.023812674521487</v>
      </c>
      <c r="Q39" s="20">
        <f t="shared" si="53"/>
        <v>313.84940040812484</v>
      </c>
      <c r="R39" s="59">
        <f t="shared" si="0"/>
        <v>607.18273374145815</v>
      </c>
      <c r="S39" s="59">
        <f ca="1">AVERAGE(OFFSET($R$3,0,0,'Données projet'!$E$9+1,1))-AVERAGE(OFFSET($H$3,0,0,'Données projet'!$E$9+1,1))</f>
        <v>298.98869919374232</v>
      </c>
      <c r="T39" s="59">
        <f t="shared" si="34"/>
        <v>293.11447542333889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10.8</v>
      </c>
      <c r="AI39" s="13">
        <f>IF('Données projet'!$A$62&gt;35,AI38+AH39-AQ38,IF(A39&lt;'Données projet'!$A$62,$AF$205^A39,IF(A39='Données projet'!$A$62,'Données projet'!$B$62,AI38+AH39-AQ38)))</f>
        <v>169.79999999999998</v>
      </c>
      <c r="AJ39" s="13">
        <f>AI39*VLOOKUP('Données projet'!$B$10,Paramètres!$A$1:$I$89,3,0)*VLOOKUP('Données projet'!$B$10,Paramètres!$A$1:$I$89,5,0)</f>
        <v>148.33727999999999</v>
      </c>
      <c r="AK39" s="13">
        <f t="shared" si="35"/>
        <v>38.200481752654802</v>
      </c>
      <c r="AL39" s="20">
        <f t="shared" si="4"/>
        <v>324.88660171920714</v>
      </c>
      <c r="AM39" s="59">
        <f t="shared" si="5"/>
        <v>618.21993505254045</v>
      </c>
      <c r="AN39" s="59">
        <f ca="1">AVERAGE(OFFSET($AM$3,0,0,'Données projet'!$E$10+1,1))-AVERAGE(OFFSET($H$3,0,0,'Données projet'!$E$10+1,1))</f>
        <v>321.36684354830828</v>
      </c>
      <c r="AO39" s="59">
        <f t="shared" si="36"/>
        <v>388.05195847800502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10.259539670368003</v>
      </c>
      <c r="AV39" s="21">
        <f>EXP(-LN(2)/25)*AV38+(1-EXP(-LN(2)/25))/(LN(2)/25)*Calculateur!AQ39*Calculateur!AS39*VLOOKUP('Données projet'!$B$10,Paramètres!$A$1:$I$89,3,0)*0.475*44/12</f>
        <v>25.925770106111919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36.185309776479926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188</v>
      </c>
      <c r="L40" s="12">
        <f>VLOOKUP(A40,'Données projet'!$A$35:$I$55,9,0)</f>
        <v>11.5</v>
      </c>
      <c r="M40" s="12">
        <f t="array" ref="M40">INDEX(L:L,MIN(IF(ISNUMBER(L40:L236),ROW(L40:L236),"")))</f>
        <v>11.5</v>
      </c>
      <c r="N40" s="13">
        <f>IF('Données projet'!$A$36&gt;35,N39+M40-V39,IF(A40&lt;'Données projet'!$A$36,$K$205^A40,IF(A40='Données projet'!$A$36,'Données projet'!$B$36,N39+M40-V39)))</f>
        <v>187.99999999999994</v>
      </c>
      <c r="O40" s="13">
        <f>N40*VLOOKUP('Données projet'!$B$9,Paramètres!$A$1:$I$89,3,0)*VLOOKUP('Données projet'!$B$9,Paramètres!$A$1:$I$89,5,0)</f>
        <v>152.50559999999996</v>
      </c>
      <c r="P40" s="13">
        <f t="shared" si="33"/>
        <v>39.147442061162216</v>
      </c>
      <c r="Q40" s="20">
        <f t="shared" si="53"/>
        <v>333.79571492319081</v>
      </c>
      <c r="R40" s="59">
        <f t="shared" si="0"/>
        <v>627.12904825652413</v>
      </c>
      <c r="S40" s="59">
        <f ca="1">AVERAGE(OFFSET($R$3,0,0,'Données projet'!$E$9+1,1))-AVERAGE(OFFSET($H$3,0,0,'Données projet'!$E$9+1,1))</f>
        <v>298.98869919374232</v>
      </c>
      <c r="T40" s="59">
        <f t="shared" si="34"/>
        <v>293.11447542333889</v>
      </c>
      <c r="U40" s="15">
        <f>IF(ISNA(VLOOKUP(A40,'Données projet'!$A$35:$I$55,3,0)),0,VLOOKUP(A40,'Données projet'!$A$35:$I$55,3,0))</f>
        <v>5</v>
      </c>
      <c r="V40" s="15">
        <f>IF(ISNA(VLOOKUP(A40,'Données projet'!$A$35:$I$55,4,0)),0,VLOOKUP(A40,'Données projet'!$A$35:$I$55,4,0))</f>
        <v>36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10.8</v>
      </c>
      <c r="AI40" s="13">
        <f>IF('Données projet'!$A$62&gt;35,AI39+AH40-AQ39,IF(A40&lt;'Données projet'!$A$62,$AF$205^A40,IF(A40='Données projet'!$A$62,'Données projet'!$B$62,AI39+AH40-AQ39)))</f>
        <v>180.6</v>
      </c>
      <c r="AJ40" s="13">
        <f>AI40*VLOOKUP('Données projet'!$B$10,Paramètres!$A$1:$I$89,3,0)*VLOOKUP('Données projet'!$B$10,Paramètres!$A$1:$I$89,5,0)</f>
        <v>157.77216000000001</v>
      </c>
      <c r="AK40" s="13">
        <f t="shared" si="35"/>
        <v>40.339610539653599</v>
      </c>
      <c r="AL40" s="20">
        <f t="shared" si="4"/>
        <v>345.04466702323003</v>
      </c>
      <c r="AM40" s="59">
        <f t="shared" si="5"/>
        <v>638.37800035656335</v>
      </c>
      <c r="AN40" s="59">
        <f ca="1">AVERAGE(OFFSET($AM$3,0,0,'Données projet'!$E$10+1,1))-AVERAGE(OFFSET($H$3,0,0,'Données projet'!$E$10+1,1))</f>
        <v>321.36684354830828</v>
      </c>
      <c r="AO40" s="59">
        <f t="shared" si="36"/>
        <v>388.05195847800502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10.058356355133389</v>
      </c>
      <c r="AV40" s="21">
        <f>EXP(-LN(2)/25)*AV39+(1-EXP(-LN(2)/25))/(LN(2)/25)*Calculateur!AQ40*Calculateur!AS40*VLOOKUP('Données projet'!$B$10,Paramètres!$A$1:$I$89,3,0)*0.475*44/12</f>
        <v>25.216828559183295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35.275184914316682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11.142857142857142</v>
      </c>
      <c r="N41" s="13">
        <f>IF('Données projet'!$A$36&gt;35,N40+M41-V40,IF(A41&lt;'Données projet'!$A$36,$K$205^A41,IF(A41='Données projet'!$A$36,'Données projet'!$B$36,N40+M41-V40)))</f>
        <v>163.14285714285708</v>
      </c>
      <c r="O41" s="13">
        <f>N41*VLOOKUP('Données projet'!$B$9,Paramètres!$A$1:$I$89,3,0)*VLOOKUP('Données projet'!$B$9,Paramètres!$A$1:$I$89,5,0)</f>
        <v>132.34148571428568</v>
      </c>
      <c r="P41" s="13">
        <f t="shared" si="33"/>
        <v>34.536844536486583</v>
      </c>
      <c r="Q41" s="20">
        <f t="shared" si="53"/>
        <v>290.64642518676169</v>
      </c>
      <c r="R41" s="59">
        <f t="shared" si="0"/>
        <v>583.97975852009495</v>
      </c>
      <c r="S41" s="59">
        <f ca="1">AVERAGE(OFFSET($R$3,0,0,'Données projet'!$E$9+1,1))-AVERAGE(OFFSET($H$3,0,0,'Données projet'!$E$9+1,1))</f>
        <v>298.98869919374232</v>
      </c>
      <c r="T41" s="59">
        <f t="shared" si="34"/>
        <v>293.11447542333889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10.8</v>
      </c>
      <c r="AI41" s="13">
        <f>IF('Données projet'!$A$62&gt;35,AI40+AH41-AQ40,IF(A41&lt;'Données projet'!$A$62,$AF$205^A41,IF(A41='Données projet'!$A$62,'Données projet'!$B$62,AI40+AH41-AQ40)))</f>
        <v>191.4</v>
      </c>
      <c r="AJ41" s="13">
        <f>AI41*VLOOKUP('Données projet'!$B$10,Paramètres!$A$1:$I$89,3,0)*VLOOKUP('Données projet'!$B$10,Paramètres!$A$1:$I$89,5,0)</f>
        <v>167.20704000000003</v>
      </c>
      <c r="AK41" s="13">
        <f t="shared" si="35"/>
        <v>42.463891647822834</v>
      </c>
      <c r="AL41" s="20">
        <f t="shared" si="4"/>
        <v>365.17687261995815</v>
      </c>
      <c r="AM41" s="59">
        <f t="shared" si="5"/>
        <v>658.51020595329146</v>
      </c>
      <c r="AN41" s="59">
        <f ca="1">AVERAGE(OFFSET($AM$3,0,0,'Données projet'!$E$10+1,1))-AVERAGE(OFFSET($H$3,0,0,'Données projet'!$E$10+1,1))</f>
        <v>321.36684354830828</v>
      </c>
      <c r="AO41" s="59">
        <f t="shared" si="36"/>
        <v>388.05195847800502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9.8611181220008195</v>
      </c>
      <c r="AV41" s="21">
        <f>EXP(-LN(2)/25)*AV40+(1-EXP(-LN(2)/25))/(LN(2)/25)*Calculateur!AQ41*Calculateur!AS41*VLOOKUP('Données projet'!$B$10,Paramètres!$A$1:$I$89,3,0)*0.475*44/12</f>
        <v>24.527273056137048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34.388391178137866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11.142857142857142</v>
      </c>
      <c r="N42" s="13">
        <f>IF('Données projet'!$A$36&gt;35,N41+M42-V41,IF(A42&lt;'Données projet'!$A$36,$K$205^A42,IF(A42='Données projet'!$A$36,'Données projet'!$B$36,N41+M42-V41)))</f>
        <v>174.28571428571422</v>
      </c>
      <c r="O42" s="13">
        <f>N42*VLOOKUP('Données projet'!$B$9,Paramètres!$A$1:$I$89,3,0)*VLOOKUP('Données projet'!$B$9,Paramètres!$A$1:$I$89,5,0)</f>
        <v>141.38057142857139</v>
      </c>
      <c r="P42" s="13">
        <f t="shared" si="33"/>
        <v>36.613094170880125</v>
      </c>
      <c r="Q42" s="20">
        <f t="shared" si="53"/>
        <v>310.005634252378</v>
      </c>
      <c r="R42" s="59">
        <f t="shared" si="0"/>
        <v>603.33896758571132</v>
      </c>
      <c r="S42" s="59">
        <f ca="1">AVERAGE(OFFSET($R$3,0,0,'Données projet'!$E$9+1,1))-AVERAGE(OFFSET($H$3,0,0,'Données projet'!$E$9+1,1))</f>
        <v>298.98869919374232</v>
      </c>
      <c r="T42" s="59">
        <f t="shared" si="34"/>
        <v>293.11447542333889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10.8</v>
      </c>
      <c r="AI42" s="13">
        <f>IF('Données projet'!$A$62&gt;35,AI41+AH42-AQ41,IF(A42&lt;'Données projet'!$A$62,$AF$205^A42,IF(A42='Données projet'!$A$62,'Données projet'!$B$62,AI41+AH42-AQ41)))</f>
        <v>202.20000000000002</v>
      </c>
      <c r="AJ42" s="13">
        <f>AI42*VLOOKUP('Données projet'!$B$10,Paramètres!$A$1:$I$89,3,0)*VLOOKUP('Données projet'!$B$10,Paramètres!$A$1:$I$89,5,0)</f>
        <v>176.64192000000003</v>
      </c>
      <c r="AK42" s="13">
        <f t="shared" si="35"/>
        <v>44.574258350008236</v>
      </c>
      <c r="AL42" s="20">
        <f t="shared" si="4"/>
        <v>385.28484395959771</v>
      </c>
      <c r="AM42" s="59">
        <f t="shared" si="5"/>
        <v>678.61817729293102</v>
      </c>
      <c r="AN42" s="59">
        <f ca="1">AVERAGE(OFFSET($AM$3,0,0,'Données projet'!$E$10+1,1))-AVERAGE(OFFSET($H$3,0,0,'Données projet'!$E$10+1,1))</f>
        <v>321.36684354830828</v>
      </c>
      <c r="AO42" s="59">
        <f t="shared" si="36"/>
        <v>388.05195847800502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9.6677476103165372</v>
      </c>
      <c r="AV42" s="21">
        <f>EXP(-LN(2)/25)*AV41+(1-EXP(-LN(2)/25))/(LN(2)/25)*Calculateur!AQ42*Calculateur!AS42*VLOOKUP('Données projet'!$B$10,Paramètres!$A$1:$I$89,3,0)*0.475*44/12</f>
        <v>23.856573484583748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33.524321094900287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11.142857142857142</v>
      </c>
      <c r="N43" s="13">
        <f>IF('Données projet'!$A$36&gt;35,N42+M43-V42,IF(A43&lt;'Données projet'!$A$36,$K$205^A43,IF(A43='Données projet'!$A$36,'Données projet'!$B$36,N42+M43-V42)))</f>
        <v>185.42857142857136</v>
      </c>
      <c r="O43" s="13">
        <f>N43*VLOOKUP('Données projet'!$B$9,Paramètres!$A$1:$I$89,3,0)*VLOOKUP('Données projet'!$B$9,Paramètres!$A$1:$I$89,5,0)</f>
        <v>150.41965714285709</v>
      </c>
      <c r="P43" s="13">
        <f t="shared" si="33"/>
        <v>38.673938700014816</v>
      </c>
      <c r="Q43" s="20">
        <f t="shared" si="53"/>
        <v>329.33801275966857</v>
      </c>
      <c r="R43" s="59">
        <f t="shared" si="0"/>
        <v>622.67134609300183</v>
      </c>
      <c r="S43" s="59">
        <f ca="1">AVERAGE(OFFSET($R$3,0,0,'Données projet'!$E$9+1,1))-AVERAGE(OFFSET($H$3,0,0,'Données projet'!$E$9+1,1))</f>
        <v>298.98869919374232</v>
      </c>
      <c r="T43" s="59">
        <f t="shared" si="34"/>
        <v>293.11447542333889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213</v>
      </c>
      <c r="AG43" s="12">
        <f>VLOOKUP(A43,'Données projet'!$A$61:$I$81,9,0)</f>
        <v>10.8</v>
      </c>
      <c r="AH43" s="12">
        <f t="array" ref="AH43">INDEX(AG:AG,MIN(IF(ISNUMBER(AG43:AG239),ROW(AG43:AG239),"")))</f>
        <v>10.8</v>
      </c>
      <c r="AI43" s="13">
        <f>IF('Données projet'!$A$62&gt;35,AI42+AH43-AQ42,IF(A43&lt;'Données projet'!$A$62,$AF$205^A43,IF(A43='Données projet'!$A$62,'Données projet'!$B$62,AI42+AH43-AQ42)))</f>
        <v>213.00000000000003</v>
      </c>
      <c r="AJ43" s="13">
        <f>AI43*VLOOKUP('Données projet'!$B$10,Paramètres!$A$1:$I$89,3,0)*VLOOKUP('Données projet'!$B$10,Paramètres!$A$1:$I$89,5,0)</f>
        <v>186.07680000000005</v>
      </c>
      <c r="AK43" s="13">
        <f t="shared" si="35"/>
        <v>46.671538591528673</v>
      </c>
      <c r="AL43" s="20">
        <f t="shared" si="4"/>
        <v>405.37002304691242</v>
      </c>
      <c r="AM43" s="59">
        <f t="shared" si="5"/>
        <v>698.70335638024574</v>
      </c>
      <c r="AN43" s="59">
        <f ca="1">AVERAGE(OFFSET($AM$3,0,0,'Données projet'!$E$10+1,1))-AVERAGE(OFFSET($H$3,0,0,'Données projet'!$E$10+1,1))</f>
        <v>321.36684354830828</v>
      </c>
      <c r="AO43" s="59">
        <f t="shared" si="36"/>
        <v>388.05195847800502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39</v>
      </c>
      <c r="AR43" s="16">
        <f>IF(ISNA(VLOOKUP(A43,'Données projet'!$A$61:$I$81,5,0)),0%,VLOOKUP(A43,'Données projet'!$A$61:$I$81,5,0)*VLOOKUP('Données projet'!$B$10,Paramètres!$A$1:$I$89,7,0))</f>
        <v>0.25800000000000001</v>
      </c>
      <c r="AS43" s="16">
        <f>IF(ISNA(VLOOKUP(A43,'Données projet'!$A$61:$I$81,6,0)),0%,VLOOKUP(A43,'Données projet'!$A$61:$I$81,6,0)*VLOOKUP('Données projet'!$B$10,Paramètres!$A$1:$I$89,7,0))</f>
        <v>8.6000000000000007E-2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19.195434025282591</v>
      </c>
      <c r="AV43" s="21">
        <f>EXP(-LN(2)/25)*AV42+(1-EXP(-LN(2)/25))/(LN(2)/25)*Calculateur!AQ43*Calculateur!AS43*VLOOKUP('Données projet'!$B$10,Paramètres!$A$1:$I$89,3,0)*0.475*44/12</f>
        <v>26.430549052683446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45.62598307796604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11.142857142857142</v>
      </c>
      <c r="N44" s="13">
        <f>IF('Données projet'!$A$36&gt;35,N43+M44-V43,IF(A44&lt;'Données projet'!$A$36,$K$205^A44,IF(A44='Données projet'!$A$36,'Données projet'!$B$36,N43+M44-V43)))</f>
        <v>196.5714285714285</v>
      </c>
      <c r="O44" s="13">
        <f>N44*VLOOKUP('Données projet'!$B$9,Paramètres!$A$1:$I$89,3,0)*VLOOKUP('Données projet'!$B$9,Paramètres!$A$1:$I$89,5,0)</f>
        <v>159.45874285714279</v>
      </c>
      <c r="P44" s="13">
        <f t="shared" si="33"/>
        <v>40.720409281188005</v>
      </c>
      <c r="Q44" s="20">
        <f t="shared" si="53"/>
        <v>348.64535664092614</v>
      </c>
      <c r="R44" s="59">
        <f t="shared" si="0"/>
        <v>641.9786899742594</v>
      </c>
      <c r="S44" s="59">
        <f ca="1">AVERAGE(OFFSET($R$3,0,0,'Données projet'!$E$9+1,1))-AVERAGE(OFFSET($H$3,0,0,'Données projet'!$E$9+1,1))</f>
        <v>298.98869919374232</v>
      </c>
      <c r="T44" s="59">
        <f t="shared" si="34"/>
        <v>293.11447542333889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183.80000000000004</v>
      </c>
      <c r="AJ44" s="13">
        <f>AI44*VLOOKUP('Données projet'!$B$10,Paramètres!$A$1:$I$89,3,0)*VLOOKUP('Données projet'!$B$10,Paramètres!$A$1:$I$89,5,0)</f>
        <v>160.56768000000005</v>
      </c>
      <c r="AK44" s="13">
        <f t="shared" si="35"/>
        <v>40.970530810309882</v>
      </c>
      <c r="AL44" s="20">
        <f t="shared" si="4"/>
        <v>351.0123838279564</v>
      </c>
      <c r="AM44" s="59">
        <f t="shared" si="5"/>
        <v>644.34571716128971</v>
      </c>
      <c r="AN44" s="59">
        <f ca="1">AVERAGE(OFFSET($AM$3,0,0,'Données projet'!$E$10+1,1))-AVERAGE(OFFSET($H$3,0,0,'Données projet'!$E$10+1,1))</f>
        <v>321.36684354830828</v>
      </c>
      <c r="AO44" s="59">
        <f t="shared" si="36"/>
        <v>388.05195847800502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18.819023272105479</v>
      </c>
      <c r="AV44" s="21">
        <f>EXP(-LN(2)/25)*AV43+(1-EXP(-LN(2)/25))/(LN(2)/25)*Calculateur!AQ44*Calculateur!AS44*VLOOKUP('Données projet'!$B$10,Paramètres!$A$1:$I$89,3,0)*0.475*44/12</f>
        <v>25.707804298915651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44.52682757102113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11.142857142857142</v>
      </c>
      <c r="N45" s="13">
        <f>IF('Données projet'!$A$36&gt;35,N44+M45-V44,IF(A45&lt;'Données projet'!$A$36,$K$205^A45,IF(A45='Données projet'!$A$36,'Données projet'!$B$36,N44+M45-V44)))</f>
        <v>207.71428571428564</v>
      </c>
      <c r="O45" s="13">
        <f>N45*VLOOKUP('Données projet'!$B$9,Paramètres!$A$1:$I$89,3,0)*VLOOKUP('Données projet'!$B$9,Paramètres!$A$1:$I$89,5,0)</f>
        <v>168.49782857142853</v>
      </c>
      <c r="P45" s="13">
        <f t="shared" si="33"/>
        <v>42.753413564296331</v>
      </c>
      <c r="Q45" s="20">
        <f t="shared" si="53"/>
        <v>367.92924671972077</v>
      </c>
      <c r="R45" s="59">
        <f t="shared" si="0"/>
        <v>661.26258005305408</v>
      </c>
      <c r="S45" s="59">
        <f ca="1">AVERAGE(OFFSET($R$3,0,0,'Données projet'!$E$9+1,1))-AVERAGE(OFFSET($H$3,0,0,'Données projet'!$E$9+1,1))</f>
        <v>298.98869919374232</v>
      </c>
      <c r="T45" s="59">
        <f t="shared" si="34"/>
        <v>293.11447542333889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193.60000000000005</v>
      </c>
      <c r="AJ45" s="13">
        <f>AI45*VLOOKUP('Données projet'!$B$10,Paramètres!$A$1:$I$89,3,0)*VLOOKUP('Données projet'!$B$10,Paramètres!$A$1:$I$89,5,0)</f>
        <v>169.12896000000006</v>
      </c>
      <c r="AK45" s="13">
        <f t="shared" si="35"/>
        <v>42.894881315146776</v>
      </c>
      <c r="AL45" s="20">
        <f t="shared" si="4"/>
        <v>369.27485695721407</v>
      </c>
      <c r="AM45" s="59">
        <f t="shared" si="5"/>
        <v>662.60819029054733</v>
      </c>
      <c r="AN45" s="59">
        <f ca="1">AVERAGE(OFFSET($AM$3,0,0,'Données projet'!$E$10+1,1))-AVERAGE(OFFSET($H$3,0,0,'Données projet'!$E$10+1,1))</f>
        <v>321.36684354830828</v>
      </c>
      <c r="AO45" s="59">
        <f t="shared" si="36"/>
        <v>388.05195847800502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18.449993704210282</v>
      </c>
      <c r="AV45" s="21">
        <f>EXP(-LN(2)/25)*AV44+(1-EXP(-LN(2)/25))/(LN(2)/25)*Calculateur!AQ45*Calculateur!AS45*VLOOKUP('Données projet'!$B$10,Paramètres!$A$1:$I$89,3,0)*0.475*44/12</f>
        <v>25.004823038447132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43.454816742657414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11.142857142857142</v>
      </c>
      <c r="N46" s="13">
        <f>IF('Données projet'!$A$36&gt;35,N45+M46-V45,IF(A46&lt;'Données projet'!$A$36,$K$205^A46,IF(A46='Données projet'!$A$36,'Données projet'!$B$36,N45+M46-V45)))</f>
        <v>218.85714285714278</v>
      </c>
      <c r="O46" s="13">
        <f>N46*VLOOKUP('Données projet'!$B$9,Paramètres!$A$1:$I$89,3,0)*VLOOKUP('Données projet'!$B$9,Paramètres!$A$1:$I$89,5,0)</f>
        <v>177.53691428571423</v>
      </c>
      <c r="P46" s="13">
        <f t="shared" si="33"/>
        <v>44.773756317302826</v>
      </c>
      <c r="Q46" s="20">
        <f t="shared" si="53"/>
        <v>387.19108463358799</v>
      </c>
      <c r="R46" s="59">
        <f t="shared" si="0"/>
        <v>680.52441796692131</v>
      </c>
      <c r="S46" s="59">
        <f ca="1">AVERAGE(OFFSET($R$3,0,0,'Données projet'!$E$9+1,1))-AVERAGE(OFFSET($H$3,0,0,'Données projet'!$E$9+1,1))</f>
        <v>298.98869919374232</v>
      </c>
      <c r="T46" s="59">
        <f t="shared" si="34"/>
        <v>293.11447542333889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203.40000000000006</v>
      </c>
      <c r="AJ46" s="13">
        <f>AI46*VLOOKUP('Données projet'!$B$10,Paramètres!$A$1:$I$89,3,0)*VLOOKUP('Données projet'!$B$10,Paramètres!$A$1:$I$89,5,0)</f>
        <v>177.69024000000007</v>
      </c>
      <c r="AK46" s="13">
        <f t="shared" si="35"/>
        <v>44.807921499827692</v>
      </c>
      <c r="AL46" s="20">
        <f t="shared" si="4"/>
        <v>387.5176312788667</v>
      </c>
      <c r="AM46" s="59">
        <f t="shared" si="5"/>
        <v>680.85096461219996</v>
      </c>
      <c r="AN46" s="59">
        <f ca="1">AVERAGE(OFFSET($AM$3,0,0,'Données projet'!$E$10+1,1))-AVERAGE(OFFSET($H$3,0,0,'Données projet'!$E$10+1,1))</f>
        <v>321.36684354830828</v>
      </c>
      <c r="AO46" s="59">
        <f t="shared" si="36"/>
        <v>388.05195847800502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18.088200581055698</v>
      </c>
      <c r="AV46" s="21">
        <f>EXP(-LN(2)/25)*AV45+(1-EXP(-LN(2)/25))/(LN(2)/25)*Calculateur!AQ46*Calculateur!AS46*VLOOKUP('Données projet'!$B$10,Paramètres!$A$1:$I$89,3,0)*0.475*44/12</f>
        <v>24.321064837514299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42.409265418570001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230</v>
      </c>
      <c r="L47" s="12">
        <f>VLOOKUP(A47,'Données projet'!$A$35:$I$55,9,0)</f>
        <v>11.142857142857142</v>
      </c>
      <c r="M47" s="12">
        <f t="array" ref="M47">INDEX(L:L,MIN(IF(ISNUMBER(L47:L243),ROW(L47:L243),"")))</f>
        <v>11.142857142857142</v>
      </c>
      <c r="N47" s="13">
        <f>IF('Données projet'!$A$36&gt;35,N46+M47-V46,IF(A47&lt;'Données projet'!$A$36,$K$205^A47,IF(A47='Données projet'!$A$36,'Données projet'!$B$36,N46+M47-V46)))</f>
        <v>229.99999999999991</v>
      </c>
      <c r="O47" s="13">
        <f>N47*VLOOKUP('Données projet'!$B$9,Paramètres!$A$1:$I$89,3,0)*VLOOKUP('Données projet'!$B$9,Paramètres!$A$1:$I$89,5,0)</f>
        <v>186.57599999999996</v>
      </c>
      <c r="P47" s="13">
        <f t="shared" si="33"/>
        <v>46.782155731694274</v>
      </c>
      <c r="Q47" s="20">
        <f t="shared" si="53"/>
        <v>406.43212123270081</v>
      </c>
      <c r="R47" s="59">
        <f t="shared" si="0"/>
        <v>699.76545456603412</v>
      </c>
      <c r="S47" s="59">
        <f ca="1">AVERAGE(OFFSET($R$3,0,0,'Données projet'!$E$9+1,1))-AVERAGE(OFFSET($H$3,0,0,'Données projet'!$E$9+1,1))</f>
        <v>298.98869919374232</v>
      </c>
      <c r="T47" s="59">
        <f t="shared" si="34"/>
        <v>293.11447542333889</v>
      </c>
      <c r="U47" s="15">
        <f>IF(ISNA(VLOOKUP(A47,'Données projet'!$A$35:$I$55,3,0)),0,VLOOKUP(A47,'Données projet'!$A$35:$I$55,3,0))</f>
        <v>6</v>
      </c>
      <c r="V47" s="15">
        <f>IF(ISNA(VLOOKUP(A47,'Données projet'!$A$35:$I$55,4,0)),0,VLOOKUP(A47,'Données projet'!$A$35:$I$55,4,0))</f>
        <v>43</v>
      </c>
      <c r="W47" s="16">
        <f>IF(ISNA(VLOOKUP(A47,'Données projet'!$A$35:$I$55,5,0)),0%,VLOOKUP(A47,'Données projet'!$A$35:$I$55,5,0)*VLOOKUP('Données projet'!$B$9,Paramètres!$A$1:$I$89,7,0))</f>
        <v>0.159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6.1311315189239304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6.1311315189239304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213.20000000000007</v>
      </c>
      <c r="AJ47" s="13">
        <f>AI47*VLOOKUP('Données projet'!$B$10,Paramètres!$A$1:$I$89,3,0)*VLOOKUP('Données projet'!$B$10,Paramètres!$A$1:$I$89,5,0)</f>
        <v>186.25152000000008</v>
      </c>
      <c r="AK47" s="13">
        <f t="shared" si="35"/>
        <v>46.71025851515671</v>
      </c>
      <c r="AL47" s="20">
        <f t="shared" si="4"/>
        <v>405.7417642472314</v>
      </c>
      <c r="AM47" s="59">
        <f t="shared" si="5"/>
        <v>699.07509758056472</v>
      </c>
      <c r="AN47" s="59">
        <f ca="1">AVERAGE(OFFSET($AM$3,0,0,'Données projet'!$E$10+1,1))-AVERAGE(OFFSET($H$3,0,0,'Données projet'!$E$10+1,1))</f>
        <v>321.36684354830828</v>
      </c>
      <c r="AO47" s="59">
        <f t="shared" si="36"/>
        <v>388.05195847800502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17.733502000374159</v>
      </c>
      <c r="AV47" s="21">
        <f>EXP(-LN(2)/25)*AV46+(1-EXP(-LN(2)/25))/(LN(2)/25)*Calculateur!AQ47*Calculateur!AS47*VLOOKUP('Données projet'!$B$10,Paramètres!$A$1:$I$89,3,0)*0.475*44/12</f>
        <v>23.656004040543259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41.389506040917418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10.375</v>
      </c>
      <c r="N48" s="13">
        <f>IF('Données projet'!$A$36&gt;35,N47+M48-V47,IF(A48&lt;'Données projet'!$A$36,$K$205^A48,IF(A48='Données projet'!$A$36,'Données projet'!$B$36,N47+M48-V47)))</f>
        <v>197.37499999999991</v>
      </c>
      <c r="O48" s="13">
        <f>N48*VLOOKUP('Données projet'!$B$9,Paramètres!$A$1:$I$89,3,0)*VLOOKUP('Données projet'!$B$9,Paramètres!$A$1:$I$89,5,0)</f>
        <v>160.11059999999995</v>
      </c>
      <c r="P48" s="13">
        <f t="shared" si="33"/>
        <v>40.867460542073509</v>
      </c>
      <c r="Q48" s="20">
        <f t="shared" si="53"/>
        <v>350.0367887774446</v>
      </c>
      <c r="R48" s="59">
        <f t="shared" si="0"/>
        <v>643.37012211077786</v>
      </c>
      <c r="S48" s="59">
        <f ca="1">AVERAGE(OFFSET($R$3,0,0,'Données projet'!$E$9+1,1))-AVERAGE(OFFSET($H$3,0,0,'Données projet'!$E$9+1,1))</f>
        <v>298.98869919374232</v>
      </c>
      <c r="T48" s="59">
        <f t="shared" si="34"/>
        <v>293.11447542333889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6.0109037694588014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6.0109037694588014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223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223.00000000000009</v>
      </c>
      <c r="AJ48" s="13">
        <f>AI48*VLOOKUP('Données projet'!$B$10,Paramètres!$A$1:$I$89,3,0)*VLOOKUP('Données projet'!$B$10,Paramètres!$A$1:$I$89,5,0)</f>
        <v>194.81280000000012</v>
      </c>
      <c r="AK48" s="13">
        <f t="shared" si="35"/>
        <v>48.602440540253902</v>
      </c>
      <c r="AL48" s="20">
        <f t="shared" si="4"/>
        <v>423.9482106076091</v>
      </c>
      <c r="AM48" s="59">
        <f t="shared" si="5"/>
        <v>717.28154394094236</v>
      </c>
      <c r="AN48" s="59">
        <f ca="1">AVERAGE(OFFSET($AM$3,0,0,'Données projet'!$E$10+1,1))-AVERAGE(OFFSET($H$3,0,0,'Données projet'!$E$10+1,1))</f>
        <v>321.36684354830828</v>
      </c>
      <c r="AO48" s="59">
        <f t="shared" si="36"/>
        <v>388.05195847800502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36</v>
      </c>
      <c r="AR48" s="16">
        <f>IF(ISNA(VLOOKUP(A48,'Données projet'!$A$61:$I$81,5,0)),0%,VLOOKUP(A48,'Données projet'!$A$61:$I$81,5,0)*VLOOKUP('Données projet'!$B$10,Paramètres!$A$1:$I$89,7,0))</f>
        <v>0.25800000000000001</v>
      </c>
      <c r="AS48" s="16">
        <f>IF(ISNA(VLOOKUP(A48,'Données projet'!$A$61:$I$81,6,0)),0%,VLOOKUP(A48,'Données projet'!$A$61:$I$81,6,0)*VLOOKUP('Données projet'!$B$10,Paramètres!$A$1:$I$89,7,0))</f>
        <v>0.129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26.355541964540159</v>
      </c>
      <c r="AV48" s="21">
        <f>EXP(-LN(2)/25)*AV47+(1-EXP(-LN(2)/25))/(LN(2)/25)*Calculateur!AQ48*Calculateur!AS48*VLOOKUP('Données projet'!$B$10,Paramètres!$A$1:$I$89,3,0)*0.475*44/12</f>
        <v>27.476362200098624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53.831904164638786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10.375</v>
      </c>
      <c r="N49" s="13">
        <f>IF('Données projet'!$A$36&gt;35,N48+M49-V48,IF(A49&lt;'Données projet'!$A$36,$K$205^A49,IF(A49='Données projet'!$A$36,'Données projet'!$B$36,N48+M49-V48)))</f>
        <v>207.74999999999991</v>
      </c>
      <c r="O49" s="13">
        <f>N49*VLOOKUP('Données projet'!$B$9,Paramètres!$A$1:$I$89,3,0)*VLOOKUP('Données projet'!$B$9,Paramètres!$A$1:$I$89,5,0)</f>
        <v>168.52679999999995</v>
      </c>
      <c r="P49" s="13">
        <f t="shared" si="33"/>
        <v>42.759908842532369</v>
      </c>
      <c r="Q49" s="20">
        <f t="shared" si="53"/>
        <v>367.99101790074377</v>
      </c>
      <c r="R49" s="59">
        <f t="shared" si="0"/>
        <v>661.32435123407708</v>
      </c>
      <c r="S49" s="59">
        <f ca="1">AVERAGE(OFFSET($R$3,0,0,'Données projet'!$E$9+1,1))-AVERAGE(OFFSET($H$3,0,0,'Données projet'!$E$9+1,1))</f>
        <v>298.98869919374232</v>
      </c>
      <c r="T49" s="59">
        <f t="shared" si="34"/>
        <v>293.11447542333889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5.8930336128289973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5.8930336128289973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</v>
      </c>
      <c r="AI49" s="13">
        <f>IF('Données projet'!$A$62&gt;35,AI48+AH49-AQ48,IF(A49&lt;'Données projet'!$A$62,$AF$205^A49,IF(A49='Données projet'!$A$62,'Données projet'!$B$62,AI48+AH49-AQ48)))</f>
        <v>196.00000000000009</v>
      </c>
      <c r="AJ49" s="13">
        <f>AI49*VLOOKUP('Données projet'!$B$10,Paramètres!$A$1:$I$89,3,0)*VLOOKUP('Données projet'!$B$10,Paramètres!$A$1:$I$89,5,0)</f>
        <v>171.2256000000001</v>
      </c>
      <c r="AK49" s="13">
        <f t="shared" si="35"/>
        <v>43.364402348589557</v>
      </c>
      <c r="AL49" s="20">
        <f t="shared" si="4"/>
        <v>373.74425409046029</v>
      </c>
      <c r="AM49" s="59">
        <f t="shared" si="5"/>
        <v>667.0775874237936</v>
      </c>
      <c r="AN49" s="59">
        <f ca="1">AVERAGE(OFFSET($AM$3,0,0,'Données projet'!$E$10+1,1))-AVERAGE(OFFSET($H$3,0,0,'Données projet'!$E$10+1,1))</f>
        <v>321.36684354830828</v>
      </c>
      <c r="AO49" s="59">
        <f t="shared" si="36"/>
        <v>388.05195847800502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25.83872586190882</v>
      </c>
      <c r="AV49" s="21">
        <f>EXP(-LN(2)/25)*AV48+(1-EXP(-LN(2)/25))/(LN(2)/25)*Calculateur!AQ49*Calculateur!AS49*VLOOKUP('Données projet'!$B$10,Paramètres!$A$1:$I$89,3,0)*0.475*44/12</f>
        <v>26.725019630817837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52.563745492726653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10.375</v>
      </c>
      <c r="N50" s="13">
        <f>IF('Données projet'!$A$36&gt;35,N49+M50-V49,IF(A50&lt;'Données projet'!$A$36,$K$205^A50,IF(A50='Données projet'!$A$36,'Données projet'!$B$36,N49+M50-V49)))</f>
        <v>218.12499999999991</v>
      </c>
      <c r="O50" s="13">
        <f>N50*VLOOKUP('Données projet'!$B$9,Paramètres!$A$1:$I$89,3,0)*VLOOKUP('Données projet'!$B$9,Paramètres!$A$1:$I$89,5,0)</f>
        <v>176.94299999999993</v>
      </c>
      <c r="P50" s="13">
        <f t="shared" si="33"/>
        <v>44.641383444033245</v>
      </c>
      <c r="Q50" s="20">
        <f t="shared" si="53"/>
        <v>385.92613449835773</v>
      </c>
      <c r="R50" s="59">
        <f t="shared" si="0"/>
        <v>679.25946783169104</v>
      </c>
      <c r="S50" s="59">
        <f ca="1">AVERAGE(OFFSET($R$3,0,0,'Données projet'!$E$9+1,1))-AVERAGE(OFFSET($H$3,0,0,'Données projet'!$E$9+1,1))</f>
        <v>298.98869919374232</v>
      </c>
      <c r="T50" s="59">
        <f t="shared" si="34"/>
        <v>293.11447542333889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5.7774748180770077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5.7774748180770077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</v>
      </c>
      <c r="AI50" s="13">
        <f>IF('Données projet'!$A$62&gt;35,AI49+AH50-AQ49,IF(A50&lt;'Données projet'!$A$62,$AF$205^A50,IF(A50='Données projet'!$A$62,'Données projet'!$B$62,AI49+AH50-AQ49)))</f>
        <v>205.00000000000009</v>
      </c>
      <c r="AJ50" s="13">
        <f>AI50*VLOOKUP('Données projet'!$B$10,Paramètres!$A$1:$I$89,3,0)*VLOOKUP('Données projet'!$B$10,Paramètres!$A$1:$I$89,5,0)</f>
        <v>179.08800000000008</v>
      </c>
      <c r="AK50" s="13">
        <f t="shared" si="35"/>
        <v>45.119223023956877</v>
      </c>
      <c r="AL50" s="20">
        <f t="shared" si="4"/>
        <v>390.49424676672498</v>
      </c>
      <c r="AM50" s="59">
        <f t="shared" si="5"/>
        <v>683.8275801000583</v>
      </c>
      <c r="AN50" s="59">
        <f ca="1">AVERAGE(OFFSET($AM$3,0,0,'Données projet'!$E$10+1,1))-AVERAGE(OFFSET($H$3,0,0,'Données projet'!$E$10+1,1))</f>
        <v>321.36684354830828</v>
      </c>
      <c r="AO50" s="59">
        <f t="shared" si="36"/>
        <v>388.05195847800502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25.332044207823387</v>
      </c>
      <c r="AV50" s="21">
        <f>EXP(-LN(2)/25)*AV49+(1-EXP(-LN(2)/25))/(LN(2)/25)*Calculateur!AQ50*Calculateur!AS50*VLOOKUP('Données projet'!$B$10,Paramètres!$A$1:$I$89,3,0)*0.475*44/12</f>
        <v>25.994222563605422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51.326266771428806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10.375</v>
      </c>
      <c r="N51" s="13">
        <f>IF('Données projet'!$A$36&gt;35,N50+M51-V50,IF(A51&lt;'Données projet'!$A$36,$K$205^A51,IF(A51='Données projet'!$A$36,'Données projet'!$B$36,N50+M51-V50)))</f>
        <v>228.49999999999991</v>
      </c>
      <c r="O51" s="13">
        <f>N51*VLOOKUP('Données projet'!$B$9,Paramètres!$A$1:$I$89,3,0)*VLOOKUP('Données projet'!$B$9,Paramètres!$A$1:$I$89,5,0)</f>
        <v>185.35919999999996</v>
      </c>
      <c r="P51" s="13">
        <f t="shared" si="33"/>
        <v>46.512465899126433</v>
      </c>
      <c r="Q51" s="20">
        <f t="shared" si="53"/>
        <v>403.84315144097849</v>
      </c>
      <c r="R51" s="59">
        <f t="shared" si="0"/>
        <v>697.1764847743118</v>
      </c>
      <c r="S51" s="59">
        <f ca="1">AVERAGE(OFFSET($R$3,0,0,'Données projet'!$E$9+1,1))-AVERAGE(OFFSET($H$3,0,0,'Données projet'!$E$9+1,1))</f>
        <v>298.98869919374232</v>
      </c>
      <c r="T51" s="59">
        <f t="shared" si="34"/>
        <v>293.11447542333889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5.6641820608061995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5.6641820608061995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</v>
      </c>
      <c r="AI51" s="13">
        <f>IF('Données projet'!$A$62&gt;35,AI50+AH51-AQ50,IF(A51&lt;'Données projet'!$A$62,$AF$205^A51,IF(A51='Données projet'!$A$62,'Données projet'!$B$62,AI50+AH51-AQ50)))</f>
        <v>214.00000000000009</v>
      </c>
      <c r="AJ51" s="13">
        <f>AI51*VLOOKUP('Données projet'!$B$10,Paramètres!$A$1:$I$89,3,0)*VLOOKUP('Données projet'!$B$10,Paramètres!$A$1:$I$89,5,0)</f>
        <v>186.95040000000009</v>
      </c>
      <c r="AK51" s="13">
        <f t="shared" si="35"/>
        <v>46.865095976617653</v>
      </c>
      <c r="AL51" s="20">
        <f t="shared" si="4"/>
        <v>407.22865549260922</v>
      </c>
      <c r="AM51" s="59">
        <f t="shared" si="5"/>
        <v>700.56198882594254</v>
      </c>
      <c r="AN51" s="59">
        <f ca="1">AVERAGE(OFFSET($AM$3,0,0,'Données projet'!$E$10+1,1))-AVERAGE(OFFSET($H$3,0,0,'Données projet'!$E$10+1,1))</f>
        <v>321.36684354830828</v>
      </c>
      <c r="AO51" s="59">
        <f t="shared" si="36"/>
        <v>388.05195847800502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24.835298271929275</v>
      </c>
      <c r="AV51" s="21">
        <f>EXP(-LN(2)/25)*AV50+(1-EXP(-LN(2)/25))/(LN(2)/25)*Calculateur!AQ51*Calculateur!AS51*VLOOKUP('Données projet'!$B$10,Paramètres!$A$1:$I$89,3,0)*0.475*44/12</f>
        <v>25.283409180626879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50.118707452556151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10.375</v>
      </c>
      <c r="N52" s="13">
        <f>IF('Données projet'!$A$36&gt;35,N51+M52-V51,IF(A52&lt;'Données projet'!$A$36,$K$205^A52,IF(A52='Données projet'!$A$36,'Données projet'!$B$36,N51+M52-V51)))</f>
        <v>238.87499999999991</v>
      </c>
      <c r="O52" s="13">
        <f>N52*VLOOKUP('Données projet'!$B$9,Paramètres!$A$1:$I$89,3,0)*VLOOKUP('Données projet'!$B$9,Paramètres!$A$1:$I$89,5,0)</f>
        <v>193.77539999999993</v>
      </c>
      <c r="P52" s="13">
        <f t="shared" si="33"/>
        <v>48.373681964577997</v>
      </c>
      <c r="Q52" s="20">
        <f t="shared" si="53"/>
        <v>421.7429844216399</v>
      </c>
      <c r="R52" s="59">
        <f t="shared" si="0"/>
        <v>715.07631775497316</v>
      </c>
      <c r="S52" s="59">
        <f ca="1">AVERAGE(OFFSET($R$3,0,0,'Données projet'!$E$9+1,1))-AVERAGE(OFFSET($H$3,0,0,'Données projet'!$E$9+1,1))</f>
        <v>298.98869919374232</v>
      </c>
      <c r="T52" s="59">
        <f t="shared" si="34"/>
        <v>293.11447542333889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5.5531109054037131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5.5531109054037131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</v>
      </c>
      <c r="AI52" s="13">
        <f>IF('Données projet'!$A$62&gt;35,AI51+AH52-AQ51,IF(A52&lt;'Données projet'!$A$62,$AF$205^A52,IF(A52='Données projet'!$A$62,'Données projet'!$B$62,AI51+AH52-AQ51)))</f>
        <v>223.00000000000009</v>
      </c>
      <c r="AJ52" s="13">
        <f>AI52*VLOOKUP('Données projet'!$B$10,Paramètres!$A$1:$I$89,3,0)*VLOOKUP('Données projet'!$B$10,Paramètres!$A$1:$I$89,5,0)</f>
        <v>194.81280000000012</v>
      </c>
      <c r="AK52" s="13">
        <f t="shared" si="35"/>
        <v>48.602440540253902</v>
      </c>
      <c r="AL52" s="20">
        <f t="shared" si="4"/>
        <v>423.9482106076091</v>
      </c>
      <c r="AM52" s="59">
        <f t="shared" si="5"/>
        <v>717.28154394094236</v>
      </c>
      <c r="AN52" s="59">
        <f ca="1">AVERAGE(OFFSET($AM$3,0,0,'Données projet'!$E$10+1,1))-AVERAGE(OFFSET($H$3,0,0,'Données projet'!$E$10+1,1))</f>
        <v>321.36684354830828</v>
      </c>
      <c r="AO52" s="59">
        <f t="shared" si="36"/>
        <v>388.05195847800502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24.348293220852945</v>
      </c>
      <c r="AV52" s="21">
        <f>EXP(-LN(2)/25)*AV51+(1-EXP(-LN(2)/25))/(LN(2)/25)*Calculateur!AQ52*Calculateur!AS52*VLOOKUP('Données projet'!$B$10,Paramètres!$A$1:$I$89,3,0)*0.475*44/12</f>
        <v>24.592033026985934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48.940326247838883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10.375</v>
      </c>
      <c r="N53" s="13">
        <f>IF('Données projet'!$A$36&gt;35,N52+M53-V52,IF(A53&lt;'Données projet'!$A$36,$K$205^A53,IF(A53='Données projet'!$A$36,'Données projet'!$B$36,N52+M53-V52)))</f>
        <v>249.24999999999991</v>
      </c>
      <c r="O53" s="13">
        <f>N53*VLOOKUP('Données projet'!$B$9,Paramètres!$A$1:$I$89,3,0)*VLOOKUP('Données projet'!$B$9,Paramètres!$A$1:$I$89,5,0)</f>
        <v>202.19159999999994</v>
      </c>
      <c r="P53" s="13">
        <f t="shared" si="33"/>
        <v>50.225509144346233</v>
      </c>
      <c r="Q53" s="20">
        <f t="shared" si="53"/>
        <v>439.62646509306956</v>
      </c>
      <c r="R53" s="59">
        <f t="shared" si="0"/>
        <v>732.95979842640281</v>
      </c>
      <c r="S53" s="59">
        <f ca="1">AVERAGE(OFFSET($R$3,0,0,'Données projet'!$E$9+1,1))-AVERAGE(OFFSET($H$3,0,0,'Données projet'!$E$9+1,1))</f>
        <v>298.98869919374232</v>
      </c>
      <c r="T53" s="59">
        <f t="shared" si="34"/>
        <v>293.11447542333889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5.4442177876119535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5.4442177876119535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232</v>
      </c>
      <c r="AG53" s="12">
        <f>VLOOKUP(A53,'Données projet'!$A$61:$I$81,9,0)</f>
        <v>9</v>
      </c>
      <c r="AH53" s="12">
        <f t="array" ref="AH53">INDEX(AG:AG,MIN(IF(ISNUMBER(AG53:AG249),ROW(AG53:AG249),"")))</f>
        <v>9</v>
      </c>
      <c r="AI53" s="13">
        <f>IF('Données projet'!$A$62&gt;35,AI52+AH53-AQ52,IF(A53&lt;'Données projet'!$A$62,$AF$205^A53,IF(A53='Données projet'!$A$62,'Données projet'!$B$62,AI52+AH53-AQ52)))</f>
        <v>232.00000000000009</v>
      </c>
      <c r="AJ53" s="13">
        <f>AI53*VLOOKUP('Données projet'!$B$10,Paramètres!$A$1:$I$89,3,0)*VLOOKUP('Données projet'!$B$10,Paramètres!$A$1:$I$89,5,0)</f>
        <v>202.67520000000013</v>
      </c>
      <c r="AK53" s="13">
        <f t="shared" si="35"/>
        <v>50.331640285313689</v>
      </c>
      <c r="AL53" s="20">
        <f t="shared" si="4"/>
        <v>440.65358016358823</v>
      </c>
      <c r="AM53" s="59">
        <f t="shared" si="5"/>
        <v>733.98691349692149</v>
      </c>
      <c r="AN53" s="59">
        <f ca="1">AVERAGE(OFFSET($AM$3,0,0,'Données projet'!$E$10+1,1))-AVERAGE(OFFSET($H$3,0,0,'Données projet'!$E$10+1,1))</f>
        <v>321.36684354830828</v>
      </c>
      <c r="AO53" s="59">
        <f t="shared" si="36"/>
        <v>388.05195847800502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33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0.129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32.093139236974181</v>
      </c>
      <c r="AV53" s="21">
        <f>EXP(-LN(2)/25)*AV52+(1-EXP(-LN(2)/25))/(LN(2)/25)*Calculateur!AQ53*Calculateur!AS53*VLOOKUP('Données projet'!$B$10,Paramètres!$A$1:$I$89,3,0)*0.475*44/12</f>
        <v>28.014526021845132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60.10766525881931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10.375</v>
      </c>
      <c r="N54" s="13">
        <f>IF('Données projet'!$A$36&gt;35,N53+M54-V53,IF(A54&lt;'Données projet'!$A$36,$K$205^A54,IF(A54='Données projet'!$A$36,'Données projet'!$B$36,N53+M54-V53)))</f>
        <v>259.62499999999989</v>
      </c>
      <c r="O54" s="13">
        <f>N54*VLOOKUP('Données projet'!$B$9,Paramètres!$A$1:$I$89,3,0)*VLOOKUP('Données projet'!$B$9,Paramètres!$A$1:$I$89,5,0)</f>
        <v>210.60779999999991</v>
      </c>
      <c r="P54" s="13">
        <f t="shared" si="33"/>
        <v>52.068382941267707</v>
      </c>
      <c r="Q54" s="20">
        <f t="shared" si="53"/>
        <v>457.49435195604104</v>
      </c>
      <c r="R54" s="59">
        <f t="shared" si="0"/>
        <v>750.82768528937436</v>
      </c>
      <c r="S54" s="59">
        <f ca="1">AVERAGE(OFFSET($R$3,0,0,'Données projet'!$E$9+1,1))-AVERAGE(OFFSET($H$3,0,0,'Données projet'!$E$9+1,1))</f>
        <v>298.98869919374232</v>
      </c>
      <c r="T54" s="59">
        <f t="shared" si="34"/>
        <v>293.11447542333889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5.3374599974418473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5.3374599974418473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7.6</v>
      </c>
      <c r="AI54" s="13">
        <f>IF('Données projet'!$A$62&gt;35,AI53+AH54-AQ53,IF(A54&lt;'Données projet'!$A$62,$AF$205^A54,IF(A54='Données projet'!$A$62,'Données projet'!$B$62,AI53+AH54-AQ53)))</f>
        <v>206.60000000000008</v>
      </c>
      <c r="AJ54" s="13">
        <f>AI54*VLOOKUP('Données projet'!$B$10,Paramètres!$A$1:$I$89,3,0)*VLOOKUP('Données projet'!$B$10,Paramètres!$A$1:$I$89,5,0)</f>
        <v>180.48576000000008</v>
      </c>
      <c r="AK54" s="13">
        <f t="shared" si="35"/>
        <v>45.430241859839441</v>
      </c>
      <c r="AL54" s="20">
        <f t="shared" si="4"/>
        <v>393.47036990588714</v>
      </c>
      <c r="AM54" s="59">
        <f t="shared" si="5"/>
        <v>686.80370323922045</v>
      </c>
      <c r="AN54" s="59">
        <f ca="1">AVERAGE(OFFSET($AM$3,0,0,'Données projet'!$E$10+1,1))-AVERAGE(OFFSET($H$3,0,0,'Données projet'!$E$10+1,1))</f>
        <v>321.36684354830828</v>
      </c>
      <c r="AO54" s="59">
        <f t="shared" si="36"/>
        <v>388.05195847800502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31.463812351419193</v>
      </c>
      <c r="AV54" s="21">
        <f>EXP(-LN(2)/25)*AV53+(1-EXP(-LN(2)/25))/(LN(2)/25)*Calculateur!AQ54*Calculateur!AS54*VLOOKUP('Données projet'!$B$10,Paramètres!$A$1:$I$89,3,0)*0.475*44/12</f>
        <v>27.24846733455788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58.712279685977073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270</v>
      </c>
      <c r="L55" s="12">
        <f>VLOOKUP(A55,'Données projet'!$A$35:$I$55,9,0)</f>
        <v>10.375</v>
      </c>
      <c r="M55" s="12">
        <f t="array" ref="M55">INDEX(L:L,MIN(IF(ISNUMBER(L55:L251),ROW(L55:L251),"")))</f>
        <v>10.375</v>
      </c>
      <c r="N55" s="13">
        <f>IF('Données projet'!$A$36&gt;35,N54+M55-V54,IF(A55&lt;'Données projet'!$A$36,$K$205^A55,IF(A55='Données projet'!$A$36,'Données projet'!$B$36,N54+M55-V54)))</f>
        <v>269.99999999999989</v>
      </c>
      <c r="O55" s="13">
        <f>N55*VLOOKUP('Données projet'!$B$9,Paramètres!$A$1:$I$89,3,0)*VLOOKUP('Données projet'!$B$9,Paramètres!$A$1:$I$89,5,0)</f>
        <v>219.02399999999992</v>
      </c>
      <c r="P55" s="13">
        <f t="shared" si="33"/>
        <v>53.902702081308306</v>
      </c>
      <c r="Q55" s="20">
        <f t="shared" si="53"/>
        <v>475.34733945827844</v>
      </c>
      <c r="R55" s="59">
        <f t="shared" si="0"/>
        <v>768.68067279161176</v>
      </c>
      <c r="S55" s="59">
        <f ca="1">AVERAGE(OFFSET($R$3,0,0,'Données projet'!$E$9+1,1))-AVERAGE(OFFSET($H$3,0,0,'Données projet'!$E$9+1,1))</f>
        <v>298.98869919374232</v>
      </c>
      <c r="T55" s="59">
        <f t="shared" si="34"/>
        <v>293.11447542333889</v>
      </c>
      <c r="U55" s="15">
        <f>IF(ISNA(VLOOKUP(A55,'Données projet'!$A$35:$I$55,3,0)),0,VLOOKUP(A55,'Données projet'!$A$35:$I$55,3,0))</f>
        <v>7</v>
      </c>
      <c r="V55" s="15">
        <f>IF(ISNA(VLOOKUP(A55,'Données projet'!$A$35:$I$55,4,0)),0,VLOOKUP(A55,'Données projet'!$A$35:$I$55,4,0))</f>
        <v>48</v>
      </c>
      <c r="W55" s="16">
        <f>IF(ISNA(VLOOKUP(A55,'Données projet'!$A$35:$I$55,5,0)),0%,VLOOKUP(A55,'Données projet'!$A$35:$I$55,5,0)*VLOOKUP('Données projet'!$B$9,Paramètres!$A$1:$I$89,7,0))</f>
        <v>0.159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12.076849450987405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12.076849450987405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7.6</v>
      </c>
      <c r="AI55" s="13">
        <f>IF('Données projet'!$A$62&gt;35,AI54+AH55-AQ54,IF(A55&lt;'Données projet'!$A$62,$AF$205^A55,IF(A55='Données projet'!$A$62,'Données projet'!$B$62,AI54+AH55-AQ54)))</f>
        <v>214.20000000000007</v>
      </c>
      <c r="AJ55" s="13">
        <f>AI55*VLOOKUP('Données projet'!$B$10,Paramètres!$A$1:$I$89,3,0)*VLOOKUP('Données projet'!$B$10,Paramètres!$A$1:$I$89,5,0)</f>
        <v>187.12512000000009</v>
      </c>
      <c r="AK55" s="13">
        <f t="shared" si="35"/>
        <v>46.903794805770545</v>
      </c>
      <c r="AL55" s="20">
        <f t="shared" si="4"/>
        <v>407.60035995338382</v>
      </c>
      <c r="AM55" s="59">
        <f t="shared" si="5"/>
        <v>700.93369328671713</v>
      </c>
      <c r="AN55" s="59">
        <f ca="1">AVERAGE(OFFSET($AM$3,0,0,'Données projet'!$E$10+1,1))-AVERAGE(OFFSET($H$3,0,0,'Données projet'!$E$10+1,1))</f>
        <v>321.36684354830828</v>
      </c>
      <c r="AO55" s="59">
        <f t="shared" si="36"/>
        <v>388.05195847800502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30.846826182238441</v>
      </c>
      <c r="AV55" s="21">
        <f>EXP(-LN(2)/25)*AV54+(1-EXP(-LN(2)/25))/(LN(2)/25)*Calculateur!AQ55*Calculateur!AS55*VLOOKUP('Données projet'!$B$10,Paramètres!$A$1:$I$89,3,0)*0.475*44/12</f>
        <v>26.503356562359773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57.350182744598214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9.375</v>
      </c>
      <c r="N56" s="13">
        <f>IF('Données projet'!$A$36&gt;35,N55+M56-V55,IF(A56&lt;'Données projet'!$A$36,$K$205^A56,IF(A56='Données projet'!$A$36,'Données projet'!$B$36,N55+M56-V55)))</f>
        <v>231.37499999999989</v>
      </c>
      <c r="O56" s="13">
        <f>N56*VLOOKUP('Données projet'!$B$9,Paramètres!$A$1:$I$89,3,0)*VLOOKUP('Données projet'!$B$9,Paramètres!$A$1:$I$89,5,0)</f>
        <v>187.6913999999999</v>
      </c>
      <c r="P56" s="13">
        <f t="shared" si="33"/>
        <v>47.029191592794206</v>
      </c>
      <c r="Q56" s="20">
        <f t="shared" si="53"/>
        <v>408.80503035744977</v>
      </c>
      <c r="R56" s="59">
        <f t="shared" si="0"/>
        <v>702.13836369078308</v>
      </c>
      <c r="S56" s="59">
        <f ca="1">AVERAGE(OFFSET($R$3,0,0,'Données projet'!$E$9+1,1))-AVERAGE(OFFSET($H$3,0,0,'Données projet'!$E$9+1,1))</f>
        <v>298.98869919374232</v>
      </c>
      <c r="T56" s="59">
        <f t="shared" si="34"/>
        <v>293.11447542333889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11.840029799404361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11.840029799404361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7.6</v>
      </c>
      <c r="AI56" s="13">
        <f>IF('Données projet'!$A$62&gt;35,AI55+AH56-AQ55,IF(A56&lt;'Données projet'!$A$62,$AF$205^A56,IF(A56='Données projet'!$A$62,'Données projet'!$B$62,AI55+AH56-AQ55)))</f>
        <v>221.80000000000007</v>
      </c>
      <c r="AJ56" s="13">
        <f>AI56*VLOOKUP('Données projet'!$B$10,Paramètres!$A$1:$I$89,3,0)*VLOOKUP('Données projet'!$B$10,Paramètres!$A$1:$I$89,5,0)</f>
        <v>193.76448000000011</v>
      </c>
      <c r="AK56" s="13">
        <f t="shared" si="35"/>
        <v>48.371273222646494</v>
      </c>
      <c r="AL56" s="20">
        <f t="shared" si="4"/>
        <v>421.71977019610949</v>
      </c>
      <c r="AM56" s="59">
        <f t="shared" si="5"/>
        <v>715.05310352944275</v>
      </c>
      <c r="AN56" s="59">
        <f ca="1">AVERAGE(OFFSET($AM$3,0,0,'Données projet'!$E$10+1,1))-AVERAGE(OFFSET($H$3,0,0,'Données projet'!$E$10+1,1))</f>
        <v>321.36684354830828</v>
      </c>
      <c r="AO56" s="59">
        <f t="shared" si="36"/>
        <v>388.05195847800502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30.241938735510917</v>
      </c>
      <c r="AV56" s="21">
        <f>EXP(-LN(2)/25)*AV55+(1-EXP(-LN(2)/25))/(LN(2)/25)*Calculateur!AQ56*Calculateur!AS56*VLOOKUP('Données projet'!$B$10,Paramètres!$A$1:$I$89,3,0)*0.475*44/12</f>
        <v>25.778620883411097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56.020559618922015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9.375</v>
      </c>
      <c r="N57" s="13">
        <f>IF('Données projet'!$A$36&gt;35,N56+M57-V56,IF(A57&lt;'Données projet'!$A$36,$K$205^A57,IF(A57='Données projet'!$A$36,'Données projet'!$B$36,N56+M57-V56)))</f>
        <v>240.74999999999989</v>
      </c>
      <c r="O57" s="13">
        <f>N57*VLOOKUP('Données projet'!$B$9,Paramètres!$A$1:$I$89,3,0)*VLOOKUP('Données projet'!$B$9,Paramètres!$A$1:$I$89,5,0)</f>
        <v>195.29639999999992</v>
      </c>
      <c r="P57" s="13">
        <f t="shared" si="33"/>
        <v>48.709031383366153</v>
      </c>
      <c r="Q57" s="20">
        <f t="shared" si="53"/>
        <v>424.97612632602926</v>
      </c>
      <c r="R57" s="59">
        <f t="shared" si="0"/>
        <v>718.30945965936257</v>
      </c>
      <c r="S57" s="59">
        <f ca="1">AVERAGE(OFFSET($R$3,0,0,'Données projet'!$E$9+1,1))-AVERAGE(OFFSET($H$3,0,0,'Données projet'!$E$9+1,1))</f>
        <v>298.98869919374232</v>
      </c>
      <c r="T57" s="59">
        <f t="shared" si="34"/>
        <v>293.11447542333889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11.607854036743134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11.607854036743134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7.6</v>
      </c>
      <c r="AI57" s="13">
        <f>IF('Données projet'!$A$62&gt;35,AI56+AH57-AQ56,IF(A57&lt;'Données projet'!$A$62,$AF$205^A57,IF(A57='Données projet'!$A$62,'Données projet'!$B$62,AI56+AH57-AQ56)))</f>
        <v>229.40000000000006</v>
      </c>
      <c r="AJ57" s="13">
        <f>AI57*VLOOKUP('Données projet'!$B$10,Paramètres!$A$1:$I$89,3,0)*VLOOKUP('Données projet'!$B$10,Paramètres!$A$1:$I$89,5,0)</f>
        <v>200.40384000000009</v>
      </c>
      <c r="AK57" s="13">
        <f t="shared" si="35"/>
        <v>49.832909112305636</v>
      </c>
      <c r="AL57" s="20">
        <f t="shared" si="4"/>
        <v>435.82900470393241</v>
      </c>
      <c r="AM57" s="59">
        <f t="shared" si="5"/>
        <v>729.16233803726573</v>
      </c>
      <c r="AN57" s="59">
        <f ca="1">AVERAGE(OFFSET($AM$3,0,0,'Données projet'!$E$10+1,1))-AVERAGE(OFFSET($H$3,0,0,'Données projet'!$E$10+1,1))</f>
        <v>321.36684354830828</v>
      </c>
      <c r="AO57" s="59">
        <f t="shared" si="36"/>
        <v>388.05195847800502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29.648912762668811</v>
      </c>
      <c r="AV57" s="21">
        <f>EXP(-LN(2)/25)*AV56+(1-EXP(-LN(2)/25))/(LN(2)/25)*Calculateur!AQ57*Calculateur!AS57*VLOOKUP('Données projet'!$B$10,Paramètres!$A$1:$I$89,3,0)*0.475*44/12</f>
        <v>25.073703139715466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54.722615902384277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9.375</v>
      </c>
      <c r="N58" s="13">
        <f>IF('Données projet'!$A$36&gt;35,N57+M58-V57,IF(A58&lt;'Données projet'!$A$36,$K$205^A58,IF(A58='Données projet'!$A$36,'Données projet'!$B$36,N57+M58-V57)))</f>
        <v>250.12499999999989</v>
      </c>
      <c r="O58" s="13">
        <f>N58*VLOOKUP('Données projet'!$B$9,Paramètres!$A$1:$I$89,3,0)*VLOOKUP('Données projet'!$B$9,Paramètres!$A$1:$I$89,5,0)</f>
        <v>202.90139999999991</v>
      </c>
      <c r="P58" s="13">
        <f t="shared" si="33"/>
        <v>50.381272148922065</v>
      </c>
      <c r="Q58" s="20">
        <f t="shared" si="53"/>
        <v>441.13398732603906</v>
      </c>
      <c r="R58" s="59">
        <f t="shared" si="0"/>
        <v>734.46732065937238</v>
      </c>
      <c r="S58" s="59">
        <f ca="1">AVERAGE(OFFSET($R$3,0,0,'Données projet'!$E$9+1,1))-AVERAGE(OFFSET($H$3,0,0,'Données projet'!$E$9+1,1))</f>
        <v>298.98869919374232</v>
      </c>
      <c r="T58" s="59">
        <f t="shared" si="34"/>
        <v>293.11447542333889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11.380231099174463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11.380231099174463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237</v>
      </c>
      <c r="AG58" s="12">
        <f>VLOOKUP(A58,'Données projet'!$A$61:$I$81,9,0)</f>
        <v>7.6</v>
      </c>
      <c r="AH58" s="12">
        <f t="array" ref="AH58">INDEX(AG:AG,MIN(IF(ISNUMBER(AG58:AG254),ROW(AG58:AG254),"")))</f>
        <v>7.6</v>
      </c>
      <c r="AI58" s="13">
        <f>IF('Données projet'!$A$62&gt;35,AI57+AH58-AQ57,IF(A58&lt;'Données projet'!$A$62,$AF$205^A58,IF(A58='Données projet'!$A$62,'Données projet'!$B$62,AI57+AH58-AQ57)))</f>
        <v>237.00000000000006</v>
      </c>
      <c r="AJ58" s="13">
        <f>AI58*VLOOKUP('Données projet'!$B$10,Paramètres!$A$1:$I$89,3,0)*VLOOKUP('Données projet'!$B$10,Paramètres!$A$1:$I$89,5,0)</f>
        <v>207.0432000000001</v>
      </c>
      <c r="AK58" s="13">
        <f t="shared" si="35"/>
        <v>51.28891823180637</v>
      </c>
      <c r="AL58" s="20">
        <f t="shared" si="4"/>
        <v>449.92843925372966</v>
      </c>
      <c r="AM58" s="59">
        <f t="shared" si="5"/>
        <v>743.26177258706298</v>
      </c>
      <c r="AN58" s="59">
        <f ca="1">AVERAGE(OFFSET($AM$3,0,0,'Données projet'!$E$10+1,1))-AVERAGE(OFFSET($H$3,0,0,'Données projet'!$E$10+1,1))</f>
        <v>321.36684354830828</v>
      </c>
      <c r="AO58" s="59">
        <f t="shared" si="36"/>
        <v>388.05195847800502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29</v>
      </c>
      <c r="AR58" s="16">
        <f>IF(ISNA(VLOOKUP(A58,'Données projet'!$A$61:$I$81,5,0)),0%,VLOOKUP(A58,'Données projet'!$A$61:$I$81,5,0)*VLOOKUP('Données projet'!$B$10,Paramètres!$A$1:$I$89,7,0))</f>
        <v>0.25800000000000001</v>
      </c>
      <c r="AS58" s="16">
        <f>IF(ISNA(VLOOKUP(A58,'Données projet'!$A$61:$I$81,6,0)),0%,VLOOKUP(A58,'Données projet'!$A$61:$I$81,6,0)*VLOOKUP('Données projet'!$B$10,Paramètres!$A$1:$I$89,7,0))</f>
        <v>0.129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36.293174293519819</v>
      </c>
      <c r="AV58" s="21">
        <f>EXP(-LN(2)/25)*AV57+(1-EXP(-LN(2)/25))/(LN(2)/25)*Calculateur!AQ58*Calculateur!AS58*VLOOKUP('Données projet'!$B$10,Paramètres!$A$1:$I$89,3,0)*0.475*44/12</f>
        <v>27.986665636227791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64.27983992974761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9.375</v>
      </c>
      <c r="N59" s="13">
        <f>IF('Données projet'!$A$36&gt;35,N58+M59-V58,IF(A59&lt;'Données projet'!$A$36,$K$205^A59,IF(A59='Données projet'!$A$36,'Données projet'!$B$36,N58+M59-V58)))</f>
        <v>259.49999999999989</v>
      </c>
      <c r="O59" s="13">
        <f>N59*VLOOKUP('Données projet'!$B$9,Paramètres!$A$1:$I$89,3,0)*VLOOKUP('Données projet'!$B$9,Paramètres!$A$1:$I$89,5,0)</f>
        <v>210.50639999999993</v>
      </c>
      <c r="P59" s="13">
        <f t="shared" si="33"/>
        <v>52.046231322304777</v>
      </c>
      <c r="Q59" s="20">
        <f t="shared" si="53"/>
        <v>457.27916621968069</v>
      </c>
      <c r="R59" s="59">
        <f t="shared" si="0"/>
        <v>750.612499553014</v>
      </c>
      <c r="S59" s="59">
        <f ca="1">AVERAGE(OFFSET($R$3,0,0,'Données projet'!$E$9+1,1))-AVERAGE(OFFSET($H$3,0,0,'Données projet'!$E$9+1,1))</f>
        <v>298.98869919374232</v>
      </c>
      <c r="T59" s="59">
        <f t="shared" si="34"/>
        <v>293.11447542333889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11.157071708575231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11.157071708575231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</v>
      </c>
      <c r="AI59" s="13">
        <f>IF('Données projet'!$A$62&gt;35,AI58+AH59-AQ58,IF(A59&lt;'Données projet'!$A$62,$AF$205^A59,IF(A59='Données projet'!$A$62,'Données projet'!$B$62,AI58+AH59-AQ58)))</f>
        <v>214.80000000000007</v>
      </c>
      <c r="AJ59" s="13">
        <f>AI59*VLOOKUP('Données projet'!$B$10,Paramètres!$A$1:$I$89,3,0)*VLOOKUP('Données projet'!$B$10,Paramètres!$A$1:$I$89,5,0)</f>
        <v>187.64928000000009</v>
      </c>
      <c r="AK59" s="13">
        <f t="shared" si="35"/>
        <v>47.019866076567546</v>
      </c>
      <c r="AL59" s="20">
        <f t="shared" si="4"/>
        <v>408.71542941668866</v>
      </c>
      <c r="AM59" s="59">
        <f t="shared" si="5"/>
        <v>702.04876275002198</v>
      </c>
      <c r="AN59" s="59">
        <f ca="1">AVERAGE(OFFSET($AM$3,0,0,'Données projet'!$E$10+1,1))-AVERAGE(OFFSET($H$3,0,0,'Données projet'!$E$10+1,1))</f>
        <v>321.36684354830828</v>
      </c>
      <c r="AO59" s="59">
        <f t="shared" si="36"/>
        <v>388.05195847800502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35.581487282274402</v>
      </c>
      <c r="AV59" s="21">
        <f>EXP(-LN(2)/25)*AV58+(1-EXP(-LN(2)/25))/(LN(2)/25)*Calculateur!AQ59*Calculateur!AS59*VLOOKUP('Données projet'!$B$10,Paramètres!$A$1:$I$89,3,0)*0.475*44/12</f>
        <v>27.22136879265036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62.802856074924762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9.375</v>
      </c>
      <c r="N60" s="13">
        <f>IF('Données projet'!$A$36&gt;35,N59+M60-V59,IF(A60&lt;'Données projet'!$A$36,$K$205^A60,IF(A60='Données projet'!$A$36,'Données projet'!$B$36,N59+M60-V59)))</f>
        <v>268.87499999999989</v>
      </c>
      <c r="O60" s="13">
        <f>N60*VLOOKUP('Données projet'!$B$9,Paramètres!$A$1:$I$89,3,0)*VLOOKUP('Données projet'!$B$9,Paramètres!$A$1:$I$89,5,0)</f>
        <v>218.11139999999992</v>
      </c>
      <c r="P60" s="13">
        <f t="shared" si="33"/>
        <v>53.704202100470532</v>
      </c>
      <c r="Q60" s="20">
        <f t="shared" si="53"/>
        <v>473.41217365831932</v>
      </c>
      <c r="R60" s="59">
        <f t="shared" si="0"/>
        <v>766.74550699165263</v>
      </c>
      <c r="S60" s="59">
        <f ca="1">AVERAGE(OFFSET($R$3,0,0,'Données projet'!$E$9+1,1))-AVERAGE(OFFSET($H$3,0,0,'Données projet'!$E$9+1,1))</f>
        <v>298.98869919374232</v>
      </c>
      <c r="T60" s="59">
        <f t="shared" si="34"/>
        <v>293.11447542333889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10.93828833751186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10.93828833751186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</v>
      </c>
      <c r="AI60" s="13">
        <f>IF('Données projet'!$A$62&gt;35,AI59+AH60-AQ59,IF(A60&lt;'Données projet'!$A$62,$AF$205^A60,IF(A60='Données projet'!$A$62,'Données projet'!$B$62,AI59+AH60-AQ59)))</f>
        <v>221.60000000000008</v>
      </c>
      <c r="AJ60" s="13">
        <f>AI60*VLOOKUP('Données projet'!$B$10,Paramètres!$A$1:$I$89,3,0)*VLOOKUP('Données projet'!$B$10,Paramètres!$A$1:$I$89,5,0)</f>
        <v>193.5897600000001</v>
      </c>
      <c r="AK60" s="13">
        <f t="shared" si="35"/>
        <v>48.332731202087089</v>
      </c>
      <c r="AL60" s="20">
        <f t="shared" si="4"/>
        <v>421.34833884363525</v>
      </c>
      <c r="AM60" s="59">
        <f t="shared" si="5"/>
        <v>714.6816721769685</v>
      </c>
      <c r="AN60" s="59">
        <f ca="1">AVERAGE(OFFSET($AM$3,0,0,'Données projet'!$E$10+1,1))-AVERAGE(OFFSET($H$3,0,0,'Données projet'!$E$10+1,1))</f>
        <v>321.36684354830828</v>
      </c>
      <c r="AO60" s="59">
        <f t="shared" si="36"/>
        <v>388.05195847800502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34.883756019233296</v>
      </c>
      <c r="AV60" s="21">
        <f>EXP(-LN(2)/25)*AV59+(1-EXP(-LN(2)/25))/(LN(2)/25)*Calculateur!AQ60*Calculateur!AS60*VLOOKUP('Données projet'!$B$10,Paramètres!$A$1:$I$89,3,0)*0.475*44/12</f>
        <v>26.476999031505766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61.360755050739058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9.375</v>
      </c>
      <c r="N61" s="13">
        <f>IF('Données projet'!$A$36&gt;35,N60+M61-V60,IF(A61&lt;'Données projet'!$A$36,$K$205^A61,IF(A61='Données projet'!$A$36,'Données projet'!$B$36,N60+M61-V60)))</f>
        <v>278.24999999999989</v>
      </c>
      <c r="O61" s="13">
        <f>N61*VLOOKUP('Données projet'!$B$9,Paramètres!$A$1:$I$89,3,0)*VLOOKUP('Données projet'!$B$9,Paramètres!$A$1:$I$89,5,0)</f>
        <v>225.71639999999991</v>
      </c>
      <c r="P61" s="13">
        <f t="shared" si="33"/>
        <v>55.355456074834237</v>
      </c>
      <c r="Q61" s="20">
        <f t="shared" si="53"/>
        <v>489.53348266366947</v>
      </c>
      <c r="R61" s="59">
        <f t="shared" si="0"/>
        <v>782.86681599700273</v>
      </c>
      <c r="S61" s="59">
        <f ca="1">AVERAGE(OFFSET($R$3,0,0,'Données projet'!$E$9+1,1))-AVERAGE(OFFSET($H$3,0,0,'Données projet'!$E$9+1,1))</f>
        <v>298.98869919374232</v>
      </c>
      <c r="T61" s="59">
        <f t="shared" si="34"/>
        <v>293.11447542333889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10.723795174910363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10.723795174910363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</v>
      </c>
      <c r="AI61" s="13">
        <f>IF('Données projet'!$A$62&gt;35,AI60+AH61-AQ60,IF(A61&lt;'Données projet'!$A$62,$AF$205^A61,IF(A61='Données projet'!$A$62,'Données projet'!$B$62,AI60+AH61-AQ60)))</f>
        <v>228.40000000000009</v>
      </c>
      <c r="AJ61" s="13">
        <f>AI61*VLOOKUP('Données projet'!$B$10,Paramètres!$A$1:$I$89,3,0)*VLOOKUP('Données projet'!$B$10,Paramètres!$A$1:$I$89,5,0)</f>
        <v>199.53024000000011</v>
      </c>
      <c r="AK61" s="13">
        <f t="shared" si="35"/>
        <v>49.640914570461312</v>
      </c>
      <c r="AL61" s="20">
        <f t="shared" si="4"/>
        <v>433.97309421022027</v>
      </c>
      <c r="AM61" s="59">
        <f t="shared" si="5"/>
        <v>727.30642754355358</v>
      </c>
      <c r="AN61" s="59">
        <f ca="1">AVERAGE(OFFSET($AM$3,0,0,'Données projet'!$E$10+1,1))-AVERAGE(OFFSET($H$3,0,0,'Données projet'!$E$10+1,1))</f>
        <v>321.36684354830828</v>
      </c>
      <c r="AO61" s="59">
        <f t="shared" si="36"/>
        <v>388.05195847800502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34.199706840686375</v>
      </c>
      <c r="AV61" s="21">
        <f>EXP(-LN(2)/25)*AV60+(1-EXP(-LN(2)/25))/(LN(2)/25)*Calculateur!AQ61*Calculateur!AS61*VLOOKUP('Données projet'!$B$10,Paramètres!$A$1:$I$89,3,0)*0.475*44/12</f>
        <v>25.752984100624374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59.952690941310749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9.375</v>
      </c>
      <c r="N62" s="13">
        <f>IF('Données projet'!$A$36&gt;35,N61+M62-V61,IF(A62&lt;'Données projet'!$A$36,$K$205^A62,IF(A62='Données projet'!$A$36,'Données projet'!$B$36,N61+M62-V61)))</f>
        <v>287.62499999999989</v>
      </c>
      <c r="O62" s="13">
        <f>N62*VLOOKUP('Données projet'!$B$9,Paramètres!$A$1:$I$89,3,0)*VLOOKUP('Données projet'!$B$9,Paramètres!$A$1:$I$89,5,0)</f>
        <v>233.32139999999993</v>
      </c>
      <c r="P62" s="13">
        <f t="shared" si="33"/>
        <v>57.000245497162069</v>
      </c>
      <c r="Q62" s="20">
        <f t="shared" si="53"/>
        <v>505.6435325742238</v>
      </c>
      <c r="R62" s="59">
        <f t="shared" si="0"/>
        <v>798.97686590755711</v>
      </c>
      <c r="S62" s="59">
        <f ca="1">AVERAGE(OFFSET($R$3,0,0,'Données projet'!$E$9+1,1))-AVERAGE(OFFSET($H$3,0,0,'Données projet'!$E$9+1,1))</f>
        <v>298.98869919374232</v>
      </c>
      <c r="T62" s="59">
        <f t="shared" si="34"/>
        <v>293.11447542333889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10.513508092399571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10.513508092399571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</v>
      </c>
      <c r="AI62" s="13">
        <f>IF('Données projet'!$A$62&gt;35,AI61+AH62-AQ61,IF(A62&lt;'Données projet'!$A$62,$AF$205^A62,IF(A62='Données projet'!$A$62,'Données projet'!$B$62,AI61+AH62-AQ61)))</f>
        <v>235.2000000000001</v>
      </c>
      <c r="AJ62" s="13">
        <f>AI62*VLOOKUP('Données projet'!$B$10,Paramètres!$A$1:$I$89,3,0)*VLOOKUP('Données projet'!$B$10,Paramètres!$A$1:$I$89,5,0)</f>
        <v>205.47072000000011</v>
      </c>
      <c r="AK62" s="13">
        <f t="shared" si="35"/>
        <v>50.944571570352757</v>
      </c>
      <c r="AL62" s="20">
        <f t="shared" si="4"/>
        <v>446.58996615169781</v>
      </c>
      <c r="AM62" s="59">
        <f t="shared" si="5"/>
        <v>739.92329948503107</v>
      </c>
      <c r="AN62" s="59">
        <f ca="1">AVERAGE(OFFSET($AM$3,0,0,'Données projet'!$E$10+1,1))-AVERAGE(OFFSET($H$3,0,0,'Données projet'!$E$10+1,1))</f>
        <v>321.36684354830828</v>
      </c>
      <c r="AO62" s="59">
        <f t="shared" si="36"/>
        <v>388.05195847800502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33.529071449301959</v>
      </c>
      <c r="AV62" s="21">
        <f>EXP(-LN(2)/25)*AV61+(1-EXP(-LN(2)/25))/(LN(2)/25)*Calculateur!AQ62*Calculateur!AS62*VLOOKUP('Données projet'!$B$10,Paramètres!$A$1:$I$89,3,0)*0.475*44/12</f>
        <v>25.048767396102225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58.577838845404187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297</v>
      </c>
      <c r="L63" s="12">
        <f>VLOOKUP(A63,'Données projet'!$A$35:$I$55,9,0)</f>
        <v>9.375</v>
      </c>
      <c r="M63" s="12">
        <f t="array" ref="M63">INDEX(L:L,MIN(IF(ISNUMBER(L63:L259),ROW(L63:L259),"")))</f>
        <v>9.375</v>
      </c>
      <c r="N63" s="13">
        <f>IF('Données projet'!$A$36&gt;35,N62+M63-V62,IF(A63&lt;'Données projet'!$A$36,$K$205^A63,IF(A63='Données projet'!$A$36,'Données projet'!$B$36,N62+M63-V62)))</f>
        <v>296.99999999999989</v>
      </c>
      <c r="O63" s="13">
        <f>N63*VLOOKUP('Données projet'!$B$9,Paramètres!$A$1:$I$89,3,0)*VLOOKUP('Données projet'!$B$9,Paramètres!$A$1:$I$89,5,0)</f>
        <v>240.92639999999992</v>
      </c>
      <c r="P63" s="13">
        <f t="shared" si="33"/>
        <v>58.638805241742823</v>
      </c>
      <c r="Q63" s="20">
        <f t="shared" si="53"/>
        <v>521.74273246270184</v>
      </c>
      <c r="R63" s="59">
        <f t="shared" si="0"/>
        <v>815.07606579603521</v>
      </c>
      <c r="S63" s="59">
        <f ca="1">AVERAGE(OFFSET($R$3,0,0,'Données projet'!$E$9+1,1))-AVERAGE(OFFSET($H$3,0,0,'Données projet'!$E$9+1,1))</f>
        <v>298.98869919374232</v>
      </c>
      <c r="T63" s="59">
        <f t="shared" si="34"/>
        <v>293.11447542333889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47</v>
      </c>
      <c r="W63" s="16">
        <f>IF(ISNA(VLOOKUP(A63,'Données projet'!$A$35:$I$55,5,0)),0%,VLOOKUP(A63,'Données projet'!$A$35:$I$55,5,0)*VLOOKUP('Données projet'!$B$9,Paramètres!$A$1:$I$89,7,0))</f>
        <v>0.159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17.008813945952145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17.008813945952145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242</v>
      </c>
      <c r="AG63" s="12">
        <f>VLOOKUP(A63,'Données projet'!$A$61:$I$81,9,0)</f>
        <v>6.8</v>
      </c>
      <c r="AH63" s="12">
        <f t="array" ref="AH63">INDEX(AG:AG,MIN(IF(ISNUMBER(AG63:AG259),ROW(AG63:AG259),"")))</f>
        <v>6.8</v>
      </c>
      <c r="AI63" s="13">
        <f>IF('Données projet'!$A$62&gt;35,AI62+AH63-AQ62,IF(A63&lt;'Données projet'!$A$62,$AF$205^A63,IF(A63='Données projet'!$A$62,'Données projet'!$B$62,AI62+AH63-AQ62)))</f>
        <v>242.00000000000011</v>
      </c>
      <c r="AJ63" s="13">
        <f>AI63*VLOOKUP('Données projet'!$B$10,Paramètres!$A$1:$I$89,3,0)*VLOOKUP('Données projet'!$B$10,Paramètres!$A$1:$I$89,5,0)</f>
        <v>211.41120000000012</v>
      </c>
      <c r="AK63" s="13">
        <f t="shared" si="35"/>
        <v>52.243848094411206</v>
      </c>
      <c r="AL63" s="20">
        <f t="shared" si="4"/>
        <v>459.19920876443302</v>
      </c>
      <c r="AM63" s="59">
        <f t="shared" si="5"/>
        <v>752.53254209776628</v>
      </c>
      <c r="AN63" s="59">
        <f ca="1">AVERAGE(OFFSET($AM$3,0,0,'Données projet'!$E$10+1,1))-AVERAGE(OFFSET($H$3,0,0,'Données projet'!$E$10+1,1))</f>
        <v>321.36684354830828</v>
      </c>
      <c r="AO63" s="59">
        <f t="shared" si="36"/>
        <v>388.05195847800502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26</v>
      </c>
      <c r="AR63" s="16">
        <f>IF(ISNA(VLOOKUP(A63,'Données projet'!$A$61:$I$81,5,0)),0%,VLOOKUP(A63,'Données projet'!$A$61:$I$81,5,0)*VLOOKUP('Données projet'!$B$10,Paramètres!$A$1:$I$89,7,0))</f>
        <v>0.25800000000000001</v>
      </c>
      <c r="AS63" s="16">
        <f>IF(ISNA(VLOOKUP(A63,'Données projet'!$A$61:$I$81,6,0)),0%,VLOOKUP(A63,'Données projet'!$A$61:$I$81,6,0)*VLOOKUP('Données projet'!$B$10,Paramètres!$A$1:$I$89,7,0))</f>
        <v>0.129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39.349763508135773</v>
      </c>
      <c r="AV63" s="21">
        <f>EXP(-LN(2)/25)*AV62+(1-EXP(-LN(2)/25))/(LN(2)/25)*Calculateur!AQ63*Calculateur!AS63*VLOOKUP('Données projet'!$B$10,Paramètres!$A$1:$I$89,3,0)*0.475*44/12</f>
        <v>27.590142358996697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66.939905867132467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8.6666666666666661</v>
      </c>
      <c r="N64" s="13">
        <f>IF('Données projet'!$A$36&gt;35,N63+M64-V63,IF(A64&lt;'Données projet'!$A$36,$K$205^A64,IF(A64='Données projet'!$A$36,'Données projet'!$B$36,N63+M64-V63)))</f>
        <v>258.66666666666657</v>
      </c>
      <c r="O64" s="13">
        <f>N64*VLOOKUP('Données projet'!$B$9,Paramètres!$A$1:$I$89,3,0)*VLOOKUP('Données projet'!$B$9,Paramètres!$A$1:$I$89,5,0)</f>
        <v>209.83039999999994</v>
      </c>
      <c r="P64" s="13">
        <f t="shared" si="33"/>
        <v>51.898522088668521</v>
      </c>
      <c r="Q64" s="20">
        <f t="shared" si="53"/>
        <v>455.84453930443095</v>
      </c>
      <c r="R64" s="59">
        <f t="shared" si="0"/>
        <v>749.17787263776427</v>
      </c>
      <c r="S64" s="59">
        <f ca="1">AVERAGE(OFFSET($R$3,0,0,'Données projet'!$E$9+1,1))-AVERAGE(OFFSET($H$3,0,0,'Données projet'!$E$9+1,1))</f>
        <v>298.98869919374232</v>
      </c>
      <c r="T64" s="59">
        <f t="shared" si="34"/>
        <v>293.11447542333889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16.675281478824147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16.675281478824147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222.00000000000011</v>
      </c>
      <c r="AJ64" s="13">
        <f>AI64*VLOOKUP('Données projet'!$B$10,Paramètres!$A$1:$I$89,3,0)*VLOOKUP('Données projet'!$B$10,Paramètres!$A$1:$I$89,5,0)</f>
        <v>193.93920000000014</v>
      </c>
      <c r="AK64" s="13">
        <f t="shared" si="35"/>
        <v>48.409811198069384</v>
      </c>
      <c r="AL64" s="20">
        <f t="shared" si="4"/>
        <v>422.09119450330439</v>
      </c>
      <c r="AM64" s="59">
        <f t="shared" si="5"/>
        <v>715.42452783663771</v>
      </c>
      <c r="AN64" s="59">
        <f ca="1">AVERAGE(OFFSET($AM$3,0,0,'Données projet'!$E$10+1,1))-AVERAGE(OFFSET($H$3,0,0,'Données projet'!$E$10+1,1))</f>
        <v>321.36684354830828</v>
      </c>
      <c r="AO64" s="59">
        <f t="shared" si="36"/>
        <v>388.05195847800502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38.578138646727069</v>
      </c>
      <c r="AV64" s="21">
        <f>EXP(-LN(2)/25)*AV63+(1-EXP(-LN(2)/25))/(LN(2)/25)*Calculateur!AQ64*Calculateur!AS64*VLOOKUP('Données projet'!$B$10,Paramètres!$A$1:$I$89,3,0)*0.475*44/12</f>
        <v>26.835688465287404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65.413827112014474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8.6666666666666661</v>
      </c>
      <c r="N65" s="13">
        <f>IF('Données projet'!$A$36&gt;35,N64+M65-V64,IF(A65&lt;'Données projet'!$A$36,$K$205^A65,IF(A65='Données projet'!$A$36,'Données projet'!$B$36,N64+M65-V64)))</f>
        <v>267.33333333333326</v>
      </c>
      <c r="O65" s="13">
        <f>N65*VLOOKUP('Données projet'!$B$9,Paramètres!$A$1:$I$89,3,0)*VLOOKUP('Données projet'!$B$9,Paramètres!$A$1:$I$89,5,0)</f>
        <v>216.86079999999995</v>
      </c>
      <c r="P65" s="13">
        <f t="shared" si="33"/>
        <v>53.432026464152699</v>
      </c>
      <c r="Q65" s="20">
        <f t="shared" si="53"/>
        <v>470.76000609173252</v>
      </c>
      <c r="R65" s="59">
        <f t="shared" si="0"/>
        <v>764.09333942506578</v>
      </c>
      <c r="S65" s="59">
        <f ca="1">AVERAGE(OFFSET($R$3,0,0,'Données projet'!$E$9+1,1))-AVERAGE(OFFSET($H$3,0,0,'Données projet'!$E$9+1,1))</f>
        <v>298.98869919374232</v>
      </c>
      <c r="T65" s="59">
        <f t="shared" si="34"/>
        <v>293.11447542333889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16.348289379941811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16.348289379941811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228.00000000000011</v>
      </c>
      <c r="AJ65" s="13">
        <f>AI65*VLOOKUP('Données projet'!$B$10,Paramètres!$A$1:$I$89,3,0)*VLOOKUP('Données projet'!$B$10,Paramètres!$A$1:$I$89,5,0)</f>
        <v>199.18080000000012</v>
      </c>
      <c r="AK65" s="13">
        <f t="shared" si="35"/>
        <v>49.564089376413726</v>
      </c>
      <c r="AL65" s="20">
        <f t="shared" si="4"/>
        <v>433.2306823305874</v>
      </c>
      <c r="AM65" s="59">
        <f t="shared" si="5"/>
        <v>726.56401566392071</v>
      </c>
      <c r="AN65" s="59">
        <f ca="1">AVERAGE(OFFSET($AM$3,0,0,'Données projet'!$E$10+1,1))-AVERAGE(OFFSET($H$3,0,0,'Données projet'!$E$10+1,1))</f>
        <v>321.36684354830828</v>
      </c>
      <c r="AO65" s="59">
        <f t="shared" si="36"/>
        <v>388.05195847800502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37.821644878205895</v>
      </c>
      <c r="AV65" s="21">
        <f>EXP(-LN(2)/25)*AV64+(1-EXP(-LN(2)/25))/(LN(2)/25)*Calculateur!AQ65*Calculateur!AS65*VLOOKUP('Données projet'!$B$10,Paramètres!$A$1:$I$89,3,0)*0.475*44/12</f>
        <v>26.101865152976597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63.923510031182488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8.6666666666666661</v>
      </c>
      <c r="N66" s="13">
        <f>IF('Données projet'!$A$36&gt;35,N65+M66-V65,IF(A66&lt;'Données projet'!$A$36,$K$205^A66,IF(A66='Données projet'!$A$36,'Données projet'!$B$36,N65+M66-V65)))</f>
        <v>275.99999999999994</v>
      </c>
      <c r="O66" s="13">
        <f>N66*VLOOKUP('Données projet'!$B$9,Paramètres!$A$1:$I$89,3,0)*VLOOKUP('Données projet'!$B$9,Paramètres!$A$1:$I$89,5,0)</f>
        <v>223.89119999999997</v>
      </c>
      <c r="P66" s="13">
        <f t="shared" si="33"/>
        <v>54.95975389514863</v>
      </c>
      <c r="Q66" s="20">
        <f t="shared" si="53"/>
        <v>485.66541136738391</v>
      </c>
      <c r="R66" s="59">
        <f t="shared" si="0"/>
        <v>778.99874470071722</v>
      </c>
      <c r="S66" s="59">
        <f ca="1">AVERAGE(OFFSET($R$3,0,0,'Données projet'!$E$9+1,1))-AVERAGE(OFFSET($H$3,0,0,'Données projet'!$E$9+1,1))</f>
        <v>298.98869919374232</v>
      </c>
      <c r="T66" s="59">
        <f t="shared" si="34"/>
        <v>293.11447542333889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16.027709396673071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16.027709396673071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234.00000000000011</v>
      </c>
      <c r="AJ66" s="13">
        <f>AI66*VLOOKUP('Données projet'!$B$10,Paramètres!$A$1:$I$89,3,0)*VLOOKUP('Données projet'!$B$10,Paramètres!$A$1:$I$89,5,0)</f>
        <v>204.42240000000012</v>
      </c>
      <c r="AK66" s="13">
        <f t="shared" si="35"/>
        <v>50.714836797527312</v>
      </c>
      <c r="AL66" s="20">
        <f t="shared" si="4"/>
        <v>444.36402075569362</v>
      </c>
      <c r="AM66" s="59">
        <f t="shared" si="5"/>
        <v>737.69735408902693</v>
      </c>
      <c r="AN66" s="59">
        <f ca="1">AVERAGE(OFFSET($AM$3,0,0,'Données projet'!$E$10+1,1))-AVERAGE(OFFSET($H$3,0,0,'Données projet'!$E$10+1,1))</f>
        <v>321.36684354830828</v>
      </c>
      <c r="AO66" s="59">
        <f t="shared" si="36"/>
        <v>388.05195847800502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37.079985491069785</v>
      </c>
      <c r="AV66" s="21">
        <f>EXP(-LN(2)/25)*AV65+(1-EXP(-LN(2)/25))/(LN(2)/25)*Calculateur!AQ66*Calculateur!AS66*VLOOKUP('Données projet'!$B$10,Paramètres!$A$1:$I$89,3,0)*0.475*44/12</f>
        <v>25.388108277731021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62.468093768800806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8.6666666666666661</v>
      </c>
      <c r="N67" s="13">
        <f>IF('Données projet'!$A$36&gt;35,N66+M67-V66,IF(A67&lt;'Données projet'!$A$36,$K$205^A67,IF(A67='Données projet'!$A$36,'Données projet'!$B$36,N66+M67-V66)))</f>
        <v>284.66666666666663</v>
      </c>
      <c r="O67" s="13">
        <f>N67*VLOOKUP('Données projet'!$B$9,Paramètres!$A$1:$I$89,3,0)*VLOOKUP('Données projet'!$B$9,Paramètres!$A$1:$I$89,5,0)</f>
        <v>230.92159999999998</v>
      </c>
      <c r="P67" s="13">
        <f t="shared" si="33"/>
        <v>56.481906596223716</v>
      </c>
      <c r="Q67" s="20">
        <f t="shared" ref="Q67:Q98" si="54">(O67+P67)*0.475*44/12</f>
        <v>500.5611073217562</v>
      </c>
      <c r="R67" s="59">
        <f t="shared" ref="R67:R130" si="55">Q67+(I67+J67)*44/12</f>
        <v>793.89444065508951</v>
      </c>
      <c r="S67" s="59">
        <f ca="1">AVERAGE(OFFSET($R$3,0,0,'Données projet'!$E$9+1,1))-AVERAGE(OFFSET($H$3,0,0,'Données projet'!$E$9+1,1))</f>
        <v>298.98869919374232</v>
      </c>
      <c r="T67" s="59">
        <f t="shared" si="34"/>
        <v>293.11447542333889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15.713415791341751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15.713415791341751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240.00000000000011</v>
      </c>
      <c r="AJ67" s="13">
        <f>AI67*VLOOKUP('Données projet'!$B$10,Paramètres!$A$1:$I$89,3,0)*VLOOKUP('Données projet'!$B$10,Paramètres!$A$1:$I$89,5,0)</f>
        <v>209.6640000000001</v>
      </c>
      <c r="AK67" s="13">
        <f t="shared" si="35"/>
        <v>51.862154403304537</v>
      </c>
      <c r="AL67" s="20">
        <f t="shared" si="4"/>
        <v>455.49138558575561</v>
      </c>
      <c r="AM67" s="59">
        <f t="shared" si="5"/>
        <v>748.82471891908892</v>
      </c>
      <c r="AN67" s="59">
        <f ca="1">AVERAGE(OFFSET($AM$3,0,0,'Données projet'!$E$10+1,1))-AVERAGE(OFFSET($H$3,0,0,'Données projet'!$E$10+1,1))</f>
        <v>321.36684354830828</v>
      </c>
      <c r="AO67" s="59">
        <f t="shared" si="36"/>
        <v>388.05195847800502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36.352869592147854</v>
      </c>
      <c r="AV67" s="21">
        <f>EXP(-LN(2)/25)*AV66+(1-EXP(-LN(2)/25))/(LN(2)/25)*Calculateur!AQ67*Calculateur!AS67*VLOOKUP('Données projet'!$B$10,Paramètres!$A$1:$I$89,3,0)*0.475*44/12</f>
        <v>24.693869121773876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61.046738713921727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8.6666666666666661</v>
      </c>
      <c r="N68" s="13">
        <f>IF('Données projet'!$A$36&gt;35,N67+M68-V67,IF(A68&lt;'Données projet'!$A$36,$K$205^A68,IF(A68='Données projet'!$A$36,'Données projet'!$B$36,N67+M68-V67)))</f>
        <v>293.33333333333331</v>
      </c>
      <c r="O68" s="13">
        <f>N68*VLOOKUP('Données projet'!$B$9,Paramètres!$A$1:$I$89,3,0)*VLOOKUP('Données projet'!$B$9,Paramètres!$A$1:$I$89,5,0)</f>
        <v>237.952</v>
      </c>
      <c r="P68" s="13">
        <f t="shared" si="33"/>
        <v>57.99867376947342</v>
      </c>
      <c r="Q68" s="20">
        <f t="shared" si="54"/>
        <v>515.44742348183297</v>
      </c>
      <c r="R68" s="59">
        <f t="shared" si="55"/>
        <v>808.78075681516634</v>
      </c>
      <c r="S68" s="59">
        <f ca="1">AVERAGE(OFFSET($R$3,0,0,'Données projet'!$E$9+1,1))-AVERAGE(OFFSET($H$3,0,0,'Données projet'!$E$9+1,1))</f>
        <v>298.98869919374232</v>
      </c>
      <c r="T68" s="59">
        <f t="shared" si="34"/>
        <v>293.11447542333889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15.405285291910808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15.405285291910808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246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246.00000000000011</v>
      </c>
      <c r="AJ68" s="13">
        <f>AI68*VLOOKUP('Données projet'!$B$10,Paramètres!$A$1:$I$89,3,0)*VLOOKUP('Données projet'!$B$10,Paramètres!$A$1:$I$89,5,0)</f>
        <v>214.90560000000013</v>
      </c>
      <c r="AK68" s="13">
        <f t="shared" si="35"/>
        <v>53.006137800892375</v>
      </c>
      <c r="AL68" s="20">
        <f t="shared" ref="AL68:AL131" si="58">(AJ68+AK68)*0.475*44/12</f>
        <v>466.61294333655451</v>
      </c>
      <c r="AM68" s="59">
        <f t="shared" ref="AM68:AM131" si="59">AL68+(AD68+AE68)*44/12</f>
        <v>759.94627666988777</v>
      </c>
      <c r="AN68" s="59">
        <f ca="1">AVERAGE(OFFSET($AM$3,0,0,'Données projet'!$E$10+1,1))-AVERAGE(OFFSET($H$3,0,0,'Données projet'!$E$10+1,1))</f>
        <v>321.36684354830828</v>
      </c>
      <c r="AO68" s="59">
        <f t="shared" si="36"/>
        <v>388.05195847800502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23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0.129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41.37070676491183</v>
      </c>
      <c r="AV68" s="21">
        <f>EXP(-LN(2)/25)*AV67+(1-EXP(-LN(2)/25))/(LN(2)/25)*Calculateur!AQ68*Calculateur!AS68*VLOOKUP('Données projet'!$B$10,Paramètres!$A$1:$I$89,3,0)*0.475*44/12</f>
        <v>26.872679393804876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68.243386158716703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8.6666666666666661</v>
      </c>
      <c r="N69" s="13">
        <f>IF('Données projet'!$A$36&gt;35,N68+M69-V68,IF(A69&lt;'Données projet'!$A$36,$K$205^A69,IF(A69='Données projet'!$A$36,'Données projet'!$B$36,N68+M69-V68)))</f>
        <v>302</v>
      </c>
      <c r="O69" s="13">
        <f>N69*VLOOKUP('Données projet'!$B$9,Paramètres!$A$1:$I$89,3,0)*VLOOKUP('Données projet'!$B$9,Paramètres!$A$1:$I$89,5,0)</f>
        <v>244.98239999999998</v>
      </c>
      <c r="P69" s="13">
        <f t="shared" ref="P69:P132" si="87">EXP(-1.0587+0.8836*LN(O69)+0.284)</f>
        <v>59.510232801299644</v>
      </c>
      <c r="Q69" s="20">
        <f t="shared" si="54"/>
        <v>530.32466879559684</v>
      </c>
      <c r="R69" s="59">
        <f t="shared" si="55"/>
        <v>823.65800212893009</v>
      </c>
      <c r="S69" s="59">
        <f ca="1">AVERAGE(OFFSET($R$3,0,0,'Données projet'!$E$9+1,1))-AVERAGE(OFFSET($H$3,0,0,'Données projet'!$E$9+1,1))</f>
        <v>298.98869919374232</v>
      </c>
      <c r="T69" s="59">
        <f t="shared" ref="T69:T132" si="88">$T$3</f>
        <v>293.11447542333889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15.103197043632658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15.103197043632658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228.2000000000001</v>
      </c>
      <c r="AJ69" s="13">
        <f>AI69*VLOOKUP('Données projet'!$B$10,Paramètres!$A$1:$I$89,3,0)*VLOOKUP('Données projet'!$B$10,Paramètres!$A$1:$I$89,5,0)</f>
        <v>199.35552000000013</v>
      </c>
      <c r="AK69" s="13">
        <f t="shared" ref="AK69:AK132" si="89">EXP(-1.0587+0.8836*LN(AJ69)+0.284)</f>
        <v>49.602503932783222</v>
      </c>
      <c r="AL69" s="20">
        <f t="shared" si="58"/>
        <v>433.60189168293101</v>
      </c>
      <c r="AM69" s="59">
        <f t="shared" si="59"/>
        <v>726.93522501626433</v>
      </c>
      <c r="AN69" s="59">
        <f ca="1">AVERAGE(OFFSET($AM$3,0,0,'Données projet'!$E$10+1,1))-AVERAGE(OFFSET($H$3,0,0,'Données projet'!$E$10+1,1))</f>
        <v>321.36684354830828</v>
      </c>
      <c r="AO69" s="59">
        <f t="shared" ref="AO69:AO132" si="90">$AO$3</f>
        <v>388.05195847800502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40.559452438891419</v>
      </c>
      <c r="AV69" s="21">
        <f>EXP(-LN(2)/25)*AV68+(1-EXP(-LN(2)/25))/(LN(2)/25)*Calculateur!AQ69*Calculateur!AS69*VLOOKUP('Données projet'!$B$10,Paramètres!$A$1:$I$89,3,0)*0.475*44/12</f>
        <v>26.137844562608493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66.697297001499919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8.6666666666666661</v>
      </c>
      <c r="N70" s="13">
        <f>IF('Données projet'!$A$36&gt;35,N69+M70-V69,IF(A70&lt;'Données projet'!$A$36,$K$205^A70,IF(A70='Données projet'!$A$36,'Données projet'!$B$36,N69+M70-V69)))</f>
        <v>310.66666666666669</v>
      </c>
      <c r="O70" s="13">
        <f>N70*VLOOKUP('Données projet'!$B$9,Paramètres!$A$1:$I$89,3,0)*VLOOKUP('Données projet'!$B$9,Paramètres!$A$1:$I$89,5,0)</f>
        <v>252.01280000000003</v>
      </c>
      <c r="P70" s="13">
        <f t="shared" si="87"/>
        <v>61.016750317950084</v>
      </c>
      <c r="Q70" s="20">
        <f t="shared" si="54"/>
        <v>545.19313347042976</v>
      </c>
      <c r="R70" s="59">
        <f t="shared" si="55"/>
        <v>838.52646680376301</v>
      </c>
      <c r="S70" s="59">
        <f ca="1">AVERAGE(OFFSET($R$3,0,0,'Données projet'!$E$9+1,1))-AVERAGE(OFFSET($H$3,0,0,'Données projet'!$E$9+1,1))</f>
        <v>298.98869919374232</v>
      </c>
      <c r="T70" s="59">
        <f t="shared" si="88"/>
        <v>293.11447542333889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14.807032561647604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14.807032561647604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233.40000000000009</v>
      </c>
      <c r="AJ70" s="13">
        <f>AI70*VLOOKUP('Données projet'!$B$10,Paramètres!$A$1:$I$89,3,0)*VLOOKUP('Données projet'!$B$10,Paramètres!$A$1:$I$89,5,0)</f>
        <v>203.8982400000001</v>
      </c>
      <c r="AK70" s="13">
        <f t="shared" si="89"/>
        <v>50.599918019430213</v>
      </c>
      <c r="AL70" s="20">
        <f t="shared" si="58"/>
        <v>443.25095855050785</v>
      </c>
      <c r="AM70" s="59">
        <f t="shared" si="59"/>
        <v>736.58429188384116</v>
      </c>
      <c r="AN70" s="59">
        <f ca="1">AVERAGE(OFFSET($AM$3,0,0,'Données projet'!$E$10+1,1))-AVERAGE(OFFSET($H$3,0,0,'Données projet'!$E$10+1,1))</f>
        <v>321.36684354830828</v>
      </c>
      <c r="AO70" s="59">
        <f t="shared" si="90"/>
        <v>388.05195847800502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39.764106315387991</v>
      </c>
      <c r="AV70" s="21">
        <f>EXP(-LN(2)/25)*AV69+(1-EXP(-LN(2)/25))/(LN(2)/25)*Calculateur!AQ70*Calculateur!AS70*VLOOKUP('Données projet'!$B$10,Paramètres!$A$1:$I$89,3,0)*0.475*44/12</f>
        <v>25.423103828514456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65.187210143902448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8.6666666666666661</v>
      </c>
      <c r="N71" s="13">
        <f>IF('Données projet'!$A$36&gt;35,N70+M71-V70,IF(A71&lt;'Données projet'!$A$36,$K$205^A71,IF(A71='Données projet'!$A$36,'Données projet'!$B$36,N70+M71-V70)))</f>
        <v>319.33333333333337</v>
      </c>
      <c r="O71" s="13">
        <f>N71*VLOOKUP('Données projet'!$B$9,Paramètres!$A$1:$I$89,3,0)*VLOOKUP('Données projet'!$B$9,Paramètres!$A$1:$I$89,5,0)</f>
        <v>259.04320000000007</v>
      </c>
      <c r="P71" s="13">
        <f t="shared" si="87"/>
        <v>62.518383119960305</v>
      </c>
      <c r="Q71" s="20">
        <f t="shared" si="54"/>
        <v>560.05309060059756</v>
      </c>
      <c r="R71" s="59">
        <f t="shared" si="55"/>
        <v>853.38642393393093</v>
      </c>
      <c r="S71" s="59">
        <f ca="1">AVERAGE(OFFSET($R$3,0,0,'Données projet'!$E$9+1,1))-AVERAGE(OFFSET($H$3,0,0,'Données projet'!$E$9+1,1))</f>
        <v>298.98869919374232</v>
      </c>
      <c r="T71" s="59">
        <f t="shared" si="88"/>
        <v>293.11447542333889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14.516675684511782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14.516675684511782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238.60000000000008</v>
      </c>
      <c r="AJ71" s="13">
        <f>AI71*VLOOKUP('Données projet'!$B$10,Paramètres!$A$1:$I$89,3,0)*VLOOKUP('Données projet'!$B$10,Paramètres!$A$1:$I$89,5,0)</f>
        <v>208.4409600000001</v>
      </c>
      <c r="AK71" s="13">
        <f t="shared" si="89"/>
        <v>51.594748621124211</v>
      </c>
      <c r="AL71" s="20">
        <f t="shared" si="58"/>
        <v>452.89552584845813</v>
      </c>
      <c r="AM71" s="59">
        <f t="shared" si="59"/>
        <v>746.22885918179145</v>
      </c>
      <c r="AN71" s="59">
        <f ca="1">AVERAGE(OFFSET($AM$3,0,0,'Données projet'!$E$10+1,1))-AVERAGE(OFFSET($H$3,0,0,'Données projet'!$E$10+1,1))</f>
        <v>321.36684354830828</v>
      </c>
      <c r="AO71" s="59">
        <f t="shared" si="90"/>
        <v>388.05195847800502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38.98435644425323</v>
      </c>
      <c r="AV71" s="21">
        <f>EXP(-LN(2)/25)*AV70+(1-EXP(-LN(2)/25))/(LN(2)/25)*Calculateur!AQ71*Calculateur!AS71*VLOOKUP('Données projet'!$B$10,Paramètres!$A$1:$I$89,3,0)*0.475*44/12</f>
        <v>24.727907717380802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63.712264161634032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328</v>
      </c>
      <c r="L72" s="12">
        <f>VLOOKUP(A72,'Données projet'!$A$35:$I$55,9,0)</f>
        <v>8.6666666666666661</v>
      </c>
      <c r="M72" s="12">
        <f t="array" ref="M72">INDEX(L:L,MIN(IF(ISNUMBER(L72:L268),ROW(L72:L268),"")))</f>
        <v>8.6666666666666661</v>
      </c>
      <c r="N72" s="13">
        <f>IF('Données projet'!$A$36&gt;35,N71+M72-V71,IF(A72&lt;'Données projet'!$A$36,$K$205^A72,IF(A72='Données projet'!$A$36,'Données projet'!$B$36,N71+M72-V71)))</f>
        <v>328.00000000000006</v>
      </c>
      <c r="O72" s="13">
        <f>N72*VLOOKUP('Données projet'!$B$9,Paramètres!$A$1:$I$89,3,0)*VLOOKUP('Données projet'!$B$9,Paramètres!$A$1:$I$89,5,0)</f>
        <v>266.07360000000006</v>
      </c>
      <c r="P72" s="13">
        <f t="shared" si="87"/>
        <v>64.015279012301136</v>
      </c>
      <c r="Q72" s="20">
        <f t="shared" si="54"/>
        <v>574.90479761309109</v>
      </c>
      <c r="R72" s="59">
        <f t="shared" si="55"/>
        <v>868.23813094642446</v>
      </c>
      <c r="S72" s="59">
        <f ca="1">AVERAGE(OFFSET($R$3,0,0,'Données projet'!$E$9+1,1))-AVERAGE(OFFSET($H$3,0,0,'Données projet'!$E$9+1,1))</f>
        <v>298.98869919374232</v>
      </c>
      <c r="T72" s="59">
        <f t="shared" si="88"/>
        <v>293.11447542333889</v>
      </c>
      <c r="U72" s="15">
        <f>IF(ISNA(VLOOKUP(A72,'Données projet'!$A$35:$I$55,3,0)),0,VLOOKUP(A72,'Données projet'!$A$35:$I$55,3,0))</f>
        <v>9</v>
      </c>
      <c r="V72" s="15">
        <f>IF(ISNA(VLOOKUP(A72,'Données projet'!$A$35:$I$55,4,0)),0,VLOOKUP(A72,'Données projet'!$A$35:$I$55,4,0))</f>
        <v>328</v>
      </c>
      <c r="W72" s="16">
        <f>IF(ISNA(VLOOKUP(A72,'Données projet'!$A$35:$I$55,5,0)),0%,VLOOKUP(A72,'Données projet'!$A$35:$I$55,5,0)*VLOOKUP('Données projet'!$B$9,Paramètres!$A$1:$I$89,7,0))</f>
        <v>0.318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107.76741430570848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107.76741430570848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243.80000000000007</v>
      </c>
      <c r="AJ72" s="13">
        <f>AI72*VLOOKUP('Données projet'!$B$10,Paramètres!$A$1:$I$89,3,0)*VLOOKUP('Données projet'!$B$10,Paramètres!$A$1:$I$89,5,0)</f>
        <v>212.98368000000008</v>
      </c>
      <c r="AK72" s="13">
        <f t="shared" si="89"/>
        <v>52.587058525970363</v>
      </c>
      <c r="AL72" s="20">
        <f t="shared" si="58"/>
        <v>462.53570293273191</v>
      </c>
      <c r="AM72" s="59">
        <f t="shared" si="59"/>
        <v>755.86903626606522</v>
      </c>
      <c r="AN72" s="59">
        <f ca="1">AVERAGE(OFFSET($AM$3,0,0,'Données projet'!$E$10+1,1))-AVERAGE(OFFSET($H$3,0,0,'Données projet'!$E$10+1,1))</f>
        <v>321.36684354830828</v>
      </c>
      <c r="AO72" s="59">
        <f t="shared" si="90"/>
        <v>388.05195847800502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38.219896992490959</v>
      </c>
      <c r="AV72" s="21">
        <f>EXP(-LN(2)/25)*AV71+(1-EXP(-LN(2)/25))/(LN(2)/25)*Calculateur!AQ72*Calculateur!AS72*VLOOKUP('Données projet'!$B$10,Paramètres!$A$1:$I$89,3,0)*0.475*44/12</f>
        <v>24.051721780464874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62.271618772955833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4.6111381379887463E-14</v>
      </c>
      <c r="P73" s="13">
        <f t="shared" si="87"/>
        <v>7.5804141040779151E-13</v>
      </c>
      <c r="Q73" s="20">
        <f t="shared" si="54"/>
        <v>1.4005661123635408E-12</v>
      </c>
      <c r="R73" s="59">
        <f t="shared" si="55"/>
        <v>293.33333333333474</v>
      </c>
      <c r="S73" s="59">
        <f ca="1">AVERAGE(OFFSET($R$3,0,0,'Données projet'!$E$9+1,1))-AVERAGE(OFFSET($H$3,0,0,'Données projet'!$E$9+1,1))</f>
        <v>298.98869919374232</v>
      </c>
      <c r="T73" s="59">
        <f t="shared" si="88"/>
        <v>293.11447542333889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105.65416104280581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105.65416104280581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249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249.00000000000006</v>
      </c>
      <c r="AJ73" s="13">
        <f>AI73*VLOOKUP('Données projet'!$B$10,Paramètres!$A$1:$I$89,3,0)*VLOOKUP('Données projet'!$B$10,Paramètres!$A$1:$I$89,5,0)</f>
        <v>217.52640000000008</v>
      </c>
      <c r="AK73" s="13">
        <f t="shared" si="89"/>
        <v>53.576907690651254</v>
      </c>
      <c r="AL73" s="20">
        <f t="shared" si="58"/>
        <v>472.17159422788433</v>
      </c>
      <c r="AM73" s="59">
        <f t="shared" si="59"/>
        <v>765.50492756121764</v>
      </c>
      <c r="AN73" s="59">
        <f ca="1">AVERAGE(OFFSET($AM$3,0,0,'Données projet'!$E$10+1,1))-AVERAGE(OFFSET($H$3,0,0,'Données projet'!$E$10+1,1))</f>
        <v>321.36684354830828</v>
      </c>
      <c r="AO73" s="59">
        <f t="shared" si="90"/>
        <v>388.05195847800502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249</v>
      </c>
      <c r="AR73" s="16">
        <f>IF(ISNA(VLOOKUP(A73,'Données projet'!$A$61:$I$81,5,0)),0%,VLOOKUP(A73,'Données projet'!$A$61:$I$81,5,0)*VLOOKUP('Données projet'!$B$10,Paramètres!$A$1:$I$89,7,0))</f>
        <v>0.25800000000000001</v>
      </c>
      <c r="AS73" s="16">
        <f>IF(ISNA(VLOOKUP(A73,'Données projet'!$A$61:$I$81,6,0)),0%,VLOOKUP(A73,'Données projet'!$A$61:$I$81,6,0)*VLOOKUP('Données projet'!$B$10,Paramètres!$A$1:$I$89,7,0))</f>
        <v>0.129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99.511428051644103</v>
      </c>
      <c r="AV73" s="21">
        <f>EXP(-LN(2)/25)*AV72+(1-EXP(-LN(2)/25))/(LN(2)/25)*Calculateur!AQ73*Calculateur!AS73*VLOOKUP('Données projet'!$B$10,Paramètres!$A$1:$I$89,3,0)*0.475*44/12</f>
        <v>54.292386619129161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153.80381467077325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4.6111381379887463E-14</v>
      </c>
      <c r="P74" s="13">
        <f t="shared" si="87"/>
        <v>7.5804141040779151E-13</v>
      </c>
      <c r="Q74" s="20">
        <f t="shared" si="54"/>
        <v>1.4005661123635408E-12</v>
      </c>
      <c r="R74" s="59">
        <f t="shared" si="55"/>
        <v>293.33333333333474</v>
      </c>
      <c r="S74" s="59">
        <f ca="1">AVERAGE(OFFSET($R$3,0,0,'Données projet'!$E$9+1,1))-AVERAGE(OFFSET($H$3,0,0,'Données projet'!$E$9+1,1))</f>
        <v>298.98869919374232</v>
      </c>
      <c r="T74" s="59">
        <f t="shared" si="88"/>
        <v>293.11447542333889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103.58234738743144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103.58234738743144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5.6843418860808015E-14</v>
      </c>
      <c r="AJ74" s="13">
        <f>AI74*VLOOKUP('Données projet'!$B$10,Paramètres!$A$1:$I$89,3,0)*VLOOKUP('Données projet'!$B$10,Paramètres!$A$1:$I$89,5,0)</f>
        <v>4.9658410716801891E-14</v>
      </c>
      <c r="AK74" s="13">
        <f t="shared" si="89"/>
        <v>8.0934058173791862E-13</v>
      </c>
      <c r="AL74" s="20">
        <f t="shared" si="58"/>
        <v>1.4960899118586383E-12</v>
      </c>
      <c r="AM74" s="59">
        <f t="shared" si="59"/>
        <v>293.33333333333479</v>
      </c>
      <c r="AN74" s="59">
        <f ca="1">AVERAGE(OFFSET($AM$3,0,0,'Données projet'!$E$10+1,1))-AVERAGE(OFFSET($H$3,0,0,'Données projet'!$E$10+1,1))</f>
        <v>321.36684354830828</v>
      </c>
      <c r="AO74" s="59">
        <f t="shared" si="90"/>
        <v>388.05195847800502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97.560069643529246</v>
      </c>
      <c r="AV74" s="21">
        <f>EXP(-LN(2)/25)*AV73+(1-EXP(-LN(2)/25))/(LN(2)/25)*Calculateur!AQ74*Calculateur!AS74*VLOOKUP('Données projet'!$B$10,Paramètres!$A$1:$I$89,3,0)*0.475*44/12</f>
        <v>52.807758451916548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150.36782809544579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4.6111381379887463E-14</v>
      </c>
      <c r="P75" s="13">
        <f t="shared" si="87"/>
        <v>7.5804141040779151E-13</v>
      </c>
      <c r="Q75" s="20">
        <f t="shared" si="54"/>
        <v>1.4005661123635408E-12</v>
      </c>
      <c r="R75" s="59">
        <f t="shared" si="55"/>
        <v>293.33333333333474</v>
      </c>
      <c r="S75" s="59">
        <f ca="1">AVERAGE(OFFSET($R$3,0,0,'Données projet'!$E$9+1,1))-AVERAGE(OFFSET($H$3,0,0,'Données projet'!$E$9+1,1))</f>
        <v>298.98869919374232</v>
      </c>
      <c r="T75" s="59">
        <f t="shared" si="88"/>
        <v>293.11447542333889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101.55116073415741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101.55116073415741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5.6843418860808015E-14</v>
      </c>
      <c r="AJ75" s="13">
        <f>AI75*VLOOKUP('Données projet'!$B$10,Paramètres!$A$1:$I$89,3,0)*VLOOKUP('Données projet'!$B$10,Paramètres!$A$1:$I$89,5,0)</f>
        <v>4.9658410716801891E-14</v>
      </c>
      <c r="AK75" s="13">
        <f t="shared" si="89"/>
        <v>8.0934058173791862E-13</v>
      </c>
      <c r="AL75" s="20">
        <f t="shared" si="58"/>
        <v>1.4960899118586383E-12</v>
      </c>
      <c r="AM75" s="59">
        <f t="shared" si="59"/>
        <v>293.33333333333479</v>
      </c>
      <c r="AN75" s="59">
        <f ca="1">AVERAGE(OFFSET($AM$3,0,0,'Données projet'!$E$10+1,1))-AVERAGE(OFFSET($H$3,0,0,'Données projet'!$E$10+1,1))</f>
        <v>321.36684354830828</v>
      </c>
      <c r="AO75" s="59">
        <f t="shared" si="90"/>
        <v>388.05195847800502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95.646976183586418</v>
      </c>
      <c r="AV75" s="21">
        <f>EXP(-LN(2)/25)*AV74+(1-EXP(-LN(2)/25))/(LN(2)/25)*Calculateur!AQ75*Calculateur!AS75*VLOOKUP('Données projet'!$B$10,Paramètres!$A$1:$I$89,3,0)*0.475*44/12</f>
        <v>51.363727520009569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147.01070370359599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4.6111381379887463E-14</v>
      </c>
      <c r="P76" s="13">
        <f t="shared" si="87"/>
        <v>7.5804141040779151E-13</v>
      </c>
      <c r="Q76" s="20">
        <f t="shared" si="54"/>
        <v>1.4005661123635408E-12</v>
      </c>
      <c r="R76" s="59">
        <f t="shared" si="55"/>
        <v>293.33333333333474</v>
      </c>
      <c r="S76" s="59">
        <f ca="1">AVERAGE(OFFSET($R$3,0,0,'Données projet'!$E$9+1,1))-AVERAGE(OFFSET($H$3,0,0,'Données projet'!$E$9+1,1))</f>
        <v>298.98869919374232</v>
      </c>
      <c r="T76" s="59">
        <f t="shared" si="88"/>
        <v>293.11447542333889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99.559804412252547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99.559804412252547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5.6843418860808015E-14</v>
      </c>
      <c r="AJ76" s="13">
        <f>AI76*VLOOKUP('Données projet'!$B$10,Paramètres!$A$1:$I$89,3,0)*VLOOKUP('Données projet'!$B$10,Paramètres!$A$1:$I$89,5,0)</f>
        <v>4.9658410716801891E-14</v>
      </c>
      <c r="AK76" s="13">
        <f t="shared" si="89"/>
        <v>8.0934058173791862E-13</v>
      </c>
      <c r="AL76" s="20">
        <f t="shared" si="58"/>
        <v>1.4960899118586383E-12</v>
      </c>
      <c r="AM76" s="59">
        <f t="shared" si="59"/>
        <v>293.33333333333479</v>
      </c>
      <c r="AN76" s="59">
        <f ca="1">AVERAGE(OFFSET($AM$3,0,0,'Données projet'!$E$10+1,1))-AVERAGE(OFFSET($H$3,0,0,'Données projet'!$E$10+1,1))</f>
        <v>321.36684354830828</v>
      </c>
      <c r="AO76" s="59">
        <f t="shared" si="90"/>
        <v>388.05195847800502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93.77139731952127</v>
      </c>
      <c r="AV76" s="21">
        <f>EXP(-LN(2)/25)*AV75+(1-EXP(-LN(2)/25))/(LN(2)/25)*Calculateur!AQ76*Calculateur!AS76*VLOOKUP('Données projet'!$B$10,Paramètres!$A$1:$I$89,3,0)*0.475*44/12</f>
        <v>49.959183689873868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143.73058100939514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4.6111381379887463E-14</v>
      </c>
      <c r="P77" s="13">
        <f t="shared" si="87"/>
        <v>7.5804141040779151E-13</v>
      </c>
      <c r="Q77" s="20">
        <f t="shared" si="54"/>
        <v>1.4005661123635408E-12</v>
      </c>
      <c r="R77" s="59">
        <f t="shared" si="55"/>
        <v>293.33333333333474</v>
      </c>
      <c r="S77" s="59">
        <f ca="1">AVERAGE(OFFSET($R$3,0,0,'Données projet'!$E$9+1,1))-AVERAGE(OFFSET($H$3,0,0,'Données projet'!$E$9+1,1))</f>
        <v>298.98869919374232</v>
      </c>
      <c r="T77" s="59">
        <f t="shared" si="88"/>
        <v>293.11447542333889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97.607497373212823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97.607497373212823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5.6843418860808015E-14</v>
      </c>
      <c r="AJ77" s="13">
        <f>AI77*VLOOKUP('Données projet'!$B$10,Paramètres!$A$1:$I$89,3,0)*VLOOKUP('Données projet'!$B$10,Paramètres!$A$1:$I$89,5,0)</f>
        <v>4.9658410716801891E-14</v>
      </c>
      <c r="AK77" s="13">
        <f t="shared" si="89"/>
        <v>8.0934058173791862E-13</v>
      </c>
      <c r="AL77" s="20">
        <f t="shared" si="58"/>
        <v>1.4960899118586383E-12</v>
      </c>
      <c r="AM77" s="59">
        <f t="shared" si="59"/>
        <v>293.33333333333479</v>
      </c>
      <c r="AN77" s="59">
        <f ca="1">AVERAGE(OFFSET($AM$3,0,0,'Données projet'!$E$10+1,1))-AVERAGE(OFFSET($H$3,0,0,'Données projet'!$E$10+1,1))</f>
        <v>321.36684354830828</v>
      </c>
      <c r="AO77" s="59">
        <f t="shared" si="90"/>
        <v>388.05195847800502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91.93259741299029</v>
      </c>
      <c r="AV77" s="21">
        <f>EXP(-LN(2)/25)*AV76+(1-EXP(-LN(2)/25))/(LN(2)/25)*Calculateur!AQ77*Calculateur!AS77*VLOOKUP('Données projet'!$B$10,Paramètres!$A$1:$I$89,3,0)*0.475*44/12</f>
        <v>48.593047184634983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140.52564459762527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4.6111381379887463E-14</v>
      </c>
      <c r="P78" s="13">
        <f t="shared" si="87"/>
        <v>7.5804141040779151E-13</v>
      </c>
      <c r="Q78" s="20">
        <f t="shared" si="54"/>
        <v>1.4005661123635408E-12</v>
      </c>
      <c r="R78" s="59">
        <f t="shared" si="55"/>
        <v>293.33333333333474</v>
      </c>
      <c r="S78" s="59">
        <f ca="1">AVERAGE(OFFSET($R$3,0,0,'Données projet'!$E$9+1,1))-AVERAGE(OFFSET($H$3,0,0,'Données projet'!$E$9+1,1))</f>
        <v>298.98869919374232</v>
      </c>
      <c r="T78" s="59">
        <f t="shared" si="88"/>
        <v>293.11447542333889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95.69347388441895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95.69347388441895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5.6843418860808015E-14</v>
      </c>
      <c r="AJ78" s="13">
        <f>AI78*VLOOKUP('Données projet'!$B$10,Paramètres!$A$1:$I$89,3,0)*VLOOKUP('Données projet'!$B$10,Paramètres!$A$1:$I$89,5,0)</f>
        <v>4.9658410716801891E-14</v>
      </c>
      <c r="AK78" s="13">
        <f t="shared" si="89"/>
        <v>8.0934058173791862E-13</v>
      </c>
      <c r="AL78" s="20">
        <f t="shared" si="58"/>
        <v>1.4960899118586383E-12</v>
      </c>
      <c r="AM78" s="59">
        <f t="shared" si="59"/>
        <v>293.33333333333479</v>
      </c>
      <c r="AN78" s="59">
        <f ca="1">AVERAGE(OFFSET($AM$3,0,0,'Données projet'!$E$10+1,1))-AVERAGE(OFFSET($H$3,0,0,'Données projet'!$E$10+1,1))</f>
        <v>321.36684354830828</v>
      </c>
      <c r="AO78" s="59">
        <f t="shared" si="90"/>
        <v>388.05195847800502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90.129855251069188</v>
      </c>
      <c r="AV78" s="21">
        <f>EXP(-LN(2)/25)*AV77+(1-EXP(-LN(2)/25))/(LN(2)/25)*Calculateur!AQ78*Calculateur!AS78*VLOOKUP('Données projet'!$B$10,Paramètres!$A$1:$I$89,3,0)*0.475*44/12</f>
        <v>47.264267753973847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137.39412300504304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4.6111381379887463E-14</v>
      </c>
      <c r="P79" s="13">
        <f t="shared" si="87"/>
        <v>7.5804141040779151E-13</v>
      </c>
      <c r="Q79" s="20">
        <f t="shared" si="54"/>
        <v>1.4005661123635408E-12</v>
      </c>
      <c r="R79" s="59">
        <f t="shared" si="55"/>
        <v>293.33333333333474</v>
      </c>
      <c r="S79" s="59">
        <f ca="1">AVERAGE(OFFSET($R$3,0,0,'Données projet'!$E$9+1,1))-AVERAGE(OFFSET($H$3,0,0,'Données projet'!$E$9+1,1))</f>
        <v>298.98869919374232</v>
      </c>
      <c r="T79" s="59">
        <f t="shared" si="88"/>
        <v>293.11447542333889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93.816983228801277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93.816983228801277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5.6843418860808015E-14</v>
      </c>
      <c r="AJ79" s="13">
        <f>AI79*VLOOKUP('Données projet'!$B$10,Paramètres!$A$1:$I$89,3,0)*VLOOKUP('Données projet'!$B$10,Paramètres!$A$1:$I$89,5,0)</f>
        <v>4.9658410716801891E-14</v>
      </c>
      <c r="AK79" s="13">
        <f t="shared" si="89"/>
        <v>8.0934058173791862E-13</v>
      </c>
      <c r="AL79" s="20">
        <f t="shared" si="58"/>
        <v>1.4960899118586383E-12</v>
      </c>
      <c r="AM79" s="59">
        <f t="shared" si="59"/>
        <v>293.33333333333479</v>
      </c>
      <c r="AN79" s="59">
        <f ca="1">AVERAGE(OFFSET($AM$3,0,0,'Données projet'!$E$10+1,1))-AVERAGE(OFFSET($H$3,0,0,'Données projet'!$E$10+1,1))</f>
        <v>321.36684354830828</v>
      </c>
      <c r="AO79" s="59">
        <f t="shared" si="90"/>
        <v>388.05195847800502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88.36246376337921</v>
      </c>
      <c r="AV79" s="21">
        <f>EXP(-LN(2)/25)*AV78+(1-EXP(-LN(2)/25))/(LN(2)/25)*Calculateur!AQ79*Calculateur!AS79*VLOOKUP('Données projet'!$B$10,Paramètres!$A$1:$I$89,3,0)*0.475*44/12</f>
        <v>45.971823866721614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134.33428763010082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4.6111381379887463E-14</v>
      </c>
      <c r="P80" s="13">
        <f t="shared" si="87"/>
        <v>7.5804141040779151E-13</v>
      </c>
      <c r="Q80" s="20">
        <f t="shared" si="54"/>
        <v>1.4005661123635408E-12</v>
      </c>
      <c r="R80" s="59">
        <f t="shared" si="55"/>
        <v>293.33333333333474</v>
      </c>
      <c r="S80" s="59">
        <f ca="1">AVERAGE(OFFSET($R$3,0,0,'Données projet'!$E$9+1,1))-AVERAGE(OFFSET($H$3,0,0,'Données projet'!$E$9+1,1))</f>
        <v>298.98869919374232</v>
      </c>
      <c r="T80" s="59">
        <f t="shared" si="88"/>
        <v>293.11447542333889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91.977289410393979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91.977289410393979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5.6843418860808015E-14</v>
      </c>
      <c r="AJ80" s="13">
        <f>AI80*VLOOKUP('Données projet'!$B$10,Paramètres!$A$1:$I$89,3,0)*VLOOKUP('Données projet'!$B$10,Paramètres!$A$1:$I$89,5,0)</f>
        <v>4.9658410716801891E-14</v>
      </c>
      <c r="AK80" s="13">
        <f t="shared" si="89"/>
        <v>8.0934058173791862E-13</v>
      </c>
      <c r="AL80" s="20">
        <f t="shared" si="58"/>
        <v>1.4960899118586383E-12</v>
      </c>
      <c r="AM80" s="59">
        <f t="shared" si="59"/>
        <v>293.33333333333479</v>
      </c>
      <c r="AN80" s="59">
        <f ca="1">AVERAGE(OFFSET($AM$3,0,0,'Données projet'!$E$10+1,1))-AVERAGE(OFFSET($H$3,0,0,'Données projet'!$E$10+1,1))</f>
        <v>321.36684354830828</v>
      </c>
      <c r="AO80" s="59">
        <f t="shared" si="90"/>
        <v>388.05195847800502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86.629729744760468</v>
      </c>
      <c r="AV80" s="21">
        <f>EXP(-LN(2)/25)*AV79+(1-EXP(-LN(2)/25))/(LN(2)/25)*Calculateur!AQ80*Calculateur!AS80*VLOOKUP('Données projet'!$B$10,Paramètres!$A$1:$I$89,3,0)*0.475*44/12</f>
        <v>44.714721925532963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131.34445167029344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4.6111381379887463E-14</v>
      </c>
      <c r="P81" s="13">
        <f t="shared" si="87"/>
        <v>7.5804141040779151E-13</v>
      </c>
      <c r="Q81" s="20">
        <f t="shared" si="54"/>
        <v>1.4005661123635408E-12</v>
      </c>
      <c r="R81" s="59">
        <f t="shared" si="55"/>
        <v>293.33333333333474</v>
      </c>
      <c r="S81" s="59">
        <f ca="1">AVERAGE(OFFSET($R$3,0,0,'Données projet'!$E$9+1,1))-AVERAGE(OFFSET($H$3,0,0,'Données projet'!$E$9+1,1))</f>
        <v>298.98869919374232</v>
      </c>
      <c r="T81" s="59">
        <f t="shared" si="88"/>
        <v>293.11447542333889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90.173670865663212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90.173670865663212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5.6843418860808015E-14</v>
      </c>
      <c r="AJ81" s="13">
        <f>AI81*VLOOKUP('Données projet'!$B$10,Paramètres!$A$1:$I$89,3,0)*VLOOKUP('Données projet'!$B$10,Paramètres!$A$1:$I$89,5,0)</f>
        <v>4.9658410716801891E-14</v>
      </c>
      <c r="AK81" s="13">
        <f t="shared" si="89"/>
        <v>8.0934058173791862E-13</v>
      </c>
      <c r="AL81" s="20">
        <f t="shared" si="58"/>
        <v>1.4960899118586383E-12</v>
      </c>
      <c r="AM81" s="59">
        <f t="shared" si="59"/>
        <v>293.33333333333479</v>
      </c>
      <c r="AN81" s="59">
        <f ca="1">AVERAGE(OFFSET($AM$3,0,0,'Données projet'!$E$10+1,1))-AVERAGE(OFFSET($H$3,0,0,'Données projet'!$E$10+1,1))</f>
        <v>321.36684354830828</v>
      </c>
      <c r="AO81" s="59">
        <f t="shared" si="90"/>
        <v>388.05195847800502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84.930973583383448</v>
      </c>
      <c r="AV81" s="21">
        <f>EXP(-LN(2)/25)*AV80+(1-EXP(-LN(2)/25))/(LN(2)/25)*Calculateur!AQ81*Calculateur!AS81*VLOOKUP('Données projet'!$B$10,Paramètres!$A$1:$I$89,3,0)*0.475*44/12</f>
        <v>43.491995503034232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128.42296908641768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4.6111381379887463E-14</v>
      </c>
      <c r="P82" s="13">
        <f t="shared" si="87"/>
        <v>7.5804141040779151E-13</v>
      </c>
      <c r="Q82" s="20">
        <f t="shared" si="54"/>
        <v>1.4005661123635408E-12</v>
      </c>
      <c r="R82" s="59">
        <f t="shared" si="55"/>
        <v>293.33333333333474</v>
      </c>
      <c r="S82" s="59">
        <f ca="1">AVERAGE(OFFSET($R$3,0,0,'Données projet'!$E$9+1,1))-AVERAGE(OFFSET($H$3,0,0,'Données projet'!$E$9+1,1))</f>
        <v>298.98869919374232</v>
      </c>
      <c r="T82" s="59">
        <f t="shared" si="88"/>
        <v>293.11447542333889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88.405420180495938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88.405420180495938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5.6843418860808015E-14</v>
      </c>
      <c r="AJ82" s="13">
        <f>AI82*VLOOKUP('Données projet'!$B$10,Paramètres!$A$1:$I$89,3,0)*VLOOKUP('Données projet'!$B$10,Paramètres!$A$1:$I$89,5,0)</f>
        <v>4.9658410716801891E-14</v>
      </c>
      <c r="AK82" s="13">
        <f t="shared" si="89"/>
        <v>8.0934058173791862E-13</v>
      </c>
      <c r="AL82" s="20">
        <f t="shared" si="58"/>
        <v>1.4960899118586383E-12</v>
      </c>
      <c r="AM82" s="59">
        <f t="shared" si="59"/>
        <v>293.33333333333479</v>
      </c>
      <c r="AN82" s="59">
        <f ca="1">AVERAGE(OFFSET($AM$3,0,0,'Données projet'!$E$10+1,1))-AVERAGE(OFFSET($H$3,0,0,'Données projet'!$E$10+1,1))</f>
        <v>321.36684354830828</v>
      </c>
      <c r="AO82" s="59">
        <f t="shared" si="90"/>
        <v>388.05195847800502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83.265528994192081</v>
      </c>
      <c r="AV82" s="21">
        <f>EXP(-LN(2)/25)*AV81+(1-EXP(-LN(2)/25))/(LN(2)/25)*Calculateur!AQ82*Calculateur!AS82*VLOOKUP('Données projet'!$B$10,Paramètres!$A$1:$I$89,3,0)*0.475*44/12</f>
        <v>42.302704598859123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125.5682335930512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4.6111381379887463E-14</v>
      </c>
      <c r="P83" s="13">
        <f t="shared" si="87"/>
        <v>7.5804141040779151E-13</v>
      </c>
      <c r="Q83" s="20">
        <f t="shared" si="54"/>
        <v>1.4005661123635408E-12</v>
      </c>
      <c r="R83" s="59">
        <f t="shared" si="55"/>
        <v>293.33333333333474</v>
      </c>
      <c r="S83" s="59">
        <f ca="1">AVERAGE(OFFSET($R$3,0,0,'Données projet'!$E$9+1,1))-AVERAGE(OFFSET($H$3,0,0,'Données projet'!$E$9+1,1))</f>
        <v>298.98869919374232</v>
      </c>
      <c r="T83" s="59">
        <f t="shared" si="88"/>
        <v>293.11447542333889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86.671843812738373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86.671843812738373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5.6843418860808015E-14</v>
      </c>
      <c r="AJ83" s="13">
        <f>AI83*VLOOKUP('Données projet'!$B$10,Paramètres!$A$1:$I$89,3,0)*VLOOKUP('Données projet'!$B$10,Paramètres!$A$1:$I$89,5,0)</f>
        <v>4.9658410716801891E-14</v>
      </c>
      <c r="AK83" s="13">
        <f t="shared" si="89"/>
        <v>8.0934058173791862E-13</v>
      </c>
      <c r="AL83" s="20">
        <f t="shared" si="58"/>
        <v>1.4960899118586383E-12</v>
      </c>
      <c r="AM83" s="59">
        <f t="shared" si="59"/>
        <v>293.33333333333479</v>
      </c>
      <c r="AN83" s="59">
        <f ca="1">AVERAGE(OFFSET($AM$3,0,0,'Données projet'!$E$10+1,1))-AVERAGE(OFFSET($H$3,0,0,'Données projet'!$E$10+1,1))</f>
        <v>321.36684354830828</v>
      </c>
      <c r="AO83" s="59">
        <f t="shared" si="90"/>
        <v>388.05195847800502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81.632742757573865</v>
      </c>
      <c r="AV83" s="21">
        <f>EXP(-LN(2)/25)*AV82+(1-EXP(-LN(2)/25))/(LN(2)/25)*Calculateur!AQ83*Calculateur!AS83*VLOOKUP('Données projet'!$B$10,Paramètres!$A$1:$I$89,3,0)*0.475*44/12</f>
        <v>41.145934917000773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122.77867767457464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4.6111381379887463E-14</v>
      </c>
      <c r="P84" s="13">
        <f t="shared" si="87"/>
        <v>7.5804141040779151E-13</v>
      </c>
      <c r="Q84" s="20">
        <f t="shared" si="54"/>
        <v>1.4005661123635408E-12</v>
      </c>
      <c r="R84" s="59">
        <f t="shared" si="55"/>
        <v>293.33333333333474</v>
      </c>
      <c r="S84" s="59">
        <f ca="1">AVERAGE(OFFSET($R$3,0,0,'Données projet'!$E$9+1,1))-AVERAGE(OFFSET($H$3,0,0,'Données projet'!$E$9+1,1))</f>
        <v>298.98869919374232</v>
      </c>
      <c r="T84" s="59">
        <f t="shared" si="88"/>
        <v>293.11447542333889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84.972261820175348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84.972261820175348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4.9658410716801891E-14</v>
      </c>
      <c r="AK84" s="13">
        <f t="shared" si="89"/>
        <v>8.0934058173791862E-13</v>
      </c>
      <c r="AL84" s="20">
        <f t="shared" si="58"/>
        <v>1.4960899118586383E-12</v>
      </c>
      <c r="AM84" s="59">
        <f t="shared" si="59"/>
        <v>293.33333333333479</v>
      </c>
      <c r="AN84" s="59">
        <f ca="1">AVERAGE(OFFSET($AM$3,0,0,'Données projet'!$E$10+1,1))-AVERAGE(OFFSET($H$3,0,0,'Données projet'!$E$10+1,1))</f>
        <v>321.36684354830828</v>
      </c>
      <c r="AO84" s="59">
        <f t="shared" si="90"/>
        <v>388.05195847800502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80.031974463154469</v>
      </c>
      <c r="AV84" s="21">
        <f>EXP(-LN(2)/25)*AV83+(1-EXP(-LN(2)/25))/(LN(2)/25)*Calculateur!AQ84*Calculateur!AS84*VLOOKUP('Données projet'!$B$10,Paramètres!$A$1:$I$89,3,0)*0.475*44/12</f>
        <v>40.020797162924708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120.05277162607918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4.6111381379887463E-14</v>
      </c>
      <c r="P85" s="13">
        <f t="shared" si="87"/>
        <v>7.5804141040779151E-13</v>
      </c>
      <c r="Q85" s="20">
        <f t="shared" si="54"/>
        <v>1.4005661123635408E-12</v>
      </c>
      <c r="R85" s="59">
        <f t="shared" si="55"/>
        <v>293.33333333333474</v>
      </c>
      <c r="S85" s="59">
        <f ca="1">AVERAGE(OFFSET($R$3,0,0,'Données projet'!$E$9+1,1))-AVERAGE(OFFSET($H$3,0,0,'Données projet'!$E$9+1,1))</f>
        <v>298.98869919374232</v>
      </c>
      <c r="T85" s="59">
        <f t="shared" si="88"/>
        <v>293.11447542333889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83.30600759384383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83.30600759384383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4.9658410716801891E-14</v>
      </c>
      <c r="AK85" s="13">
        <f t="shared" si="89"/>
        <v>8.0934058173791862E-13</v>
      </c>
      <c r="AL85" s="20">
        <f t="shared" si="58"/>
        <v>1.4960899118586383E-12</v>
      </c>
      <c r="AM85" s="59">
        <f t="shared" si="59"/>
        <v>293.33333333333479</v>
      </c>
      <c r="AN85" s="59">
        <f ca="1">AVERAGE(OFFSET($AM$3,0,0,'Données projet'!$E$10+1,1))-AVERAGE(OFFSET($H$3,0,0,'Données projet'!$E$10+1,1))</f>
        <v>321.36684354830828</v>
      </c>
      <c r="AO85" s="59">
        <f t="shared" si="90"/>
        <v>388.05195847800502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78.462596258616387</v>
      </c>
      <c r="AV85" s="21">
        <f>EXP(-LN(2)/25)*AV84+(1-EXP(-LN(2)/25))/(LN(2)/25)*Calculateur!AQ85*Calculateur!AS85*VLOOKUP('Données projet'!$B$10,Paramètres!$A$1:$I$89,3,0)*0.475*44/12</f>
        <v>38.92642635990228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117.38902261851867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4.6111381379887463E-14</v>
      </c>
      <c r="P86" s="13">
        <f t="shared" si="87"/>
        <v>7.5804141040779151E-13</v>
      </c>
      <c r="Q86" s="20">
        <f t="shared" si="54"/>
        <v>1.4005661123635408E-12</v>
      </c>
      <c r="R86" s="59">
        <f t="shared" si="55"/>
        <v>293.33333333333474</v>
      </c>
      <c r="S86" s="59">
        <f ca="1">AVERAGE(OFFSET($R$3,0,0,'Données projet'!$E$9+1,1))-AVERAGE(OFFSET($H$3,0,0,'Données projet'!$E$9+1,1))</f>
        <v>298.98869919374232</v>
      </c>
      <c r="T86" s="59">
        <f t="shared" si="88"/>
        <v>293.11447542333889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81.672427596575957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81.672427596575957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4.9658410716801891E-14</v>
      </c>
      <c r="AK86" s="13">
        <f t="shared" si="89"/>
        <v>8.0934058173791862E-13</v>
      </c>
      <c r="AL86" s="20">
        <f t="shared" si="58"/>
        <v>1.4960899118586383E-12</v>
      </c>
      <c r="AM86" s="59">
        <f t="shared" si="59"/>
        <v>293.33333333333479</v>
      </c>
      <c r="AN86" s="59">
        <f ca="1">AVERAGE(OFFSET($AM$3,0,0,'Données projet'!$E$10+1,1))-AVERAGE(OFFSET($H$3,0,0,'Données projet'!$E$10+1,1))</f>
        <v>321.36684354830828</v>
      </c>
      <c r="AO86" s="59">
        <f t="shared" si="90"/>
        <v>388.05195847800502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76.923992603443111</v>
      </c>
      <c r="AV86" s="21">
        <f>EXP(-LN(2)/25)*AV85+(1-EXP(-LN(2)/25))/(LN(2)/25)*Calculateur!AQ86*Calculateur!AS86*VLOOKUP('Données projet'!$B$10,Paramètres!$A$1:$I$89,3,0)*0.475*44/12</f>
        <v>37.86198118403896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114.78597378748208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4.6111381379887463E-14</v>
      </c>
      <c r="P87" s="13">
        <f t="shared" si="87"/>
        <v>7.5804141040779151E-13</v>
      </c>
      <c r="Q87" s="20">
        <f t="shared" si="54"/>
        <v>1.4005661123635408E-12</v>
      </c>
      <c r="R87" s="59">
        <f t="shared" si="55"/>
        <v>293.33333333333474</v>
      </c>
      <c r="S87" s="59">
        <f ca="1">AVERAGE(OFFSET($R$3,0,0,'Données projet'!$E$9+1,1))-AVERAGE(OFFSET($H$3,0,0,'Données projet'!$E$9+1,1))</f>
        <v>298.98869919374232</v>
      </c>
      <c r="T87" s="59">
        <f t="shared" si="88"/>
        <v>293.11447542333889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80.070881106669091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80.070881106669091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4.9658410716801891E-14</v>
      </c>
      <c r="AK87" s="13">
        <f t="shared" si="89"/>
        <v>8.0934058173791862E-13</v>
      </c>
      <c r="AL87" s="20">
        <f t="shared" si="58"/>
        <v>1.4960899118586383E-12</v>
      </c>
      <c r="AM87" s="59">
        <f t="shared" si="59"/>
        <v>293.33333333333479</v>
      </c>
      <c r="AN87" s="59">
        <f ca="1">AVERAGE(OFFSET($AM$3,0,0,'Données projet'!$E$10+1,1))-AVERAGE(OFFSET($H$3,0,0,'Données projet'!$E$10+1,1))</f>
        <v>321.36684354830828</v>
      </c>
      <c r="AO87" s="59">
        <f t="shared" si="90"/>
        <v>388.05195847800502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75.415560027492219</v>
      </c>
      <c r="AV87" s="21">
        <f>EXP(-LN(2)/25)*AV86+(1-EXP(-LN(2)/25))/(LN(2)/25)*Calculateur!AQ87*Calculateur!AS87*VLOOKUP('Données projet'!$B$10,Paramètres!$A$1:$I$89,3,0)*0.475*44/12</f>
        <v>36.826643317486358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112.24220334497858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4.6111381379887463E-14</v>
      </c>
      <c r="P88" s="13">
        <f t="shared" si="87"/>
        <v>7.5804141040779151E-13</v>
      </c>
      <c r="Q88" s="20">
        <f t="shared" si="54"/>
        <v>1.4005661123635408E-12</v>
      </c>
      <c r="R88" s="59">
        <f t="shared" si="55"/>
        <v>293.33333333333474</v>
      </c>
      <c r="S88" s="59">
        <f ca="1">AVERAGE(OFFSET($R$3,0,0,'Données projet'!$E$9+1,1))-AVERAGE(OFFSET($H$3,0,0,'Données projet'!$E$9+1,1))</f>
        <v>298.98869919374232</v>
      </c>
      <c r="T88" s="59">
        <f t="shared" si="88"/>
        <v>293.11447542333889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78.500739966582387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78.500739966582387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4.9658410716801891E-14</v>
      </c>
      <c r="AK88" s="13">
        <f t="shared" si="89"/>
        <v>8.0934058173791862E-13</v>
      </c>
      <c r="AL88" s="20">
        <f t="shared" si="58"/>
        <v>1.4960899118586383E-12</v>
      </c>
      <c r="AM88" s="59">
        <f t="shared" si="59"/>
        <v>293.33333333333479</v>
      </c>
      <c r="AN88" s="59">
        <f ca="1">AVERAGE(OFFSET($AM$3,0,0,'Données projet'!$E$10+1,1))-AVERAGE(OFFSET($H$3,0,0,'Données projet'!$E$10+1,1))</f>
        <v>321.36684354830828</v>
      </c>
      <c r="AO88" s="59">
        <f t="shared" si="90"/>
        <v>388.05195847800502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73.936706894302688</v>
      </c>
      <c r="AV88" s="21">
        <f>EXP(-LN(2)/25)*AV87+(1-EXP(-LN(2)/25))/(LN(2)/25)*Calculateur!AQ88*Calculateur!AS88*VLOOKUP('Données projet'!$B$10,Paramètres!$A$1:$I$89,3,0)*0.475*44/12</f>
        <v>35.819616819340688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109.75632371364338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4.6111381379887463E-14</v>
      </c>
      <c r="P89" s="13">
        <f t="shared" si="87"/>
        <v>7.5804141040779151E-13</v>
      </c>
      <c r="Q89" s="20">
        <f t="shared" si="54"/>
        <v>1.4005661123635408E-12</v>
      </c>
      <c r="R89" s="59">
        <f t="shared" si="55"/>
        <v>293.33333333333474</v>
      </c>
      <c r="S89" s="59">
        <f ca="1">AVERAGE(OFFSET($R$3,0,0,'Données projet'!$E$9+1,1))-AVERAGE(OFFSET($H$3,0,0,'Données projet'!$E$9+1,1))</f>
        <v>298.98869919374232</v>
      </c>
      <c r="T89" s="59">
        <f t="shared" si="88"/>
        <v>293.11447542333889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76.961388336561257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76.961388336561257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4.9658410716801891E-14</v>
      </c>
      <c r="AK89" s="13">
        <f t="shared" si="89"/>
        <v>8.0934058173791862E-13</v>
      </c>
      <c r="AL89" s="20">
        <f t="shared" si="58"/>
        <v>1.4960899118586383E-12</v>
      </c>
      <c r="AM89" s="59">
        <f t="shared" si="59"/>
        <v>293.33333333333479</v>
      </c>
      <c r="AN89" s="59">
        <f ca="1">AVERAGE(OFFSET($AM$3,0,0,'Données projet'!$E$10+1,1))-AVERAGE(OFFSET($H$3,0,0,'Données projet'!$E$10+1,1))</f>
        <v>321.36684354830828</v>
      </c>
      <c r="AO89" s="59">
        <f t="shared" si="90"/>
        <v>388.05195847800502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72.48685316904367</v>
      </c>
      <c r="AV89" s="21">
        <f>EXP(-LN(2)/25)*AV88+(1-EXP(-LN(2)/25))/(LN(2)/25)*Calculateur!AQ89*Calculateur!AS89*VLOOKUP('Données projet'!$B$10,Paramètres!$A$1:$I$89,3,0)*0.475*44/12</f>
        <v>34.840127513744036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107.32698068278771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4.6111381379887463E-14</v>
      </c>
      <c r="P90" s="13">
        <f t="shared" si="87"/>
        <v>7.5804141040779151E-13</v>
      </c>
      <c r="Q90" s="20">
        <f t="shared" si="54"/>
        <v>1.4005661123635408E-12</v>
      </c>
      <c r="R90" s="59">
        <f t="shared" si="55"/>
        <v>293.33333333333474</v>
      </c>
      <c r="S90" s="59">
        <f ca="1">AVERAGE(OFFSET($R$3,0,0,'Données projet'!$E$9+1,1))-AVERAGE(OFFSET($H$3,0,0,'Données projet'!$E$9+1,1))</f>
        <v>298.98869919374232</v>
      </c>
      <c r="T90" s="59">
        <f t="shared" si="88"/>
        <v>293.11447542333889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75.452222453093057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75.452222453093057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4.9658410716801891E-14</v>
      </c>
      <c r="AK90" s="13">
        <f t="shared" si="89"/>
        <v>8.0934058173791862E-13</v>
      </c>
      <c r="AL90" s="20">
        <f t="shared" si="58"/>
        <v>1.4960899118586383E-12</v>
      </c>
      <c r="AM90" s="59">
        <f t="shared" si="59"/>
        <v>293.33333333333479</v>
      </c>
      <c r="AN90" s="59">
        <f ca="1">AVERAGE(OFFSET($AM$3,0,0,'Données projet'!$E$10+1,1))-AVERAGE(OFFSET($H$3,0,0,'Données projet'!$E$10+1,1))</f>
        <v>321.36684354830828</v>
      </c>
      <c r="AO90" s="59">
        <f t="shared" si="90"/>
        <v>388.05195847800502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71.065430191013519</v>
      </c>
      <c r="AV90" s="21">
        <f>EXP(-LN(2)/25)*AV89+(1-EXP(-LN(2)/25))/(LN(2)/25)*Calculateur!AQ90*Calculateur!AS90*VLOOKUP('Données projet'!$B$10,Paramètres!$A$1:$I$89,3,0)*0.475*44/12</f>
        <v>33.88742239471803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104.95285258573155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4.6111381379887463E-14</v>
      </c>
      <c r="P91" s="13">
        <f t="shared" si="87"/>
        <v>7.5804141040779151E-13</v>
      </c>
      <c r="Q91" s="20">
        <f t="shared" si="54"/>
        <v>1.4005661123635408E-12</v>
      </c>
      <c r="R91" s="59">
        <f t="shared" si="55"/>
        <v>293.33333333333474</v>
      </c>
      <c r="S91" s="59">
        <f ca="1">AVERAGE(OFFSET($R$3,0,0,'Données projet'!$E$9+1,1))-AVERAGE(OFFSET($H$3,0,0,'Données projet'!$E$9+1,1))</f>
        <v>298.98869919374232</v>
      </c>
      <c r="T91" s="59">
        <f t="shared" si="88"/>
        <v>293.11447542333889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73.972650392099368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73.972650392099368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4.9658410716801891E-14</v>
      </c>
      <c r="AK91" s="13">
        <f t="shared" si="89"/>
        <v>8.0934058173791862E-13</v>
      </c>
      <c r="AL91" s="20">
        <f t="shared" si="58"/>
        <v>1.4960899118586383E-12</v>
      </c>
      <c r="AM91" s="59">
        <f t="shared" si="59"/>
        <v>293.33333333333479</v>
      </c>
      <c r="AN91" s="59">
        <f ca="1">AVERAGE(OFFSET($AM$3,0,0,'Données projet'!$E$10+1,1))-AVERAGE(OFFSET($H$3,0,0,'Données projet'!$E$10+1,1))</f>
        <v>321.36684354830828</v>
      </c>
      <c r="AO91" s="59">
        <f t="shared" si="90"/>
        <v>388.05195847800502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69.671880450600128</v>
      </c>
      <c r="AV91" s="21">
        <f>EXP(-LN(2)/25)*AV90+(1-EXP(-LN(2)/25))/(LN(2)/25)*Calculateur!AQ91*Calculateur!AS91*VLOOKUP('Données projet'!$B$10,Paramètres!$A$1:$I$89,3,0)*0.475*44/12</f>
        <v>32.960769047272372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102.63264949787251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4.6111381379887463E-14</v>
      </c>
      <c r="P92" s="13">
        <f t="shared" si="87"/>
        <v>7.5804141040779151E-13</v>
      </c>
      <c r="Q92" s="20">
        <f t="shared" si="54"/>
        <v>1.4005661123635408E-12</v>
      </c>
      <c r="R92" s="59">
        <f t="shared" si="55"/>
        <v>293.33333333333474</v>
      </c>
      <c r="S92" s="59">
        <f ca="1">AVERAGE(OFFSET($R$3,0,0,'Données projet'!$E$9+1,1))-AVERAGE(OFFSET($H$3,0,0,'Données projet'!$E$9+1,1))</f>
        <v>298.98869919374232</v>
      </c>
      <c r="T92" s="59">
        <f t="shared" si="88"/>
        <v>293.11447542333889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72.522091836771921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72.522091836771921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4.9658410716801891E-14</v>
      </c>
      <c r="AK92" s="13">
        <f t="shared" si="89"/>
        <v>8.0934058173791862E-13</v>
      </c>
      <c r="AL92" s="20">
        <f t="shared" si="58"/>
        <v>1.4960899118586383E-12</v>
      </c>
      <c r="AM92" s="59">
        <f t="shared" si="59"/>
        <v>293.33333333333479</v>
      </c>
      <c r="AN92" s="59">
        <f ca="1">AVERAGE(OFFSET($AM$3,0,0,'Données projet'!$E$10+1,1))-AVERAGE(OFFSET($H$3,0,0,'Données projet'!$E$10+1,1))</f>
        <v>321.36684354830828</v>
      </c>
      <c r="AO92" s="59">
        <f t="shared" si="90"/>
        <v>388.05195847800502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68.305657370614838</v>
      </c>
      <c r="AV92" s="21">
        <f>EXP(-LN(2)/25)*AV91+(1-EXP(-LN(2)/25))/(LN(2)/25)*Calculateur!AQ92*Calculateur!AS92*VLOOKUP('Données projet'!$B$10,Paramètres!$A$1:$I$89,3,0)*0.475*44/12</f>
        <v>32.059455084343199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100.36511245495804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4.6111381379887463E-14</v>
      </c>
      <c r="P93" s="13">
        <f t="shared" si="87"/>
        <v>7.5804141040779151E-13</v>
      </c>
      <c r="Q93" s="20">
        <f t="shared" si="54"/>
        <v>1.4005661123635408E-12</v>
      </c>
      <c r="R93" s="59">
        <f t="shared" si="55"/>
        <v>293.33333333333474</v>
      </c>
      <c r="S93" s="59">
        <f ca="1">AVERAGE(OFFSET($R$3,0,0,'Données projet'!$E$9+1,1))-AVERAGE(OFFSET($H$3,0,0,'Données projet'!$E$9+1,1))</f>
        <v>298.98869919374232</v>
      </c>
      <c r="T93" s="59">
        <f t="shared" si="88"/>
        <v>293.11447542333889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71.099977849961093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71.099977849961093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4.9658410716801891E-14</v>
      </c>
      <c r="AK93" s="13">
        <f t="shared" si="89"/>
        <v>8.0934058173791862E-13</v>
      </c>
      <c r="AL93" s="20">
        <f t="shared" si="58"/>
        <v>1.4960899118586383E-12</v>
      </c>
      <c r="AM93" s="59">
        <f t="shared" si="59"/>
        <v>293.33333333333479</v>
      </c>
      <c r="AN93" s="59">
        <f ca="1">AVERAGE(OFFSET($AM$3,0,0,'Données projet'!$E$10+1,1))-AVERAGE(OFFSET($H$3,0,0,'Données projet'!$E$10+1,1))</f>
        <v>321.36684354830828</v>
      </c>
      <c r="AO93" s="59">
        <f t="shared" si="90"/>
        <v>388.05195847800502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66.966225091914268</v>
      </c>
      <c r="AV93" s="21">
        <f>EXP(-LN(2)/25)*AV92+(1-EXP(-LN(2)/25))/(LN(2)/25)*Calculateur!AQ93*Calculateur!AS93*VLOOKUP('Données projet'!$B$10,Paramètres!$A$1:$I$89,3,0)*0.475*44/12</f>
        <v>31.182787599128364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98.149012691042628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4.6111381379887463E-14</v>
      </c>
      <c r="P94" s="13">
        <f t="shared" si="87"/>
        <v>7.5804141040779151E-13</v>
      </c>
      <c r="Q94" s="20">
        <f t="shared" si="54"/>
        <v>1.4005661123635408E-12</v>
      </c>
      <c r="R94" s="59">
        <f t="shared" si="55"/>
        <v>293.33333333333474</v>
      </c>
      <c r="S94" s="59">
        <f ca="1">AVERAGE(OFFSET($R$3,0,0,'Données projet'!$E$9+1,1))-AVERAGE(OFFSET($H$3,0,0,'Données projet'!$E$9+1,1))</f>
        <v>298.98869919374232</v>
      </c>
      <c r="T94" s="59">
        <f t="shared" si="88"/>
        <v>293.11447542333889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69.705750651027742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69.705750651027742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4.9658410716801891E-14</v>
      </c>
      <c r="AK94" s="13">
        <f t="shared" si="89"/>
        <v>8.0934058173791862E-13</v>
      </c>
      <c r="AL94" s="20">
        <f t="shared" si="58"/>
        <v>1.4960899118586383E-12</v>
      </c>
      <c r="AM94" s="59">
        <f t="shared" si="59"/>
        <v>293.33333333333479</v>
      </c>
      <c r="AN94" s="59">
        <f ca="1">AVERAGE(OFFSET($AM$3,0,0,'Données projet'!$E$10+1,1))-AVERAGE(OFFSET($H$3,0,0,'Données projet'!$E$10+1,1))</f>
        <v>321.36684354830828</v>
      </c>
      <c r="AO94" s="59">
        <f t="shared" si="90"/>
        <v>388.05195847800502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65.653058263225986</v>
      </c>
      <c r="AV94" s="21">
        <f>EXP(-LN(2)/25)*AV93+(1-EXP(-LN(2)/25))/(LN(2)/25)*Calculateur!AQ94*Calculateur!AS94*VLOOKUP('Données projet'!$B$10,Paramètres!$A$1:$I$89,3,0)*0.475*44/12</f>
        <v>30.330092632398667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95.983150895624647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4.6111381379887463E-14</v>
      </c>
      <c r="P95" s="13">
        <f t="shared" si="87"/>
        <v>7.5804141040779151E-13</v>
      </c>
      <c r="Q95" s="20">
        <f t="shared" si="54"/>
        <v>1.4005661123635408E-12</v>
      </c>
      <c r="R95" s="59">
        <f t="shared" si="55"/>
        <v>293.33333333333474</v>
      </c>
      <c r="S95" s="59">
        <f ca="1">AVERAGE(OFFSET($R$3,0,0,'Données projet'!$E$9+1,1))-AVERAGE(OFFSET($H$3,0,0,'Données projet'!$E$9+1,1))</f>
        <v>298.98869919374232</v>
      </c>
      <c r="T95" s="59">
        <f t="shared" si="88"/>
        <v>293.11447542333889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68.338863397070853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68.338863397070853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4.9658410716801891E-14</v>
      </c>
      <c r="AK95" s="13">
        <f t="shared" si="89"/>
        <v>8.0934058173791862E-13</v>
      </c>
      <c r="AL95" s="20">
        <f t="shared" si="58"/>
        <v>1.4960899118586383E-12</v>
      </c>
      <c r="AM95" s="59">
        <f t="shared" si="59"/>
        <v>293.33333333333479</v>
      </c>
      <c r="AN95" s="59">
        <f ca="1">AVERAGE(OFFSET($AM$3,0,0,'Données projet'!$E$10+1,1))-AVERAGE(OFFSET($H$3,0,0,'Données projet'!$E$10+1,1))</f>
        <v>321.36684354830828</v>
      </c>
      <c r="AO95" s="59">
        <f t="shared" si="90"/>
        <v>388.05195847800502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64.365641835095602</v>
      </c>
      <c r="AV95" s="21">
        <f>EXP(-LN(2)/25)*AV94+(1-EXP(-LN(2)/25))/(LN(2)/25)*Calculateur!AQ95*Calculateur!AS95*VLOOKUP('Données projet'!$B$10,Paramètres!$A$1:$I$89,3,0)*0.475*44/12</f>
        <v>29.500714654375475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93.866356489471073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4.6111381379887463E-14</v>
      </c>
      <c r="P96" s="13">
        <f t="shared" si="87"/>
        <v>7.5804141040779151E-13</v>
      </c>
      <c r="Q96" s="20">
        <f t="shared" si="54"/>
        <v>1.4005661123635408E-12</v>
      </c>
      <c r="R96" s="59">
        <f t="shared" si="55"/>
        <v>293.33333333333474</v>
      </c>
      <c r="S96" s="59">
        <f ca="1">AVERAGE(OFFSET($R$3,0,0,'Données projet'!$E$9+1,1))-AVERAGE(OFFSET($H$3,0,0,'Données projet'!$E$9+1,1))</f>
        <v>298.98869919374232</v>
      </c>
      <c r="T96" s="59">
        <f t="shared" si="88"/>
        <v>293.11447542333889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66.998779968445149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66.998779968445149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4.9658410716801891E-14</v>
      </c>
      <c r="AK96" s="13">
        <f t="shared" si="89"/>
        <v>8.0934058173791862E-13</v>
      </c>
      <c r="AL96" s="20">
        <f t="shared" si="58"/>
        <v>1.4960899118586383E-12</v>
      </c>
      <c r="AM96" s="59">
        <f t="shared" si="59"/>
        <v>293.33333333333479</v>
      </c>
      <c r="AN96" s="59">
        <f ca="1">AVERAGE(OFFSET($AM$3,0,0,'Données projet'!$E$10+1,1))-AVERAGE(OFFSET($H$3,0,0,'Données projet'!$E$10+1,1))</f>
        <v>321.36684354830828</v>
      </c>
      <c r="AO96" s="59">
        <f t="shared" si="90"/>
        <v>388.05195847800502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63.103470857874377</v>
      </c>
      <c r="AV96" s="21">
        <f>EXP(-LN(2)/25)*AV95+(1-EXP(-LN(2)/25))/(LN(2)/25)*Calculateur!AQ96*Calculateur!AS96*VLOOKUP('Données projet'!$B$10,Paramètres!$A$1:$I$89,3,0)*0.475*44/12</f>
        <v>28.69401606077642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91.797486918650804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4.6111381379887463E-14</v>
      </c>
      <c r="P97" s="13">
        <f t="shared" si="87"/>
        <v>7.5804141040779151E-13</v>
      </c>
      <c r="Q97" s="20">
        <f t="shared" si="54"/>
        <v>1.4005661123635408E-12</v>
      </c>
      <c r="R97" s="59">
        <f t="shared" si="55"/>
        <v>293.33333333333474</v>
      </c>
      <c r="S97" s="59">
        <f ca="1">AVERAGE(OFFSET($R$3,0,0,'Données projet'!$E$9+1,1))-AVERAGE(OFFSET($H$3,0,0,'Données projet'!$E$9+1,1))</f>
        <v>298.98869919374232</v>
      </c>
      <c r="T97" s="59">
        <f t="shared" si="88"/>
        <v>293.11447542333889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65.684974758484614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65.684974758484614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4.9658410716801891E-14</v>
      </c>
      <c r="AK97" s="13">
        <f t="shared" si="89"/>
        <v>8.0934058173791862E-13</v>
      </c>
      <c r="AL97" s="20">
        <f t="shared" si="58"/>
        <v>1.4960899118586383E-12</v>
      </c>
      <c r="AM97" s="59">
        <f t="shared" si="59"/>
        <v>293.33333333333479</v>
      </c>
      <c r="AN97" s="59">
        <f ca="1">AVERAGE(OFFSET($AM$3,0,0,'Données projet'!$E$10+1,1))-AVERAGE(OFFSET($H$3,0,0,'Données projet'!$E$10+1,1))</f>
        <v>321.36684354830828</v>
      </c>
      <c r="AO97" s="59">
        <f t="shared" si="90"/>
        <v>388.05195847800502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61.86605028366818</v>
      </c>
      <c r="AV97" s="21">
        <f>EXP(-LN(2)/25)*AV96+(1-EXP(-LN(2)/25))/(LN(2)/25)*Calculateur!AQ97*Calculateur!AS97*VLOOKUP('Données projet'!$B$10,Paramètres!$A$1:$I$89,3,0)*0.475*44/12</f>
        <v>27.909376682641764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89.775426966309936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4.6111381379887463E-14</v>
      </c>
      <c r="P98" s="13">
        <f t="shared" si="87"/>
        <v>7.5804141040779151E-13</v>
      </c>
      <c r="Q98" s="20">
        <f t="shared" si="54"/>
        <v>1.4005661123635408E-12</v>
      </c>
      <c r="R98" s="59">
        <f t="shared" si="55"/>
        <v>293.33333333333474</v>
      </c>
      <c r="S98" s="59">
        <f ca="1">AVERAGE(OFFSET($R$3,0,0,'Données projet'!$E$9+1,1))-AVERAGE(OFFSET($H$3,0,0,'Données projet'!$E$9+1,1))</f>
        <v>298.98869919374232</v>
      </c>
      <c r="T98" s="59">
        <f t="shared" si="88"/>
        <v>293.11447542333889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64.396932467349359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64.396932467349359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4.9658410716801891E-14</v>
      </c>
      <c r="AK98" s="13">
        <f t="shared" si="89"/>
        <v>8.0934058173791862E-13</v>
      </c>
      <c r="AL98" s="20">
        <f t="shared" si="58"/>
        <v>1.4960899118586383E-12</v>
      </c>
      <c r="AM98" s="59">
        <f t="shared" si="59"/>
        <v>293.33333333333479</v>
      </c>
      <c r="AN98" s="59">
        <f ca="1">AVERAGE(OFFSET($AM$3,0,0,'Données projet'!$E$10+1,1))-AVERAGE(OFFSET($H$3,0,0,'Données projet'!$E$10+1,1))</f>
        <v>321.36684354830828</v>
      </c>
      <c r="AO98" s="59">
        <f t="shared" si="90"/>
        <v>388.05195847800502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60.652894772170143</v>
      </c>
      <c r="AV98" s="21">
        <f>EXP(-LN(2)/25)*AV97+(1-EXP(-LN(2)/25))/(LN(2)/25)*Calculateur!AQ98*Calculateur!AS98*VLOOKUP('Données projet'!$B$10,Paramètres!$A$1:$I$89,3,0)*0.475*44/12</f>
        <v>27.146193309564591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87.799088081734737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4.6111381379887463E-14</v>
      </c>
      <c r="P99" s="13">
        <f t="shared" si="87"/>
        <v>7.5804141040779151E-13</v>
      </c>
      <c r="Q99" s="20">
        <f t="shared" ref="Q99:Q130" si="107">(O99+P99)*0.475*44/12</f>
        <v>1.4005661123635408E-12</v>
      </c>
      <c r="R99" s="59">
        <f t="shared" si="55"/>
        <v>293.33333333333474</v>
      </c>
      <c r="S99" s="59">
        <f ca="1">AVERAGE(OFFSET($R$3,0,0,'Données projet'!$E$9+1,1))-AVERAGE(OFFSET($H$3,0,0,'Données projet'!$E$9+1,1))</f>
        <v>298.98869919374232</v>
      </c>
      <c r="T99" s="59">
        <f t="shared" si="88"/>
        <v>293.11447542333889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63.134147899915035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63.134147899915035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4.9658410716801891E-14</v>
      </c>
      <c r="AK99" s="13">
        <f t="shared" si="89"/>
        <v>8.0934058173791862E-13</v>
      </c>
      <c r="AL99" s="20">
        <f t="shared" si="58"/>
        <v>1.4960899118586383E-12</v>
      </c>
      <c r="AM99" s="59">
        <f t="shared" si="59"/>
        <v>293.33333333333479</v>
      </c>
      <c r="AN99" s="59">
        <f ca="1">AVERAGE(OFFSET($AM$3,0,0,'Données projet'!$E$10+1,1))-AVERAGE(OFFSET($H$3,0,0,'Données projet'!$E$10+1,1))</f>
        <v>321.36684354830828</v>
      </c>
      <c r="AO99" s="59">
        <f t="shared" si="90"/>
        <v>388.05195847800502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59.463528500300782</v>
      </c>
      <c r="AV99" s="21">
        <f>EXP(-LN(2)/25)*AV98+(1-EXP(-LN(2)/25))/(LN(2)/25)*Calculateur!AQ99*Calculateur!AS99*VLOOKUP('Données projet'!$B$10,Paramètres!$A$1:$I$89,3,0)*0.475*44/12</f>
        <v>26.403879225958285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85.867407726259074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4.6111381379887463E-14</v>
      </c>
      <c r="P100" s="13">
        <f t="shared" si="87"/>
        <v>7.5804141040779151E-13</v>
      </c>
      <c r="Q100" s="20">
        <f t="shared" si="107"/>
        <v>1.4005661123635408E-12</v>
      </c>
      <c r="R100" s="59">
        <f t="shared" si="55"/>
        <v>293.33333333333474</v>
      </c>
      <c r="S100" s="59">
        <f ca="1">AVERAGE(OFFSET($R$3,0,0,'Données projet'!$E$9+1,1))-AVERAGE(OFFSET($H$3,0,0,'Données projet'!$E$9+1,1))</f>
        <v>298.98869919374232</v>
      </c>
      <c r="T100" s="59">
        <f t="shared" si="88"/>
        <v>293.11447542333889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61.89612576762557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61.89612576762557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4.9658410716801891E-14</v>
      </c>
      <c r="AK100" s="13">
        <f t="shared" si="89"/>
        <v>8.0934058173791862E-13</v>
      </c>
      <c r="AL100" s="20">
        <f t="shared" si="58"/>
        <v>1.4960899118586383E-12</v>
      </c>
      <c r="AM100" s="59">
        <f t="shared" si="59"/>
        <v>293.33333333333479</v>
      </c>
      <c r="AN100" s="59">
        <f ca="1">AVERAGE(OFFSET($AM$3,0,0,'Données projet'!$E$10+1,1))-AVERAGE(OFFSET($H$3,0,0,'Données projet'!$E$10+1,1))</f>
        <v>321.36684354830828</v>
      </c>
      <c r="AO100" s="59">
        <f t="shared" si="90"/>
        <v>388.05195847800502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58.297484975580986</v>
      </c>
      <c r="AV100" s="21">
        <f>EXP(-LN(2)/25)*AV99+(1-EXP(-LN(2)/25))/(LN(2)/25)*Calculateur!AQ100*Calculateur!AS100*VLOOKUP('Données projet'!$B$10,Paramètres!$A$1:$I$89,3,0)*0.475*44/12</f>
        <v>25.681863760004795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83.979348735585774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4.6111381379887463E-14</v>
      </c>
      <c r="P101" s="13">
        <f t="shared" si="87"/>
        <v>7.5804141040779151E-13</v>
      </c>
      <c r="Q101" s="20">
        <f t="shared" si="107"/>
        <v>1.4005661123635408E-12</v>
      </c>
      <c r="R101" s="59">
        <f t="shared" si="55"/>
        <v>293.33333333333474</v>
      </c>
      <c r="S101" s="59">
        <f ca="1">AVERAGE(OFFSET($R$3,0,0,'Données projet'!$E$9+1,1))-AVERAGE(OFFSET($H$3,0,0,'Données projet'!$E$9+1,1))</f>
        <v>298.98869919374232</v>
      </c>
      <c r="T101" s="59">
        <f t="shared" si="88"/>
        <v>293.11447542333889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60.68238049423136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60.68238049423136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4.9658410716801891E-14</v>
      </c>
      <c r="AK101" s="13">
        <f t="shared" si="89"/>
        <v>8.0934058173791862E-13</v>
      </c>
      <c r="AL101" s="20">
        <f t="shared" si="58"/>
        <v>1.4960899118586383E-12</v>
      </c>
      <c r="AM101" s="59">
        <f t="shared" si="59"/>
        <v>293.33333333333479</v>
      </c>
      <c r="AN101" s="59">
        <f ca="1">AVERAGE(OFFSET($AM$3,0,0,'Données projet'!$E$10+1,1))-AVERAGE(OFFSET($H$3,0,0,'Données projet'!$E$10+1,1))</f>
        <v>321.36684354830828</v>
      </c>
      <c r="AO101" s="59">
        <f t="shared" si="90"/>
        <v>388.05195847800502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57.15430685316462</v>
      </c>
      <c r="AV101" s="21">
        <f>EXP(-LN(2)/25)*AV100+(1-EXP(-LN(2)/25))/(LN(2)/25)*Calculateur!AQ101*Calculateur!AS101*VLOOKUP('Données projet'!$B$10,Paramètres!$A$1:$I$89,3,0)*0.475*44/12</f>
        <v>24.979591844936945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82.133898698101561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4.6111381379887463E-14</v>
      </c>
      <c r="P102" s="13">
        <f t="shared" si="87"/>
        <v>7.5804141040779151E-13</v>
      </c>
      <c r="Q102" s="20">
        <f t="shared" si="107"/>
        <v>1.4005661123635408E-12</v>
      </c>
      <c r="R102" s="59">
        <f t="shared" si="55"/>
        <v>293.33333333333474</v>
      </c>
      <c r="S102" s="59">
        <f ca="1">AVERAGE(OFFSET($R$3,0,0,'Données projet'!$E$9+1,1))-AVERAGE(OFFSET($H$3,0,0,'Données projet'!$E$9+1,1))</f>
        <v>298.98869919374232</v>
      </c>
      <c r="T102" s="59">
        <f t="shared" si="88"/>
        <v>293.11447542333889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59.492436025336893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59.492436025336893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4.9658410716801891E-14</v>
      </c>
      <c r="AK102" s="13">
        <f t="shared" si="89"/>
        <v>8.0934058173791862E-13</v>
      </c>
      <c r="AL102" s="20">
        <f t="shared" si="58"/>
        <v>1.4960899118586383E-12</v>
      </c>
      <c r="AM102" s="59">
        <f t="shared" si="59"/>
        <v>293.33333333333479</v>
      </c>
      <c r="AN102" s="59">
        <f ca="1">AVERAGE(OFFSET($AM$3,0,0,'Données projet'!$E$10+1,1))-AVERAGE(OFFSET($H$3,0,0,'Données projet'!$E$10+1,1))</f>
        <v>321.36684354830828</v>
      </c>
      <c r="AO102" s="59">
        <f t="shared" si="90"/>
        <v>388.05195847800502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56.033545756459034</v>
      </c>
      <c r="AV102" s="21">
        <f>EXP(-LN(2)/25)*AV101+(1-EXP(-LN(2)/25))/(LN(2)/25)*Calculateur!AQ102*Calculateur!AS102*VLOOKUP('Données projet'!$B$10,Paramètres!$A$1:$I$89,3,0)*0.475*44/12</f>
        <v>24.296523592317499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80.330069348776533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4.6111381379887463E-14</v>
      </c>
      <c r="P103" s="13">
        <f t="shared" si="87"/>
        <v>7.5804141040779151E-13</v>
      </c>
      <c r="Q103" s="20">
        <f t="shared" si="107"/>
        <v>1.4005661123635408E-12</v>
      </c>
      <c r="R103" s="59">
        <f t="shared" si="55"/>
        <v>293.33333333333474</v>
      </c>
      <c r="S103" s="59">
        <f ca="1">AVERAGE(OFFSET($R$3,0,0,'Données projet'!$E$9+1,1))-AVERAGE(OFFSET($H$3,0,0,'Données projet'!$E$9+1,1))</f>
        <v>298.98869919374232</v>
      </c>
      <c r="T103" s="59">
        <f t="shared" si="88"/>
        <v>293.11447542333889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58.325825641682989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58.325825641682989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4.9658410716801891E-14</v>
      </c>
      <c r="AK103" s="13">
        <f t="shared" si="89"/>
        <v>8.0934058173791862E-13</v>
      </c>
      <c r="AL103" s="20">
        <f t="shared" si="58"/>
        <v>1.4960899118586383E-12</v>
      </c>
      <c r="AM103" s="59">
        <f t="shared" si="59"/>
        <v>293.33333333333479</v>
      </c>
      <c r="AN103" s="59">
        <f ca="1">AVERAGE(OFFSET($AM$3,0,0,'Données projet'!$E$10+1,1))-AVERAGE(OFFSET($H$3,0,0,'Données projet'!$E$10+1,1))</f>
        <v>321.36684354830828</v>
      </c>
      <c r="AO103" s="59">
        <f t="shared" si="90"/>
        <v>388.05195847800502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54.934762101263075</v>
      </c>
      <c r="AV103" s="21">
        <f>EXP(-LN(2)/25)*AV102+(1-EXP(-LN(2)/25))/(LN(2)/25)*Calculateur!AQ103*Calculateur!AS103*VLOOKUP('Données projet'!$B$10,Paramètres!$A$1:$I$89,3,0)*0.475*44/12</f>
        <v>23.632133876986931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78.566895978250002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4.6111381379887463E-14</v>
      </c>
      <c r="P104" s="13">
        <f t="shared" si="87"/>
        <v>7.5804141040779151E-13</v>
      </c>
      <c r="Q104" s="20">
        <f t="shared" si="107"/>
        <v>1.4005661123635408E-12</v>
      </c>
      <c r="R104" s="59">
        <f t="shared" si="55"/>
        <v>293.33333333333474</v>
      </c>
      <c r="S104" s="59">
        <f ca="1">AVERAGE(OFFSET($R$3,0,0,'Données projet'!$E$9+1,1))-AVERAGE(OFFSET($H$3,0,0,'Données projet'!$E$9+1,1))</f>
        <v>298.98869919374232</v>
      </c>
      <c r="T104" s="59">
        <f t="shared" si="88"/>
        <v>293.11447542333889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57.182091776090466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57.182091776090466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4.9658410716801891E-14</v>
      </c>
      <c r="AK104" s="13">
        <f t="shared" si="89"/>
        <v>8.0934058173791862E-13</v>
      </c>
      <c r="AL104" s="20">
        <f t="shared" si="58"/>
        <v>1.4960899118586383E-12</v>
      </c>
      <c r="AM104" s="59">
        <f t="shared" si="59"/>
        <v>293.33333333333479</v>
      </c>
      <c r="AN104" s="59">
        <f ca="1">AVERAGE(OFFSET($AM$3,0,0,'Données projet'!$E$10+1,1))-AVERAGE(OFFSET($H$3,0,0,'Données projet'!$E$10+1,1))</f>
        <v>321.36684354830828</v>
      </c>
      <c r="AO104" s="59">
        <f t="shared" si="90"/>
        <v>388.05195847800502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53.857524923353658</v>
      </c>
      <c r="AV104" s="21">
        <f>EXP(-LN(2)/25)*AV103+(1-EXP(-LN(2)/25))/(LN(2)/25)*Calculateur!AQ104*Calculateur!AS104*VLOOKUP('Données projet'!$B$10,Paramètres!$A$1:$I$89,3,0)*0.475*44/12</f>
        <v>22.985911933360814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76.843436856714476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4.6111381379887463E-14</v>
      </c>
      <c r="P105" s="13">
        <f t="shared" si="87"/>
        <v>7.5804141040779151E-13</v>
      </c>
      <c r="Q105" s="20">
        <f t="shared" si="107"/>
        <v>1.4005661123635408E-12</v>
      </c>
      <c r="R105" s="59">
        <f t="shared" si="55"/>
        <v>293.33333333333474</v>
      </c>
      <c r="S105" s="59">
        <f ca="1">AVERAGE(OFFSET($R$3,0,0,'Données projet'!$E$9+1,1))-AVERAGE(OFFSET($H$3,0,0,'Données projet'!$E$9+1,1))</f>
        <v>298.98869919374232</v>
      </c>
      <c r="T105" s="59">
        <f t="shared" si="88"/>
        <v>293.11447542333889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56.060785833993435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56.060785833993435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4.9658410716801891E-14</v>
      </c>
      <c r="AK105" s="13">
        <f t="shared" si="89"/>
        <v>8.0934058173791862E-13</v>
      </c>
      <c r="AL105" s="20">
        <f t="shared" si="58"/>
        <v>1.4960899118586383E-12</v>
      </c>
      <c r="AM105" s="59">
        <f t="shared" si="59"/>
        <v>293.33333333333479</v>
      </c>
      <c r="AN105" s="59">
        <f ca="1">AVERAGE(OFFSET($AM$3,0,0,'Données projet'!$E$10+1,1))-AVERAGE(OFFSET($H$3,0,0,'Données projet'!$E$10+1,1))</f>
        <v>321.36684354830828</v>
      </c>
      <c r="AO105" s="59">
        <f t="shared" si="90"/>
        <v>388.05195847800502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52.801411709453241</v>
      </c>
      <c r="AV105" s="21">
        <f>EXP(-LN(2)/25)*AV104+(1-EXP(-LN(2)/25))/(LN(2)/25)*Calculateur!AQ105*Calculateur!AS105*VLOOKUP('Données projet'!$B$10,Paramètres!$A$1:$I$89,3,0)*0.475*44/12</f>
        <v>22.357360962766489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75.158772672219726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4.6111381379887463E-14</v>
      </c>
      <c r="P106" s="13">
        <f t="shared" si="87"/>
        <v>7.5804141040779151E-13</v>
      </c>
      <c r="Q106" s="20">
        <f t="shared" si="107"/>
        <v>1.4005661123635408E-12</v>
      </c>
      <c r="R106" s="59">
        <f t="shared" si="55"/>
        <v>293.33333333333474</v>
      </c>
      <c r="S106" s="59">
        <f ca="1">AVERAGE(OFFSET($R$3,0,0,'Données projet'!$E$9+1,1))-AVERAGE(OFFSET($H$3,0,0,'Données projet'!$E$9+1,1))</f>
        <v>298.98869919374232</v>
      </c>
      <c r="T106" s="59">
        <f t="shared" si="88"/>
        <v>293.11447542333889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54.961468017491832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54.961468017491832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4.9658410716801891E-14</v>
      </c>
      <c r="AK106" s="13">
        <f t="shared" si="89"/>
        <v>8.0934058173791862E-13</v>
      </c>
      <c r="AL106" s="20">
        <f t="shared" si="58"/>
        <v>1.4960899118586383E-12</v>
      </c>
      <c r="AM106" s="59">
        <f t="shared" si="59"/>
        <v>293.33333333333479</v>
      </c>
      <c r="AN106" s="59">
        <f ca="1">AVERAGE(OFFSET($AM$3,0,0,'Données projet'!$E$10+1,1))-AVERAGE(OFFSET($H$3,0,0,'Données projet'!$E$10+1,1))</f>
        <v>321.36684354830828</v>
      </c>
      <c r="AO106" s="59">
        <f t="shared" si="90"/>
        <v>388.05195847800502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51.766008231511961</v>
      </c>
      <c r="AV106" s="21">
        <f>EXP(-LN(2)/25)*AV105+(1-EXP(-LN(2)/25))/(LN(2)/25)*Calculateur!AQ106*Calculateur!AS106*VLOOKUP('Données projet'!$B$10,Paramètres!$A$1:$I$89,3,0)*0.475*44/12</f>
        <v>21.745997751517123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73.512005983029084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4.6111381379887463E-14</v>
      </c>
      <c r="P107" s="13">
        <f t="shared" si="87"/>
        <v>7.5804141040779151E-13</v>
      </c>
      <c r="Q107" s="20">
        <f t="shared" si="107"/>
        <v>1.4005661123635408E-12</v>
      </c>
      <c r="R107" s="59">
        <f t="shared" si="55"/>
        <v>293.33333333333474</v>
      </c>
      <c r="S107" s="59">
        <f ca="1">AVERAGE(OFFSET($R$3,0,0,'Données projet'!$E$9+1,1))-AVERAGE(OFFSET($H$3,0,0,'Données projet'!$E$9+1,1))</f>
        <v>298.98869919374232</v>
      </c>
      <c r="T107" s="59">
        <f t="shared" si="88"/>
        <v>293.11447542333889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53.883707152854171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53.883707152854171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4.9658410716801891E-14</v>
      </c>
      <c r="AK107" s="13">
        <f t="shared" si="89"/>
        <v>8.0934058173791862E-13</v>
      </c>
      <c r="AL107" s="20">
        <f t="shared" si="58"/>
        <v>1.4960899118586383E-12</v>
      </c>
      <c r="AM107" s="59">
        <f t="shared" si="59"/>
        <v>293.33333333333479</v>
      </c>
      <c r="AN107" s="59">
        <f ca="1">AVERAGE(OFFSET($AM$3,0,0,'Données projet'!$E$10+1,1))-AVERAGE(OFFSET($H$3,0,0,'Données projet'!$E$10+1,1))</f>
        <v>321.36684354830828</v>
      </c>
      <c r="AO107" s="59">
        <f t="shared" si="90"/>
        <v>388.05195847800502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50.750908384239345</v>
      </c>
      <c r="AV107" s="21">
        <f>EXP(-LN(2)/25)*AV106+(1-EXP(-LN(2)/25))/(LN(2)/25)*Calculateur!AQ107*Calculateur!AS107*VLOOKUP('Données projet'!$B$10,Paramètres!$A$1:$I$89,3,0)*0.475*44/12</f>
        <v>21.151352299429568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71.902260683668914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4.6111381379887463E-14</v>
      </c>
      <c r="P108" s="13">
        <f t="shared" si="87"/>
        <v>7.5804141040779151E-13</v>
      </c>
      <c r="Q108" s="20">
        <f t="shared" si="107"/>
        <v>1.4005661123635408E-12</v>
      </c>
      <c r="R108" s="59">
        <f t="shared" si="55"/>
        <v>293.33333333333474</v>
      </c>
      <c r="S108" s="59">
        <f ca="1">AVERAGE(OFFSET($R$3,0,0,'Données projet'!$E$9+1,1))-AVERAGE(OFFSET($H$3,0,0,'Données projet'!$E$9+1,1))</f>
        <v>298.98869919374232</v>
      </c>
      <c r="T108" s="59">
        <f t="shared" si="88"/>
        <v>293.11447542333889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52.827080521402834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52.827080521402834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4.9658410716801891E-14</v>
      </c>
      <c r="AK108" s="13">
        <f t="shared" si="89"/>
        <v>8.0934058173791862E-13</v>
      </c>
      <c r="AL108" s="20">
        <f t="shared" si="58"/>
        <v>1.4960899118586383E-12</v>
      </c>
      <c r="AM108" s="59">
        <f t="shared" si="59"/>
        <v>293.33333333333479</v>
      </c>
      <c r="AN108" s="59">
        <f ca="1">AVERAGE(OFFSET($AM$3,0,0,'Données projet'!$E$10+1,1))-AVERAGE(OFFSET($H$3,0,0,'Données projet'!$E$10+1,1))</f>
        <v>321.36684354830828</v>
      </c>
      <c r="AO108" s="59">
        <f t="shared" si="90"/>
        <v>388.05195847800502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49.755714025821973</v>
      </c>
      <c r="AV108" s="21">
        <f>EXP(-LN(2)/25)*AV107+(1-EXP(-LN(2)/25))/(LN(2)/25)*Calculateur!AQ108*Calculateur!AS108*VLOOKUP('Données projet'!$B$10,Paramètres!$A$1:$I$89,3,0)*0.475*44/12</f>
        <v>20.57296745850039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70.32868148432236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4.6111381379887463E-14</v>
      </c>
      <c r="P109" s="13">
        <f t="shared" si="87"/>
        <v>7.5804141040779151E-13</v>
      </c>
      <c r="Q109" s="20">
        <f t="shared" si="107"/>
        <v>1.4005661123635408E-12</v>
      </c>
      <c r="R109" s="59">
        <f t="shared" si="55"/>
        <v>293.33333333333474</v>
      </c>
      <c r="S109" s="59">
        <f ca="1">AVERAGE(OFFSET($R$3,0,0,'Données projet'!$E$9+1,1))-AVERAGE(OFFSET($H$3,0,0,'Données projet'!$E$9+1,1))</f>
        <v>298.98869919374232</v>
      </c>
      <c r="T109" s="59">
        <f t="shared" si="88"/>
        <v>293.11447542333889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51.791173693715649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51.791173693715649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4.9658410716801891E-14</v>
      </c>
      <c r="AK109" s="13">
        <f t="shared" si="89"/>
        <v>8.0934058173791862E-13</v>
      </c>
      <c r="AL109" s="20">
        <f t="shared" si="58"/>
        <v>1.4960899118586383E-12</v>
      </c>
      <c r="AM109" s="59">
        <f t="shared" si="59"/>
        <v>293.33333333333479</v>
      </c>
      <c r="AN109" s="59">
        <f ca="1">AVERAGE(OFFSET($AM$3,0,0,'Données projet'!$E$10+1,1))-AVERAGE(OFFSET($H$3,0,0,'Données projet'!$E$10+1,1))</f>
        <v>321.36684354830828</v>
      </c>
      <c r="AO109" s="59">
        <f t="shared" si="90"/>
        <v>388.05195847800502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48.780034821764545</v>
      </c>
      <c r="AV109" s="21">
        <f>EXP(-LN(2)/25)*AV108+(1-EXP(-LN(2)/25))/(LN(2)/25)*Calculateur!AQ109*Calculateur!AS109*VLOOKUP('Données projet'!$B$10,Paramètres!$A$1:$I$89,3,0)*0.475*44/12</f>
        <v>20.010398581462358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68.790433403226899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4.6111381379887463E-14</v>
      </c>
      <c r="P110" s="13">
        <f t="shared" si="87"/>
        <v>7.5804141040779151E-13</v>
      </c>
      <c r="Q110" s="20">
        <f t="shared" si="107"/>
        <v>1.4005661123635408E-12</v>
      </c>
      <c r="R110" s="59">
        <f t="shared" si="55"/>
        <v>293.33333333333474</v>
      </c>
      <c r="S110" s="59">
        <f ca="1">AVERAGE(OFFSET($R$3,0,0,'Données projet'!$E$9+1,1))-AVERAGE(OFFSET($H$3,0,0,'Données projet'!$E$9+1,1))</f>
        <v>298.98869919374232</v>
      </c>
      <c r="T110" s="59">
        <f t="shared" si="88"/>
        <v>293.11447542333889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50.775580367078632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50.775580367078632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4.9658410716801891E-14</v>
      </c>
      <c r="AK110" s="13">
        <f t="shared" si="89"/>
        <v>8.0934058173791862E-13</v>
      </c>
      <c r="AL110" s="20">
        <f t="shared" si="58"/>
        <v>1.4960899118586383E-12</v>
      </c>
      <c r="AM110" s="59">
        <f t="shared" si="59"/>
        <v>293.33333333333479</v>
      </c>
      <c r="AN110" s="59">
        <f ca="1">AVERAGE(OFFSET($AM$3,0,0,'Données projet'!$E$10+1,1))-AVERAGE(OFFSET($H$3,0,0,'Données projet'!$E$10+1,1))</f>
        <v>321.36684354830828</v>
      </c>
      <c r="AO110" s="59">
        <f t="shared" si="90"/>
        <v>388.05195847800502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47.823488091793131</v>
      </c>
      <c r="AV110" s="21">
        <f>EXP(-LN(2)/25)*AV109+(1-EXP(-LN(2)/25))/(LN(2)/25)*Calculateur!AQ110*Calculateur!AS110*VLOOKUP('Données projet'!$B$10,Paramètres!$A$1:$I$89,3,0)*0.475*44/12</f>
        <v>19.463213179951143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67.286701271744278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4.6111381379887463E-14</v>
      </c>
      <c r="P111" s="13">
        <f t="shared" si="87"/>
        <v>7.5804141040779151E-13</v>
      </c>
      <c r="Q111" s="20">
        <f t="shared" si="107"/>
        <v>1.4005661123635408E-12</v>
      </c>
      <c r="R111" s="59">
        <f t="shared" si="55"/>
        <v>293.33333333333474</v>
      </c>
      <c r="S111" s="59">
        <f ca="1">AVERAGE(OFFSET($R$3,0,0,'Données projet'!$E$9+1,1))-AVERAGE(OFFSET($H$3,0,0,'Données projet'!$E$9+1,1))</f>
        <v>298.98869919374232</v>
      </c>
      <c r="T111" s="59">
        <f t="shared" si="88"/>
        <v>293.11447542333889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49.779902206126209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49.779902206126209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4.9658410716801891E-14</v>
      </c>
      <c r="AK111" s="13">
        <f t="shared" si="89"/>
        <v>8.0934058173791862E-13</v>
      </c>
      <c r="AL111" s="20">
        <f t="shared" si="58"/>
        <v>1.4960899118586383E-12</v>
      </c>
      <c r="AM111" s="59">
        <f t="shared" si="59"/>
        <v>293.33333333333479</v>
      </c>
      <c r="AN111" s="59">
        <f ca="1">AVERAGE(OFFSET($AM$3,0,0,'Données projet'!$E$10+1,1))-AVERAGE(OFFSET($H$3,0,0,'Données projet'!$E$10+1,1))</f>
        <v>321.36684354830828</v>
      </c>
      <c r="AO111" s="59">
        <f t="shared" si="90"/>
        <v>388.05195847800502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46.885698659760557</v>
      </c>
      <c r="AV111" s="21">
        <f>EXP(-LN(2)/25)*AV110+(1-EXP(-LN(2)/25))/(LN(2)/25)*Calculateur!AQ111*Calculateur!AS111*VLOOKUP('Données projet'!$B$10,Paramètres!$A$1:$I$89,3,0)*0.475*44/12</f>
        <v>18.930990592019484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65.816689251780048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4.6111381379887463E-14</v>
      </c>
      <c r="P112" s="13">
        <f t="shared" si="87"/>
        <v>7.5804141040779151E-13</v>
      </c>
      <c r="Q112" s="20">
        <f t="shared" si="107"/>
        <v>1.4005661123635408E-12</v>
      </c>
      <c r="R112" s="59">
        <f t="shared" si="55"/>
        <v>293.33333333333474</v>
      </c>
      <c r="S112" s="59">
        <f ca="1">AVERAGE(OFFSET($R$3,0,0,'Données projet'!$E$9+1,1))-AVERAGE(OFFSET($H$3,0,0,'Données projet'!$E$9+1,1))</f>
        <v>298.98869919374232</v>
      </c>
      <c r="T112" s="59">
        <f t="shared" si="88"/>
        <v>293.11447542333889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48.803748686606347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48.803748686606347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4.9658410716801891E-14</v>
      </c>
      <c r="AK112" s="13">
        <f t="shared" si="89"/>
        <v>8.0934058173791862E-13</v>
      </c>
      <c r="AL112" s="20">
        <f t="shared" si="58"/>
        <v>1.4960899118586383E-12</v>
      </c>
      <c r="AM112" s="59">
        <f t="shared" si="59"/>
        <v>293.33333333333479</v>
      </c>
      <c r="AN112" s="59">
        <f ca="1">AVERAGE(OFFSET($AM$3,0,0,'Données projet'!$E$10+1,1))-AVERAGE(OFFSET($H$3,0,0,'Données projet'!$E$10+1,1))</f>
        <v>321.36684354830828</v>
      </c>
      <c r="AO112" s="59">
        <f t="shared" si="90"/>
        <v>388.05195847800502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45.966298706495074</v>
      </c>
      <c r="AV112" s="21">
        <f>EXP(-LN(2)/25)*AV111+(1-EXP(-LN(2)/25))/(LN(2)/25)*Calculateur!AQ112*Calculateur!AS112*VLOOKUP('Données projet'!$B$10,Paramètres!$A$1:$I$89,3,0)*0.475*44/12</f>
        <v>18.413321658743182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64.379620365238253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4.6111381379887463E-14</v>
      </c>
      <c r="P113" s="13">
        <f t="shared" si="87"/>
        <v>7.5804141040779151E-13</v>
      </c>
      <c r="Q113" s="20">
        <f t="shared" si="107"/>
        <v>1.4005661123635408E-12</v>
      </c>
      <c r="R113" s="59">
        <f t="shared" si="55"/>
        <v>293.33333333333474</v>
      </c>
      <c r="S113" s="59">
        <f ca="1">AVERAGE(OFFSET($R$3,0,0,'Données projet'!$E$9+1,1))-AVERAGE(OFFSET($H$3,0,0,'Données projet'!$E$9+1,1))</f>
        <v>298.98869919374232</v>
      </c>
      <c r="T113" s="59">
        <f t="shared" si="88"/>
        <v>293.11447542333889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47.846736942209411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47.846736942209411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4.9658410716801891E-14</v>
      </c>
      <c r="AK113" s="13">
        <f t="shared" si="89"/>
        <v>8.0934058173791862E-13</v>
      </c>
      <c r="AL113" s="20">
        <f t="shared" si="58"/>
        <v>1.4960899118586383E-12</v>
      </c>
      <c r="AM113" s="59">
        <f t="shared" si="59"/>
        <v>293.33333333333479</v>
      </c>
      <c r="AN113" s="59">
        <f ca="1">AVERAGE(OFFSET($AM$3,0,0,'Données projet'!$E$10+1,1))-AVERAGE(OFFSET($H$3,0,0,'Données projet'!$E$10+1,1))</f>
        <v>321.36684354830828</v>
      </c>
      <c r="AO113" s="59">
        <f t="shared" si="90"/>
        <v>388.05195847800502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45.064927625534523</v>
      </c>
      <c r="AV113" s="21">
        <f>EXP(-LN(2)/25)*AV112+(1-EXP(-LN(2)/25))/(LN(2)/25)*Calculateur!AQ113*Calculateur!AS113*VLOOKUP('Données projet'!$B$10,Paramètres!$A$1:$I$89,3,0)*0.475*44/12</f>
        <v>17.909808409670347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62.97473603520487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4.6111381379887463E-14</v>
      </c>
      <c r="P114" s="13">
        <f t="shared" si="87"/>
        <v>7.5804141040779151E-13</v>
      </c>
      <c r="Q114" s="20">
        <f t="shared" si="107"/>
        <v>1.4005661123635408E-12</v>
      </c>
      <c r="R114" s="59">
        <f t="shared" si="55"/>
        <v>293.33333333333474</v>
      </c>
      <c r="S114" s="59">
        <f ca="1">AVERAGE(OFFSET($R$3,0,0,'Données projet'!$E$9+1,1))-AVERAGE(OFFSET($H$3,0,0,'Données projet'!$E$9+1,1))</f>
        <v>298.98869919374232</v>
      </c>
      <c r="T114" s="59">
        <f t="shared" si="88"/>
        <v>293.11447542333889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46.908491614400575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46.908491614400575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4.9658410716801891E-14</v>
      </c>
      <c r="AK114" s="13">
        <f t="shared" si="89"/>
        <v>8.0934058173791862E-13</v>
      </c>
      <c r="AL114" s="20">
        <f t="shared" si="58"/>
        <v>1.4960899118586383E-12</v>
      </c>
      <c r="AM114" s="59">
        <f t="shared" si="59"/>
        <v>293.33333333333479</v>
      </c>
      <c r="AN114" s="59">
        <f ca="1">AVERAGE(OFFSET($AM$3,0,0,'Données projet'!$E$10+1,1))-AVERAGE(OFFSET($H$3,0,0,'Données projet'!$E$10+1,1))</f>
        <v>321.36684354830828</v>
      </c>
      <c r="AO114" s="59">
        <f t="shared" si="90"/>
        <v>388.05195847800502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44.181231881689534</v>
      </c>
      <c r="AV114" s="21">
        <f>EXP(-LN(2)/25)*AV113+(1-EXP(-LN(2)/25))/(LN(2)/25)*Calculateur!AQ114*Calculateur!AS114*VLOOKUP('Données projet'!$B$10,Paramètres!$A$1:$I$89,3,0)*0.475*44/12</f>
        <v>17.420063756872022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61.601295638561552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4.6111381379887463E-14</v>
      </c>
      <c r="P115" s="13">
        <f t="shared" si="87"/>
        <v>7.5804141040779151E-13</v>
      </c>
      <c r="Q115" s="20">
        <f t="shared" si="107"/>
        <v>1.4005661123635408E-12</v>
      </c>
      <c r="R115" s="59">
        <f t="shared" si="55"/>
        <v>293.33333333333474</v>
      </c>
      <c r="S115" s="59">
        <f ca="1">AVERAGE(OFFSET($R$3,0,0,'Données projet'!$E$9+1,1))-AVERAGE(OFFSET($H$3,0,0,'Données projet'!$E$9+1,1))</f>
        <v>298.98869919374232</v>
      </c>
      <c r="T115" s="59">
        <f t="shared" si="88"/>
        <v>293.11447542333889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45.988644705196926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45.988644705196926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4.9658410716801891E-14</v>
      </c>
      <c r="AK115" s="13">
        <f t="shared" si="89"/>
        <v>8.0934058173791862E-13</v>
      </c>
      <c r="AL115" s="20">
        <f t="shared" si="58"/>
        <v>1.4960899118586383E-12</v>
      </c>
      <c r="AM115" s="59">
        <f t="shared" si="59"/>
        <v>293.33333333333479</v>
      </c>
      <c r="AN115" s="59">
        <f ca="1">AVERAGE(OFFSET($AM$3,0,0,'Données projet'!$E$10+1,1))-AVERAGE(OFFSET($H$3,0,0,'Données projet'!$E$10+1,1))</f>
        <v>321.36684354830828</v>
      </c>
      <c r="AO115" s="59">
        <f t="shared" si="90"/>
        <v>388.05195847800502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43.31486487238017</v>
      </c>
      <c r="AV115" s="21">
        <f>EXP(-LN(2)/25)*AV114+(1-EXP(-LN(2)/25))/(LN(2)/25)*Calculateur!AQ115*Calculateur!AS115*VLOOKUP('Données projet'!$B$10,Paramètres!$A$1:$I$89,3,0)*0.475*44/12</f>
        <v>16.943711197359018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60.258576069739192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4.6111381379887463E-14</v>
      </c>
      <c r="P116" s="13">
        <f t="shared" si="87"/>
        <v>7.5804141040779151E-13</v>
      </c>
      <c r="Q116" s="20">
        <f t="shared" si="107"/>
        <v>1.4005661123635408E-12</v>
      </c>
      <c r="R116" s="59">
        <f t="shared" si="55"/>
        <v>293.33333333333474</v>
      </c>
      <c r="S116" s="59">
        <f ca="1">AVERAGE(OFFSET($R$3,0,0,'Données projet'!$E$9+1,1))-AVERAGE(OFFSET($H$3,0,0,'Données projet'!$E$9+1,1))</f>
        <v>298.98869919374232</v>
      </c>
      <c r="T116" s="59">
        <f t="shared" si="88"/>
        <v>293.11447542333889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45.086835432831549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45.086835432831549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4.9658410716801891E-14</v>
      </c>
      <c r="AK116" s="13">
        <f t="shared" si="89"/>
        <v>8.0934058173791862E-13</v>
      </c>
      <c r="AL116" s="20">
        <f t="shared" si="58"/>
        <v>1.4960899118586383E-12</v>
      </c>
      <c r="AM116" s="59">
        <f t="shared" si="59"/>
        <v>293.33333333333479</v>
      </c>
      <c r="AN116" s="59">
        <f ca="1">AVERAGE(OFFSET($AM$3,0,0,'Données projet'!$E$10+1,1))-AVERAGE(OFFSET($H$3,0,0,'Données projet'!$E$10+1,1))</f>
        <v>321.36684354830828</v>
      </c>
      <c r="AO116" s="59">
        <f t="shared" si="90"/>
        <v>388.05195847800502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42.46548679169166</v>
      </c>
      <c r="AV116" s="21">
        <f>EXP(-LN(2)/25)*AV115+(1-EXP(-LN(2)/25))/(LN(2)/25)*Calculateur!AQ116*Calculateur!AS116*VLOOKUP('Données projet'!$B$10,Paramètres!$A$1:$I$89,3,0)*0.475*44/12</f>
        <v>16.480384523636189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58.94587131532785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4.6111381379887463E-14</v>
      </c>
      <c r="P117" s="13">
        <f t="shared" si="87"/>
        <v>7.5804141040779151E-13</v>
      </c>
      <c r="Q117" s="20">
        <f t="shared" si="107"/>
        <v>1.4005661123635408E-12</v>
      </c>
      <c r="R117" s="59">
        <f t="shared" si="55"/>
        <v>293.33333333333474</v>
      </c>
      <c r="S117" s="59">
        <f ca="1">AVERAGE(OFFSET($R$3,0,0,'Données projet'!$E$9+1,1))-AVERAGE(OFFSET($H$3,0,0,'Données projet'!$E$9+1,1))</f>
        <v>298.98869919374232</v>
      </c>
      <c r="T117" s="59">
        <f t="shared" si="88"/>
        <v>293.11447542333889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44.202710090247912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44.202710090247912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4.9658410716801891E-14</v>
      </c>
      <c r="AK117" s="13">
        <f t="shared" si="89"/>
        <v>8.0934058173791862E-13</v>
      </c>
      <c r="AL117" s="20">
        <f t="shared" si="58"/>
        <v>1.4960899118586383E-12</v>
      </c>
      <c r="AM117" s="59">
        <f t="shared" si="59"/>
        <v>293.33333333333479</v>
      </c>
      <c r="AN117" s="59">
        <f ca="1">AVERAGE(OFFSET($AM$3,0,0,'Données projet'!$E$10+1,1))-AVERAGE(OFFSET($H$3,0,0,'Données projet'!$E$10+1,1))</f>
        <v>321.36684354830828</v>
      </c>
      <c r="AO117" s="59">
        <f t="shared" si="90"/>
        <v>388.05195847800502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41.632764497095977</v>
      </c>
      <c r="AV117" s="21">
        <f>EXP(-LN(2)/25)*AV116+(1-EXP(-LN(2)/25))/(LN(2)/25)*Calculateur!AQ117*Calculateur!AS117*VLOOKUP('Données projet'!$B$10,Paramètres!$A$1:$I$89,3,0)*0.475*44/12</f>
        <v>16.029727542171603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57.662492039267576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4.6111381379887463E-14</v>
      </c>
      <c r="P118" s="13">
        <f t="shared" si="87"/>
        <v>7.5804141040779151E-13</v>
      </c>
      <c r="Q118" s="20">
        <f t="shared" si="107"/>
        <v>1.4005661123635408E-12</v>
      </c>
      <c r="R118" s="59">
        <f t="shared" si="55"/>
        <v>293.33333333333474</v>
      </c>
      <c r="S118" s="59">
        <f ca="1">AVERAGE(OFFSET($R$3,0,0,'Données projet'!$E$9+1,1))-AVERAGE(OFFSET($H$3,0,0,'Données projet'!$E$9+1,1))</f>
        <v>298.98869919374232</v>
      </c>
      <c r="T118" s="59">
        <f t="shared" si="88"/>
        <v>293.11447542333889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43.33592190636913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43.33592190636913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4.9658410716801891E-14</v>
      </c>
      <c r="AK118" s="13">
        <f t="shared" si="89"/>
        <v>8.0934058173791862E-13</v>
      </c>
      <c r="AL118" s="20">
        <f t="shared" si="58"/>
        <v>1.4960899118586383E-12</v>
      </c>
      <c r="AM118" s="59">
        <f t="shared" si="59"/>
        <v>293.33333333333479</v>
      </c>
      <c r="AN118" s="59">
        <f ca="1">AVERAGE(OFFSET($AM$3,0,0,'Données projet'!$E$10+1,1))-AVERAGE(OFFSET($H$3,0,0,'Données projet'!$E$10+1,1))</f>
        <v>321.36684354830828</v>
      </c>
      <c r="AO118" s="59">
        <f t="shared" si="90"/>
        <v>388.05195847800502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40.816371378786869</v>
      </c>
      <c r="AV118" s="21">
        <f>EXP(-LN(2)/25)*AV117+(1-EXP(-LN(2)/25))/(LN(2)/25)*Calculateur!AQ118*Calculateur!AS118*VLOOKUP('Données projet'!$B$10,Paramètres!$A$1:$I$89,3,0)*0.475*44/12</f>
        <v>15.591393799564186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56.407765178351056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4.6111381379887463E-14</v>
      </c>
      <c r="P119" s="13">
        <f t="shared" si="87"/>
        <v>7.5804141040779151E-13</v>
      </c>
      <c r="Q119" s="20">
        <f t="shared" si="107"/>
        <v>1.4005661123635408E-12</v>
      </c>
      <c r="R119" s="59">
        <f t="shared" si="55"/>
        <v>293.33333333333474</v>
      </c>
      <c r="S119" s="59">
        <f ca="1">AVERAGE(OFFSET($R$3,0,0,'Données projet'!$E$9+1,1))-AVERAGE(OFFSET($H$3,0,0,'Données projet'!$E$9+1,1))</f>
        <v>298.98869919374232</v>
      </c>
      <c r="T119" s="59">
        <f t="shared" si="88"/>
        <v>293.11447542333889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42.486130910087624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42.486130910087624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4.9658410716801891E-14</v>
      </c>
      <c r="AK119" s="13">
        <f t="shared" si="89"/>
        <v>8.0934058173791862E-13</v>
      </c>
      <c r="AL119" s="20">
        <f t="shared" si="58"/>
        <v>1.4960899118586383E-12</v>
      </c>
      <c r="AM119" s="59">
        <f t="shared" si="59"/>
        <v>293.33333333333479</v>
      </c>
      <c r="AN119" s="59">
        <f ca="1">AVERAGE(OFFSET($AM$3,0,0,'Données projet'!$E$10+1,1))-AVERAGE(OFFSET($H$3,0,0,'Données projet'!$E$10+1,1))</f>
        <v>321.36684354830828</v>
      </c>
      <c r="AO119" s="59">
        <f t="shared" si="90"/>
        <v>388.05195847800502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40.015987231577171</v>
      </c>
      <c r="AV119" s="21">
        <f>EXP(-LN(2)/25)*AV118+(1-EXP(-LN(2)/25))/(LN(2)/25)*Calculateur!AQ119*Calculateur!AS119*VLOOKUP('Données projet'!$B$10,Paramètres!$A$1:$I$89,3,0)*0.475*44/12</f>
        <v>15.165046316199337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55.181033547776508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4.6111381379887463E-14</v>
      </c>
      <c r="P120" s="13">
        <f t="shared" si="87"/>
        <v>7.5804141040779151E-13</v>
      </c>
      <c r="Q120" s="20">
        <f t="shared" si="107"/>
        <v>1.4005661123635408E-12</v>
      </c>
      <c r="R120" s="59">
        <f t="shared" si="55"/>
        <v>293.33333333333474</v>
      </c>
      <c r="S120" s="59">
        <f ca="1">AVERAGE(OFFSET($R$3,0,0,'Données projet'!$E$9+1,1))-AVERAGE(OFFSET($H$3,0,0,'Données projet'!$E$9+1,1))</f>
        <v>298.98869919374232</v>
      </c>
      <c r="T120" s="59">
        <f t="shared" si="88"/>
        <v>293.11447542333889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41.653003796921865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41.653003796921865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4.9658410716801891E-14</v>
      </c>
      <c r="AK120" s="13">
        <f t="shared" si="89"/>
        <v>8.0934058173791862E-13</v>
      </c>
      <c r="AL120" s="20">
        <f t="shared" si="58"/>
        <v>1.4960899118586383E-12</v>
      </c>
      <c r="AM120" s="59">
        <f t="shared" si="59"/>
        <v>293.33333333333479</v>
      </c>
      <c r="AN120" s="59">
        <f ca="1">AVERAGE(OFFSET($AM$3,0,0,'Données projet'!$E$10+1,1))-AVERAGE(OFFSET($H$3,0,0,'Données projet'!$E$10+1,1))</f>
        <v>321.36684354830828</v>
      </c>
      <c r="AO120" s="59">
        <f t="shared" si="90"/>
        <v>388.05195847800502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39.231298129308129</v>
      </c>
      <c r="AV120" s="21">
        <f>EXP(-LN(2)/25)*AV119+(1-EXP(-LN(2)/25))/(LN(2)/25)*Calculateur!AQ120*Calculateur!AS120*VLOOKUP('Données projet'!$B$10,Paramètres!$A$1:$I$89,3,0)*0.475*44/12</f>
        <v>14.750357327187741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53.981655456495872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4.6111381379887463E-14</v>
      </c>
      <c r="P121" s="13">
        <f t="shared" si="87"/>
        <v>7.5804141040779151E-13</v>
      </c>
      <c r="Q121" s="20">
        <f t="shared" si="107"/>
        <v>1.4005661123635408E-12</v>
      </c>
      <c r="R121" s="59">
        <f t="shared" si="55"/>
        <v>293.33333333333474</v>
      </c>
      <c r="S121" s="59">
        <f ca="1">AVERAGE(OFFSET($R$3,0,0,'Données projet'!$E$9+1,1))-AVERAGE(OFFSET($H$3,0,0,'Données projet'!$E$9+1,1))</f>
        <v>298.98869919374232</v>
      </c>
      <c r="T121" s="59">
        <f t="shared" si="88"/>
        <v>293.11447542333889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40.836213798287929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40.836213798287929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4.9658410716801891E-14</v>
      </c>
      <c r="AK121" s="13">
        <f t="shared" si="89"/>
        <v>8.0934058173791862E-13</v>
      </c>
      <c r="AL121" s="20">
        <f t="shared" si="58"/>
        <v>1.4960899118586383E-12</v>
      </c>
      <c r="AM121" s="59">
        <f t="shared" si="59"/>
        <v>293.33333333333479</v>
      </c>
      <c r="AN121" s="59">
        <f ca="1">AVERAGE(OFFSET($AM$3,0,0,'Données projet'!$E$10+1,1))-AVERAGE(OFFSET($H$3,0,0,'Données projet'!$E$10+1,1))</f>
        <v>321.36684354830828</v>
      </c>
      <c r="AO121" s="59">
        <f t="shared" si="90"/>
        <v>388.05195847800502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38.461996301721491</v>
      </c>
      <c r="AV121" s="21">
        <f>EXP(-LN(2)/25)*AV120+(1-EXP(-LN(2)/25))/(LN(2)/25)*Calculateur!AQ121*Calculateur!AS121*VLOOKUP('Données projet'!$B$10,Paramètres!$A$1:$I$89,3,0)*0.475*44/12</f>
        <v>14.347008030388213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52.809004332109708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4.6111381379887463E-14</v>
      </c>
      <c r="P122" s="13">
        <f t="shared" si="87"/>
        <v>7.5804141040779151E-13</v>
      </c>
      <c r="Q122" s="20">
        <f t="shared" si="107"/>
        <v>1.4005661123635408E-12</v>
      </c>
      <c r="R122" s="59">
        <f t="shared" si="55"/>
        <v>293.33333333333474</v>
      </c>
      <c r="S122" s="59">
        <f ca="1">AVERAGE(OFFSET($R$3,0,0,'Données projet'!$E$9+1,1))-AVERAGE(OFFSET($H$3,0,0,'Données projet'!$E$9+1,1))</f>
        <v>298.98869919374232</v>
      </c>
      <c r="T122" s="59">
        <f t="shared" si="88"/>
        <v>293.11447542333889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40.035440553334496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40.035440553334496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4.9658410716801891E-14</v>
      </c>
      <c r="AK122" s="13">
        <f t="shared" si="89"/>
        <v>8.0934058173791862E-13</v>
      </c>
      <c r="AL122" s="20">
        <f t="shared" si="58"/>
        <v>1.4960899118586383E-12</v>
      </c>
      <c r="AM122" s="59">
        <f t="shared" si="59"/>
        <v>293.33333333333479</v>
      </c>
      <c r="AN122" s="59">
        <f ca="1">AVERAGE(OFFSET($AM$3,0,0,'Données projet'!$E$10+1,1))-AVERAGE(OFFSET($H$3,0,0,'Données projet'!$E$10+1,1))</f>
        <v>321.36684354830828</v>
      </c>
      <c r="AO122" s="59">
        <f t="shared" si="90"/>
        <v>388.05195847800502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37.707780013746046</v>
      </c>
      <c r="AV122" s="21">
        <f>EXP(-LN(2)/25)*AV121+(1-EXP(-LN(2)/25))/(LN(2)/25)*Calculateur!AQ122*Calculateur!AS122*VLOOKUP('Données projet'!$B$10,Paramètres!$A$1:$I$89,3,0)*0.475*44/12</f>
        <v>13.954688341320885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51.662468355066935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4.6111381379887463E-14</v>
      </c>
      <c r="P123" s="13">
        <f t="shared" si="87"/>
        <v>7.5804141040779151E-13</v>
      </c>
      <c r="Q123" s="20">
        <f t="shared" si="107"/>
        <v>1.4005661123635408E-12</v>
      </c>
      <c r="R123" s="59">
        <f t="shared" si="55"/>
        <v>293.33333333333474</v>
      </c>
      <c r="S123" s="59">
        <f ca="1">AVERAGE(OFFSET($R$3,0,0,'Données projet'!$E$9+1,1))-AVERAGE(OFFSET($H$3,0,0,'Données projet'!$E$9+1,1))</f>
        <v>298.98869919374232</v>
      </c>
      <c r="T123" s="59">
        <f t="shared" si="88"/>
        <v>293.11447542333889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39.250369983291151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39.250369983291151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4.9658410716801891E-14</v>
      </c>
      <c r="AK123" s="13">
        <f t="shared" si="89"/>
        <v>8.0934058173791862E-13</v>
      </c>
      <c r="AL123" s="20">
        <f t="shared" si="58"/>
        <v>1.4960899118586383E-12</v>
      </c>
      <c r="AM123" s="59">
        <f t="shared" si="59"/>
        <v>293.33333333333479</v>
      </c>
      <c r="AN123" s="59">
        <f ca="1">AVERAGE(OFFSET($AM$3,0,0,'Données projet'!$E$10+1,1))-AVERAGE(OFFSET($H$3,0,0,'Données projet'!$E$10+1,1))</f>
        <v>321.36684354830828</v>
      </c>
      <c r="AO123" s="59">
        <f t="shared" si="90"/>
        <v>388.05195847800502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36.968353447151287</v>
      </c>
      <c r="AV123" s="21">
        <f>EXP(-LN(2)/25)*AV122+(1-EXP(-LN(2)/25))/(LN(2)/25)*Calculateur!AQ123*Calculateur!AS123*VLOOKUP('Données projet'!$B$10,Paramètres!$A$1:$I$89,3,0)*0.475*44/12</f>
        <v>13.573096654782299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50.541450101933584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4.6111381379887463E-14</v>
      </c>
      <c r="P124" s="13">
        <f t="shared" si="87"/>
        <v>7.5804141040779151E-13</v>
      </c>
      <c r="Q124" s="20">
        <f t="shared" si="107"/>
        <v>1.4005661123635408E-12</v>
      </c>
      <c r="R124" s="59">
        <f t="shared" si="55"/>
        <v>293.33333333333474</v>
      </c>
      <c r="S124" s="59">
        <f ca="1">AVERAGE(OFFSET($R$3,0,0,'Données projet'!$E$9+1,1))-AVERAGE(OFFSET($H$3,0,0,'Données projet'!$E$9+1,1))</f>
        <v>298.98869919374232</v>
      </c>
      <c r="T124" s="59">
        <f t="shared" si="88"/>
        <v>293.11447542333889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38.480694168280586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38.480694168280586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4.9658410716801891E-14</v>
      </c>
      <c r="AK124" s="13">
        <f t="shared" si="89"/>
        <v>8.0934058173791862E-13</v>
      </c>
      <c r="AL124" s="20">
        <f t="shared" si="58"/>
        <v>1.4960899118586383E-12</v>
      </c>
      <c r="AM124" s="59">
        <f t="shared" si="59"/>
        <v>293.33333333333479</v>
      </c>
      <c r="AN124" s="59">
        <f ca="1">AVERAGE(OFFSET($AM$3,0,0,'Données projet'!$E$10+1,1))-AVERAGE(OFFSET($H$3,0,0,'Données projet'!$E$10+1,1))</f>
        <v>321.36684354830828</v>
      </c>
      <c r="AO124" s="59">
        <f t="shared" si="90"/>
        <v>388.05195847800502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36.243426584521778</v>
      </c>
      <c r="AV124" s="21">
        <f>EXP(-LN(2)/25)*AV123+(1-EXP(-LN(2)/25))/(LN(2)/25)*Calculateur!AQ124*Calculateur!AS124*VLOOKUP('Données projet'!$B$10,Paramètres!$A$1:$I$89,3,0)*0.475*44/12</f>
        <v>13.201939612979146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49.445366197500924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4.6111381379887463E-14</v>
      </c>
      <c r="P125" s="13">
        <f t="shared" si="87"/>
        <v>7.5804141040779151E-13</v>
      </c>
      <c r="Q125" s="20">
        <f t="shared" si="107"/>
        <v>1.4005661123635408E-12</v>
      </c>
      <c r="R125" s="59">
        <f t="shared" si="55"/>
        <v>293.33333333333474</v>
      </c>
      <c r="S125" s="59">
        <f ca="1">AVERAGE(OFFSET($R$3,0,0,'Données projet'!$E$9+1,1))-AVERAGE(OFFSET($H$3,0,0,'Données projet'!$E$9+1,1))</f>
        <v>298.98869919374232</v>
      </c>
      <c r="T125" s="59">
        <f t="shared" si="88"/>
        <v>293.11447542333889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37.726111226546486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37.726111226546486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4.9658410716801891E-14</v>
      </c>
      <c r="AK125" s="13">
        <f t="shared" si="89"/>
        <v>8.0934058173791862E-13</v>
      </c>
      <c r="AL125" s="20">
        <f t="shared" si="58"/>
        <v>1.4960899118586383E-12</v>
      </c>
      <c r="AM125" s="59">
        <f t="shared" si="59"/>
        <v>293.33333333333479</v>
      </c>
      <c r="AN125" s="59">
        <f ca="1">AVERAGE(OFFSET($AM$3,0,0,'Données projet'!$E$10+1,1))-AVERAGE(OFFSET($H$3,0,0,'Données projet'!$E$10+1,1))</f>
        <v>321.36684354830828</v>
      </c>
      <c r="AO125" s="59">
        <f t="shared" si="90"/>
        <v>388.05195847800502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35.532715095506703</v>
      </c>
      <c r="AV125" s="21">
        <f>EXP(-LN(2)/25)*AV124+(1-EXP(-LN(2)/25))/(LN(2)/25)*Calculateur!AQ125*Calculateur!AS125*VLOOKUP('Données projet'!$B$10,Paramètres!$A$1:$I$89,3,0)*0.475*44/12</f>
        <v>12.840931880002401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48.373646975509104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4.6111381379887463E-14</v>
      </c>
      <c r="P126" s="13">
        <f t="shared" si="87"/>
        <v>7.5804141040779151E-13</v>
      </c>
      <c r="Q126" s="20">
        <f t="shared" si="107"/>
        <v>1.4005661123635408E-12</v>
      </c>
      <c r="R126" s="59">
        <f t="shared" si="55"/>
        <v>293.33333333333474</v>
      </c>
      <c r="S126" s="59">
        <f ca="1">AVERAGE(OFFSET($R$3,0,0,'Données projet'!$E$9+1,1))-AVERAGE(OFFSET($H$3,0,0,'Données projet'!$E$9+1,1))</f>
        <v>298.98869919374232</v>
      </c>
      <c r="T126" s="59">
        <f t="shared" si="88"/>
        <v>293.11447542333889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36.986325196049641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36.986325196049641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4.9658410716801891E-14</v>
      </c>
      <c r="AK126" s="13">
        <f t="shared" si="89"/>
        <v>8.0934058173791862E-13</v>
      </c>
      <c r="AL126" s="20">
        <f t="shared" si="58"/>
        <v>1.4960899118586383E-12</v>
      </c>
      <c r="AM126" s="59">
        <f t="shared" si="59"/>
        <v>293.33333333333479</v>
      </c>
      <c r="AN126" s="59">
        <f ca="1">AVERAGE(OFFSET($AM$3,0,0,'Données projet'!$E$10+1,1))-AVERAGE(OFFSET($H$3,0,0,'Données projet'!$E$10+1,1))</f>
        <v>321.36684354830828</v>
      </c>
      <c r="AO126" s="59">
        <f t="shared" si="90"/>
        <v>388.05195847800502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34.835940225300014</v>
      </c>
      <c r="AV126" s="21">
        <f>EXP(-LN(2)/25)*AV125+(1-EXP(-LN(2)/25))/(LN(2)/25)*Calculateur!AQ126*Calculateur!AS126*VLOOKUP('Données projet'!$B$10,Paramètres!$A$1:$I$89,3,0)*0.475*44/12</f>
        <v>12.489795922468476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47.325736147768488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4.6111381379887463E-14</v>
      </c>
      <c r="P127" s="13">
        <f t="shared" si="87"/>
        <v>7.5804141040779151E-13</v>
      </c>
      <c r="Q127" s="20">
        <f t="shared" si="107"/>
        <v>1.4005661123635408E-12</v>
      </c>
      <c r="R127" s="59">
        <f t="shared" si="55"/>
        <v>293.33333333333474</v>
      </c>
      <c r="S127" s="59">
        <f ca="1">AVERAGE(OFFSET($R$3,0,0,'Données projet'!$E$9+1,1))-AVERAGE(OFFSET($H$3,0,0,'Données projet'!$E$9+1,1))</f>
        <v>298.98869919374232</v>
      </c>
      <c r="T127" s="59">
        <f t="shared" si="88"/>
        <v>293.11447542333889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36.261045918385918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36.261045918385918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4.9658410716801891E-14</v>
      </c>
      <c r="AK127" s="13">
        <f t="shared" si="89"/>
        <v>8.0934058173791862E-13</v>
      </c>
      <c r="AL127" s="20">
        <f t="shared" si="58"/>
        <v>1.4960899118586383E-12</v>
      </c>
      <c r="AM127" s="59">
        <f t="shared" si="59"/>
        <v>293.33333333333479</v>
      </c>
      <c r="AN127" s="59">
        <f ca="1">AVERAGE(OFFSET($AM$3,0,0,'Données projet'!$E$10+1,1))-AVERAGE(OFFSET($H$3,0,0,'Données projet'!$E$10+1,1))</f>
        <v>321.36684354830828</v>
      </c>
      <c r="AO127" s="59">
        <f t="shared" si="90"/>
        <v>388.05195847800502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34.152828685307369</v>
      </c>
      <c r="AV127" s="21">
        <f>EXP(-LN(2)/25)*AV126+(1-EXP(-LN(2)/25))/(LN(2)/25)*Calculateur!AQ127*Calculateur!AS127*VLOOKUP('Données projet'!$B$10,Paramètres!$A$1:$I$89,3,0)*0.475*44/12</f>
        <v>12.148261796158753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46.301090481466119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4.6111381379887463E-14</v>
      </c>
      <c r="P128" s="13">
        <f t="shared" si="87"/>
        <v>7.5804141040779151E-13</v>
      </c>
      <c r="Q128" s="20">
        <f t="shared" si="107"/>
        <v>1.4005661123635408E-12</v>
      </c>
      <c r="R128" s="59">
        <f t="shared" si="55"/>
        <v>293.33333333333474</v>
      </c>
      <c r="S128" s="59">
        <f ca="1">AVERAGE(OFFSET($R$3,0,0,'Données projet'!$E$9+1,1))-AVERAGE(OFFSET($H$3,0,0,'Données projet'!$E$9+1,1))</f>
        <v>298.98869919374232</v>
      </c>
      <c r="T128" s="59">
        <f t="shared" si="88"/>
        <v>293.11447542333889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35.549988924980504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35.549988924980504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4.9658410716801891E-14</v>
      </c>
      <c r="AK128" s="13">
        <f t="shared" si="89"/>
        <v>8.0934058173791862E-13</v>
      </c>
      <c r="AL128" s="20">
        <f t="shared" si="58"/>
        <v>1.4960899118586383E-12</v>
      </c>
      <c r="AM128" s="59">
        <f t="shared" si="59"/>
        <v>293.33333333333479</v>
      </c>
      <c r="AN128" s="59">
        <f ca="1">AVERAGE(OFFSET($AM$3,0,0,'Données projet'!$E$10+1,1))-AVERAGE(OFFSET($H$3,0,0,'Données projet'!$E$10+1,1))</f>
        <v>321.36684354830828</v>
      </c>
      <c r="AO128" s="59">
        <f t="shared" si="90"/>
        <v>388.05195847800502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33.483112545957084</v>
      </c>
      <c r="AV128" s="21">
        <f>EXP(-LN(2)/25)*AV127+(1-EXP(-LN(2)/25))/(LN(2)/25)*Calculateur!AQ128*Calculateur!AS128*VLOOKUP('Données projet'!$B$10,Paramètres!$A$1:$I$89,3,0)*0.475*44/12</f>
        <v>11.816066938493469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45.299179484450555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4.6111381379887463E-14</v>
      </c>
      <c r="P129" s="13">
        <f t="shared" si="87"/>
        <v>7.5804141040779151E-13</v>
      </c>
      <c r="Q129" s="20">
        <f t="shared" si="107"/>
        <v>1.4005661123635408E-12</v>
      </c>
      <c r="R129" s="59">
        <f t="shared" si="55"/>
        <v>293.33333333333474</v>
      </c>
      <c r="S129" s="59">
        <f ca="1">AVERAGE(OFFSET($R$3,0,0,'Données projet'!$E$9+1,1))-AVERAGE(OFFSET($H$3,0,0,'Données projet'!$E$9+1,1))</f>
        <v>298.98869919374232</v>
      </c>
      <c r="T129" s="59">
        <f t="shared" si="88"/>
        <v>293.11447542333889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34.852875325513828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34.852875325513828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4.9658410716801891E-14</v>
      </c>
      <c r="AK129" s="13">
        <f t="shared" si="89"/>
        <v>8.0934058173791862E-13</v>
      </c>
      <c r="AL129" s="20">
        <f t="shared" si="58"/>
        <v>1.4960899118586383E-12</v>
      </c>
      <c r="AM129" s="59">
        <f t="shared" si="59"/>
        <v>293.33333333333479</v>
      </c>
      <c r="AN129" s="59">
        <f ca="1">AVERAGE(OFFSET($AM$3,0,0,'Données projet'!$E$10+1,1))-AVERAGE(OFFSET($H$3,0,0,'Données projet'!$E$10+1,1))</f>
        <v>321.36684354830828</v>
      </c>
      <c r="AO129" s="59">
        <f t="shared" si="90"/>
        <v>388.05195847800502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32.826529131612944</v>
      </c>
      <c r="AV129" s="21">
        <f>EXP(-LN(2)/25)*AV128+(1-EXP(-LN(2)/25))/(LN(2)/25)*Calculateur!AQ129*Calculateur!AS129*VLOOKUP('Données projet'!$B$10,Paramètres!$A$1:$I$89,3,0)*0.475*44/12</f>
        <v>11.492955966680411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44.319485098293356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4.6111381379887463E-14</v>
      </c>
      <c r="P130" s="13">
        <f t="shared" si="87"/>
        <v>7.5804141040779151E-13</v>
      </c>
      <c r="Q130" s="20">
        <f t="shared" si="107"/>
        <v>1.4005661123635408E-12</v>
      </c>
      <c r="R130" s="59">
        <f t="shared" si="55"/>
        <v>293.33333333333474</v>
      </c>
      <c r="S130" s="59">
        <f ca="1">AVERAGE(OFFSET($R$3,0,0,'Données projet'!$E$9+1,1))-AVERAGE(OFFSET($H$3,0,0,'Données projet'!$E$9+1,1))</f>
        <v>298.98869919374232</v>
      </c>
      <c r="T130" s="59">
        <f t="shared" si="88"/>
        <v>293.11447542333889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34.169431698535384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34.169431698535384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4.9658410716801891E-14</v>
      </c>
      <c r="AK130" s="13">
        <f t="shared" si="89"/>
        <v>8.0934058173791862E-13</v>
      </c>
      <c r="AL130" s="20">
        <f t="shared" si="58"/>
        <v>1.4960899118586383E-12</v>
      </c>
      <c r="AM130" s="59">
        <f t="shared" si="59"/>
        <v>293.33333333333479</v>
      </c>
      <c r="AN130" s="59">
        <f ca="1">AVERAGE(OFFSET($AM$3,0,0,'Données projet'!$E$10+1,1))-AVERAGE(OFFSET($H$3,0,0,'Données projet'!$E$10+1,1))</f>
        <v>321.36684354830828</v>
      </c>
      <c r="AO130" s="59">
        <f t="shared" si="90"/>
        <v>388.05195847800502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32.182820917547758</v>
      </c>
      <c r="AV130" s="21">
        <f>EXP(-LN(2)/25)*AV129+(1-EXP(-LN(2)/25))/(LN(2)/25)*Calculateur!AQ130*Calculateur!AS130*VLOOKUP('Données projet'!$B$10,Paramètres!$A$1:$I$89,3,0)*0.475*44/12</f>
        <v>11.178680481383248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43.361501398931004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4.6111381379887463E-14</v>
      </c>
      <c r="P131" s="13">
        <f t="shared" si="87"/>
        <v>7.5804141040779151E-13</v>
      </c>
      <c r="Q131" s="20">
        <f t="shared" ref="Q131:Q153" si="108">(O131+P131)*0.475*44/12</f>
        <v>1.4005661123635408E-12</v>
      </c>
      <c r="R131" s="59">
        <f t="shared" ref="R131:R194" si="109">Q131+(I131+J131)*44/12</f>
        <v>293.33333333333474</v>
      </c>
      <c r="S131" s="59">
        <f ca="1">AVERAGE(OFFSET($R$3,0,0,'Données projet'!$E$9+1,1))-AVERAGE(OFFSET($H$3,0,0,'Données projet'!$E$9+1,1))</f>
        <v>298.98869919374232</v>
      </c>
      <c r="T131" s="59">
        <f t="shared" si="88"/>
        <v>293.11447542333889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33.499389984222532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33.499389984222532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4.9658410716801891E-14</v>
      </c>
      <c r="AK131" s="13">
        <f t="shared" si="89"/>
        <v>8.0934058173791862E-13</v>
      </c>
      <c r="AL131" s="20">
        <f t="shared" si="58"/>
        <v>1.4960899118586383E-12</v>
      </c>
      <c r="AM131" s="59">
        <f t="shared" si="59"/>
        <v>293.33333333333479</v>
      </c>
      <c r="AN131" s="59">
        <f ca="1">AVERAGE(OFFSET($AM$3,0,0,'Données projet'!$E$10+1,1))-AVERAGE(OFFSET($H$3,0,0,'Données projet'!$E$10+1,1))</f>
        <v>321.36684354830828</v>
      </c>
      <c r="AO131" s="59">
        <f t="shared" si="90"/>
        <v>388.05195847800502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31.551735428937146</v>
      </c>
      <c r="AV131" s="21">
        <f>EXP(-LN(2)/25)*AV130+(1-EXP(-LN(2)/25))/(LN(2)/25)*Calculateur!AQ131*Calculateur!AS131*VLOOKUP('Données projet'!$B$10,Paramètres!$A$1:$I$89,3,0)*0.475*44/12</f>
        <v>10.872998875758565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42.424734304695711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4.6111381379887463E-14</v>
      </c>
      <c r="P132" s="13">
        <f t="shared" si="87"/>
        <v>7.5804141040779151E-13</v>
      </c>
      <c r="Q132" s="20">
        <f t="shared" si="108"/>
        <v>1.4005661123635408E-12</v>
      </c>
      <c r="R132" s="59">
        <f t="shared" si="109"/>
        <v>293.33333333333474</v>
      </c>
      <c r="S132" s="59">
        <f ca="1">AVERAGE(OFFSET($R$3,0,0,'Données projet'!$E$9+1,1))-AVERAGE(OFFSET($H$3,0,0,'Données projet'!$E$9+1,1))</f>
        <v>298.98869919374232</v>
      </c>
      <c r="T132" s="59">
        <f t="shared" si="88"/>
        <v>293.11447542333889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32.842487379242264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32.842487379242264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4.9658410716801891E-14</v>
      </c>
      <c r="AK132" s="13">
        <f t="shared" si="89"/>
        <v>8.0934058173791862E-13</v>
      </c>
      <c r="AL132" s="20">
        <f t="shared" ref="AL132:AL153" si="112">(AJ132+AK132)*0.475*44/12</f>
        <v>1.4960899118586383E-12</v>
      </c>
      <c r="AM132" s="59">
        <f t="shared" ref="AM132:AM195" si="113">AL132+(AD132+AE132)*44/12</f>
        <v>293.33333333333479</v>
      </c>
      <c r="AN132" s="59">
        <f ca="1">AVERAGE(OFFSET($AM$3,0,0,'Données projet'!$E$10+1,1))-AVERAGE(OFFSET($H$3,0,0,'Données projet'!$E$10+1,1))</f>
        <v>321.36684354830828</v>
      </c>
      <c r="AO132" s="59">
        <f t="shared" si="90"/>
        <v>388.05195847800502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30.933025141834047</v>
      </c>
      <c r="AV132" s="21">
        <f>EXP(-LN(2)/25)*AV131+(1-EXP(-LN(2)/25))/(LN(2)/25)*Calculateur!AQ132*Calculateur!AS132*VLOOKUP('Données projet'!$B$10,Paramètres!$A$1:$I$89,3,0)*0.475*44/12</f>
        <v>10.575676149714788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41.508701291548832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4.6111381379887463E-14</v>
      </c>
      <c r="P133" s="13">
        <f t="shared" ref="P133:P196" si="141">EXP(-1.0587+0.8836*LN(O133)+0.284)</f>
        <v>7.5804141040779151E-13</v>
      </c>
      <c r="Q133" s="20">
        <f t="shared" si="108"/>
        <v>1.4005661123635408E-12</v>
      </c>
      <c r="R133" s="59">
        <f t="shared" si="109"/>
        <v>293.33333333333474</v>
      </c>
      <c r="S133" s="59">
        <f ca="1">AVERAGE(OFFSET($R$3,0,0,'Données projet'!$E$9+1,1))-AVERAGE(OFFSET($H$3,0,0,'Données projet'!$E$9+1,1))</f>
        <v>298.98869919374232</v>
      </c>
      <c r="T133" s="59">
        <f t="shared" ref="T133:T196" si="142">$T$3</f>
        <v>293.11447542333889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32.198466233674637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32.198466233674637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4.9658410716801891E-14</v>
      </c>
      <c r="AK133" s="13">
        <f t="shared" ref="AK133:AK153" si="143">EXP(-1.0587+0.8836*LN(AJ133)+0.284)</f>
        <v>8.0934058173791862E-13</v>
      </c>
      <c r="AL133" s="20">
        <f t="shared" si="112"/>
        <v>1.4960899118586383E-12</v>
      </c>
      <c r="AM133" s="59">
        <f t="shared" si="113"/>
        <v>293.33333333333479</v>
      </c>
      <c r="AN133" s="59">
        <f ca="1">AVERAGE(OFFSET($AM$3,0,0,'Données projet'!$E$10+1,1))-AVERAGE(OFFSET($H$3,0,0,'Données projet'!$E$10+1,1))</f>
        <v>321.36684354830828</v>
      </c>
      <c r="AO133" s="59">
        <f t="shared" ref="AO133:AO196" si="144">$AO$3</f>
        <v>388.05195847800502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30.326447386085029</v>
      </c>
      <c r="AV133" s="21">
        <f>EXP(-LN(2)/25)*AV132+(1-EXP(-LN(2)/25))/(LN(2)/25)*Calculateur!AQ133*Calculateur!AS133*VLOOKUP('Données projet'!$B$10,Paramètres!$A$1:$I$89,3,0)*0.475*44/12</f>
        <v>10.286483729250198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40.612931115335229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4.6111381379887463E-14</v>
      </c>
      <c r="P134" s="13">
        <f t="shared" si="141"/>
        <v>7.5804141040779151E-13</v>
      </c>
      <c r="Q134" s="20">
        <f t="shared" si="108"/>
        <v>1.4005661123635408E-12</v>
      </c>
      <c r="R134" s="59">
        <f t="shared" si="109"/>
        <v>293.33333333333474</v>
      </c>
      <c r="S134" s="59">
        <f ca="1">AVERAGE(OFFSET($R$3,0,0,'Données projet'!$E$9+1,1))-AVERAGE(OFFSET($H$3,0,0,'Données projet'!$E$9+1,1))</f>
        <v>298.98869919374232</v>
      </c>
      <c r="T134" s="59">
        <f t="shared" si="142"/>
        <v>293.11447542333889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31.567073949957479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31.567073949957479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4.9658410716801891E-14</v>
      </c>
      <c r="AK134" s="13">
        <f t="shared" si="143"/>
        <v>8.0934058173791862E-13</v>
      </c>
      <c r="AL134" s="20">
        <f t="shared" si="112"/>
        <v>1.4960899118586383E-12</v>
      </c>
      <c r="AM134" s="59">
        <f t="shared" si="113"/>
        <v>293.33333333333479</v>
      </c>
      <c r="AN134" s="59">
        <f ca="1">AVERAGE(OFFSET($AM$3,0,0,'Données projet'!$E$10+1,1))-AVERAGE(OFFSET($H$3,0,0,'Données projet'!$E$10+1,1))</f>
        <v>321.36684354830828</v>
      </c>
      <c r="AO134" s="59">
        <f t="shared" si="144"/>
        <v>388.05195847800502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29.731764250150349</v>
      </c>
      <c r="AV134" s="21">
        <f>EXP(-LN(2)/25)*AV133+(1-EXP(-LN(2)/25))/(LN(2)/25)*Calculateur!AQ134*Calculateur!AS134*VLOOKUP('Données projet'!$B$10,Paramètres!$A$1:$I$89,3,0)*0.475*44/12</f>
        <v>10.005199290731182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39.736963540881533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4.6111381379887463E-14</v>
      </c>
      <c r="P135" s="13">
        <f t="shared" si="141"/>
        <v>7.5804141040779151E-13</v>
      </c>
      <c r="Q135" s="20">
        <f t="shared" si="108"/>
        <v>1.4005661123635408E-12</v>
      </c>
      <c r="R135" s="59">
        <f t="shared" si="109"/>
        <v>293.33333333333474</v>
      </c>
      <c r="S135" s="59">
        <f ca="1">AVERAGE(OFFSET($R$3,0,0,'Données projet'!$E$9+1,1))-AVERAGE(OFFSET($H$3,0,0,'Données projet'!$E$9+1,1))</f>
        <v>298.98869919374232</v>
      </c>
      <c r="T135" s="59">
        <f t="shared" si="142"/>
        <v>293.11447542333889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30.948062883812746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30.948062883812746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4.9658410716801891E-14</v>
      </c>
      <c r="AK135" s="13">
        <f t="shared" si="143"/>
        <v>8.0934058173791862E-13</v>
      </c>
      <c r="AL135" s="20">
        <f t="shared" si="112"/>
        <v>1.4960899118586383E-12</v>
      </c>
      <c r="AM135" s="59">
        <f t="shared" si="113"/>
        <v>293.33333333333479</v>
      </c>
      <c r="AN135" s="59">
        <f ca="1">AVERAGE(OFFSET($AM$3,0,0,'Données projet'!$E$10+1,1))-AVERAGE(OFFSET($H$3,0,0,'Données projet'!$E$10+1,1))</f>
        <v>321.36684354830828</v>
      </c>
      <c r="AO135" s="59">
        <f t="shared" si="144"/>
        <v>388.05195847800502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29.14874248779045</v>
      </c>
      <c r="AV135" s="21">
        <f>EXP(-LN(2)/25)*AV134+(1-EXP(-LN(2)/25))/(LN(2)/25)*Calculateur!AQ135*Calculateur!AS135*VLOOKUP('Données projet'!$B$10,Paramètres!$A$1:$I$89,3,0)*0.475*44/12</f>
        <v>9.7316065899755753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38.880349077766027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4.6111381379887463E-14</v>
      </c>
      <c r="P136" s="13">
        <f t="shared" si="141"/>
        <v>7.5804141040779151E-13</v>
      </c>
      <c r="Q136" s="20">
        <f t="shared" si="108"/>
        <v>1.4005661123635408E-12</v>
      </c>
      <c r="R136" s="59">
        <f t="shared" si="109"/>
        <v>293.33333333333474</v>
      </c>
      <c r="S136" s="59">
        <f ca="1">AVERAGE(OFFSET($R$3,0,0,'Données projet'!$E$9+1,1))-AVERAGE(OFFSET($H$3,0,0,'Données projet'!$E$9+1,1))</f>
        <v>298.98869919374232</v>
      </c>
      <c r="T136" s="59">
        <f t="shared" si="142"/>
        <v>293.11447542333889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30.341190247115641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30.341190247115641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4.9658410716801891E-14</v>
      </c>
      <c r="AK136" s="13">
        <f t="shared" si="143"/>
        <v>8.0934058173791862E-13</v>
      </c>
      <c r="AL136" s="20">
        <f t="shared" si="112"/>
        <v>1.4960899118586383E-12</v>
      </c>
      <c r="AM136" s="59">
        <f t="shared" si="113"/>
        <v>293.33333333333479</v>
      </c>
      <c r="AN136" s="59">
        <f ca="1">AVERAGE(OFFSET($AM$3,0,0,'Données projet'!$E$10+1,1))-AVERAGE(OFFSET($H$3,0,0,'Données projet'!$E$10+1,1))</f>
        <v>321.36684354830828</v>
      </c>
      <c r="AO136" s="59">
        <f t="shared" si="144"/>
        <v>388.05195847800502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28.577153426582267</v>
      </c>
      <c r="AV136" s="21">
        <f>EXP(-LN(2)/25)*AV135+(1-EXP(-LN(2)/25))/(LN(2)/25)*Calculateur!AQ136*Calculateur!AS136*VLOOKUP('Données projet'!$B$10,Paramètres!$A$1:$I$89,3,0)*0.475*44/12</f>
        <v>9.4654952960097436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38.042648722592013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4.6111381379887463E-14</v>
      </c>
      <c r="P137" s="13">
        <f t="shared" si="141"/>
        <v>7.5804141040779151E-13</v>
      </c>
      <c r="Q137" s="20">
        <f t="shared" si="108"/>
        <v>1.4005661123635408E-12</v>
      </c>
      <c r="R137" s="59">
        <f t="shared" si="109"/>
        <v>293.33333333333474</v>
      </c>
      <c r="S137" s="59">
        <f ca="1">AVERAGE(OFFSET($R$3,0,0,'Données projet'!$E$9+1,1))-AVERAGE(OFFSET($H$3,0,0,'Données projet'!$E$9+1,1))</f>
        <v>298.98869919374232</v>
      </c>
      <c r="T137" s="59">
        <f t="shared" si="142"/>
        <v>293.11447542333889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29.746218012668407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29.746218012668407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4.9658410716801891E-14</v>
      </c>
      <c r="AK137" s="13">
        <f t="shared" si="143"/>
        <v>8.0934058173791862E-13</v>
      </c>
      <c r="AL137" s="20">
        <f t="shared" si="112"/>
        <v>1.4960899118586383E-12</v>
      </c>
      <c r="AM137" s="59">
        <f t="shared" si="113"/>
        <v>293.33333333333479</v>
      </c>
      <c r="AN137" s="59">
        <f ca="1">AVERAGE(OFFSET($AM$3,0,0,'Données projet'!$E$10+1,1))-AVERAGE(OFFSET($H$3,0,0,'Données projet'!$E$10+1,1))</f>
        <v>321.36684354830828</v>
      </c>
      <c r="AO137" s="59">
        <f t="shared" si="144"/>
        <v>388.05195847800502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28.016772878229474</v>
      </c>
      <c r="AV137" s="21">
        <f>EXP(-LN(2)/25)*AV136+(1-EXP(-LN(2)/25))/(LN(2)/25)*Calculateur!AQ137*Calculateur!AS137*VLOOKUP('Données projet'!$B$10,Paramètres!$A$1:$I$89,3,0)*0.475*44/12</f>
        <v>9.206660829371593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37.223433707601068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4.6111381379887463E-14</v>
      </c>
      <c r="P138" s="13">
        <f t="shared" si="141"/>
        <v>7.5804141040779151E-13</v>
      </c>
      <c r="Q138" s="20">
        <f t="shared" si="108"/>
        <v>1.4005661123635408E-12</v>
      </c>
      <c r="R138" s="59">
        <f t="shared" si="109"/>
        <v>293.33333333333474</v>
      </c>
      <c r="S138" s="59">
        <f ca="1">AVERAGE(OFFSET($R$3,0,0,'Données projet'!$E$9+1,1))-AVERAGE(OFFSET($H$3,0,0,'Données projet'!$E$9+1,1))</f>
        <v>298.98869919374232</v>
      </c>
      <c r="T138" s="59">
        <f t="shared" si="142"/>
        <v>293.11447542333889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29.162912820841456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29.162912820841456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4.9658410716801891E-14</v>
      </c>
      <c r="AK138" s="13">
        <f t="shared" si="143"/>
        <v>8.0934058173791862E-13</v>
      </c>
      <c r="AL138" s="20">
        <f t="shared" si="112"/>
        <v>1.4960899118586383E-12</v>
      </c>
      <c r="AM138" s="59">
        <f t="shared" si="113"/>
        <v>293.33333333333479</v>
      </c>
      <c r="AN138" s="59">
        <f ca="1">AVERAGE(OFFSET($AM$3,0,0,'Données projet'!$E$10+1,1))-AVERAGE(OFFSET($H$3,0,0,'Données projet'!$E$10+1,1))</f>
        <v>321.36684354830828</v>
      </c>
      <c r="AO138" s="59">
        <f t="shared" si="144"/>
        <v>388.05195847800502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27.467381050631495</v>
      </c>
      <c r="AV138" s="21">
        <f>EXP(-LN(2)/25)*AV137+(1-EXP(-LN(2)/25))/(LN(2)/25)*Calculateur!AQ138*Calculateur!AS138*VLOOKUP('Données projet'!$B$10,Paramètres!$A$1:$I$89,3,0)*0.475*44/12</f>
        <v>8.9549042048351755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36.422285255466669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4.6111381379887463E-14</v>
      </c>
      <c r="P139" s="13">
        <f t="shared" si="141"/>
        <v>7.5804141040779151E-13</v>
      </c>
      <c r="Q139" s="20">
        <f t="shared" si="108"/>
        <v>1.4005661123635408E-12</v>
      </c>
      <c r="R139" s="59">
        <f t="shared" si="109"/>
        <v>293.33333333333474</v>
      </c>
      <c r="S139" s="59">
        <f ca="1">AVERAGE(OFFSET($R$3,0,0,'Données projet'!$E$9+1,1))-AVERAGE(OFFSET($H$3,0,0,'Données projet'!$E$9+1,1))</f>
        <v>298.98869919374232</v>
      </c>
      <c r="T139" s="59">
        <f t="shared" si="142"/>
        <v>293.11447542333889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28.591045888045194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28.591045888045194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4.9658410716801891E-14</v>
      </c>
      <c r="AK139" s="13">
        <f t="shared" si="143"/>
        <v>8.0934058173791862E-13</v>
      </c>
      <c r="AL139" s="20">
        <f t="shared" si="112"/>
        <v>1.4960899118586383E-12</v>
      </c>
      <c r="AM139" s="59">
        <f t="shared" si="113"/>
        <v>293.33333333333479</v>
      </c>
      <c r="AN139" s="59">
        <f ca="1">AVERAGE(OFFSET($AM$3,0,0,'Données projet'!$E$10+1,1))-AVERAGE(OFFSET($H$3,0,0,'Données projet'!$E$10+1,1))</f>
        <v>321.36684354830828</v>
      </c>
      <c r="AO139" s="59">
        <f t="shared" si="144"/>
        <v>388.05195847800502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26.928762461676786</v>
      </c>
      <c r="AV139" s="21">
        <f>EXP(-LN(2)/25)*AV138+(1-EXP(-LN(2)/25))/(LN(2)/25)*Calculateur!AQ139*Calculateur!AS139*VLOOKUP('Données projet'!$B$10,Paramètres!$A$1:$I$89,3,0)*0.475*44/12</f>
        <v>8.7100318784360127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35.638794340112796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4.6111381379887463E-14</v>
      </c>
      <c r="P140" s="13">
        <f t="shared" si="141"/>
        <v>7.5804141040779151E-13</v>
      </c>
      <c r="Q140" s="20">
        <f t="shared" si="108"/>
        <v>1.4005661123635408E-12</v>
      </c>
      <c r="R140" s="59">
        <f t="shared" si="109"/>
        <v>293.33333333333474</v>
      </c>
      <c r="S140" s="59">
        <f ca="1">AVERAGE(OFFSET($R$3,0,0,'Données projet'!$E$9+1,1))-AVERAGE(OFFSET($H$3,0,0,'Données projet'!$E$9+1,1))</f>
        <v>298.98869919374232</v>
      </c>
      <c r="T140" s="59">
        <f t="shared" si="142"/>
        <v>293.11447542333889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28.030392916996679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28.030392916996679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4.9658410716801891E-14</v>
      </c>
      <c r="AK140" s="13">
        <f t="shared" si="143"/>
        <v>8.0934058173791862E-13</v>
      </c>
      <c r="AL140" s="20">
        <f t="shared" si="112"/>
        <v>1.4960899118586383E-12</v>
      </c>
      <c r="AM140" s="59">
        <f t="shared" si="113"/>
        <v>293.33333333333479</v>
      </c>
      <c r="AN140" s="59">
        <f ca="1">AVERAGE(OFFSET($AM$3,0,0,'Données projet'!$E$10+1,1))-AVERAGE(OFFSET($H$3,0,0,'Données projet'!$E$10+1,1))</f>
        <v>321.36684354830828</v>
      </c>
      <c r="AO140" s="59">
        <f t="shared" si="144"/>
        <v>388.05195847800502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26.400705854726581</v>
      </c>
      <c r="AV140" s="21">
        <f>EXP(-LN(2)/25)*AV139+(1-EXP(-LN(2)/25))/(LN(2)/25)*Calculateur!AQ140*Calculateur!AS140*VLOOKUP('Données projet'!$B$10,Paramètres!$A$1:$I$89,3,0)*0.475*44/12</f>
        <v>8.471855598679511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34.872561453406092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4.6111381379887463E-14</v>
      </c>
      <c r="P141" s="13">
        <f t="shared" si="141"/>
        <v>7.5804141040779151E-13</v>
      </c>
      <c r="Q141" s="20">
        <f t="shared" si="108"/>
        <v>1.4005661123635408E-12</v>
      </c>
      <c r="R141" s="59">
        <f t="shared" si="109"/>
        <v>293.33333333333474</v>
      </c>
      <c r="S141" s="59">
        <f ca="1">AVERAGE(OFFSET($R$3,0,0,'Données projet'!$E$9+1,1))-AVERAGE(OFFSET($H$3,0,0,'Données projet'!$E$9+1,1))</f>
        <v>298.98869919374232</v>
      </c>
      <c r="T141" s="59">
        <f t="shared" si="142"/>
        <v>293.11447542333889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27.48073400874588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27.48073400874588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4.9658410716801891E-14</v>
      </c>
      <c r="AK141" s="13">
        <f t="shared" si="143"/>
        <v>8.0934058173791862E-13</v>
      </c>
      <c r="AL141" s="20">
        <f t="shared" si="112"/>
        <v>1.4960899118586383E-12</v>
      </c>
      <c r="AM141" s="59">
        <f t="shared" si="113"/>
        <v>293.33333333333479</v>
      </c>
      <c r="AN141" s="59">
        <f ca="1">AVERAGE(OFFSET($AM$3,0,0,'Données projet'!$E$10+1,1))-AVERAGE(OFFSET($H$3,0,0,'Données projet'!$E$10+1,1))</f>
        <v>321.36684354830828</v>
      </c>
      <c r="AO141" s="59">
        <f t="shared" si="144"/>
        <v>388.05195847800502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25.883004115755941</v>
      </c>
      <c r="AV141" s="21">
        <f>EXP(-LN(2)/25)*AV140+(1-EXP(-LN(2)/25))/(LN(2)/25)*Calculateur!AQ141*Calculateur!AS141*VLOOKUP('Données projet'!$B$10,Paramètres!$A$1:$I$89,3,0)*0.475*44/12</f>
        <v>8.2401922618180965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34.12319637757404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4.6111381379887463E-14</v>
      </c>
      <c r="P142" s="13">
        <f t="shared" si="141"/>
        <v>7.5804141040779151E-13</v>
      </c>
      <c r="Q142" s="20">
        <f t="shared" si="108"/>
        <v>1.4005661123635408E-12</v>
      </c>
      <c r="R142" s="59">
        <f t="shared" si="109"/>
        <v>293.33333333333474</v>
      </c>
      <c r="S142" s="59">
        <f ca="1">AVERAGE(OFFSET($R$3,0,0,'Données projet'!$E$9+1,1))-AVERAGE(OFFSET($H$3,0,0,'Données projet'!$E$9+1,1))</f>
        <v>298.98869919374232</v>
      </c>
      <c r="T142" s="59">
        <f t="shared" si="142"/>
        <v>293.11447542333889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26.94185357642705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26.94185357642705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4.9658410716801891E-14</v>
      </c>
      <c r="AK142" s="13">
        <f t="shared" si="143"/>
        <v>8.0934058173791862E-13</v>
      </c>
      <c r="AL142" s="20">
        <f t="shared" si="112"/>
        <v>1.4960899118586383E-12</v>
      </c>
      <c r="AM142" s="59">
        <f t="shared" si="113"/>
        <v>293.33333333333479</v>
      </c>
      <c r="AN142" s="59">
        <f ca="1">AVERAGE(OFFSET($AM$3,0,0,'Données projet'!$E$10+1,1))-AVERAGE(OFFSET($H$3,0,0,'Données projet'!$E$10+1,1))</f>
        <v>321.36684354830828</v>
      </c>
      <c r="AO142" s="59">
        <f t="shared" si="144"/>
        <v>388.05195847800502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25.375454192119633</v>
      </c>
      <c r="AV142" s="21">
        <f>EXP(-LN(2)/25)*AV141+(1-EXP(-LN(2)/25))/(LN(2)/25)*Calculateur!AQ142*Calculateur!AS142*VLOOKUP('Données projet'!$B$10,Paramètres!$A$1:$I$89,3,0)*0.475*44/12</f>
        <v>8.0148637710858033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33.390317963205433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4.6111381379887463E-14</v>
      </c>
      <c r="P143" s="13">
        <f t="shared" si="141"/>
        <v>7.5804141040779151E-13</v>
      </c>
      <c r="Q143" s="20">
        <f t="shared" si="108"/>
        <v>1.4005661123635408E-12</v>
      </c>
      <c r="R143" s="59">
        <f t="shared" si="109"/>
        <v>293.33333333333474</v>
      </c>
      <c r="S143" s="59">
        <f ca="1">AVERAGE(OFFSET($R$3,0,0,'Données projet'!$E$9+1,1))-AVERAGE(OFFSET($H$3,0,0,'Données projet'!$E$9+1,1))</f>
        <v>298.98869919374232</v>
      </c>
      <c r="T143" s="59">
        <f t="shared" si="142"/>
        <v>293.11447542333889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26.413540260701382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26.413540260701382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4.9658410716801891E-14</v>
      </c>
      <c r="AK143" s="13">
        <f t="shared" si="143"/>
        <v>8.0934058173791862E-13</v>
      </c>
      <c r="AL143" s="20">
        <f t="shared" si="112"/>
        <v>1.4960899118586383E-12</v>
      </c>
      <c r="AM143" s="59">
        <f t="shared" si="113"/>
        <v>293.33333333333479</v>
      </c>
      <c r="AN143" s="59">
        <f ca="1">AVERAGE(OFFSET($AM$3,0,0,'Données projet'!$E$10+1,1))-AVERAGE(OFFSET($H$3,0,0,'Données projet'!$E$10+1,1))</f>
        <v>321.36684354830828</v>
      </c>
      <c r="AO143" s="59">
        <f t="shared" si="144"/>
        <v>388.05195847800502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24.877857012910948</v>
      </c>
      <c r="AV143" s="21">
        <f>EXP(-LN(2)/25)*AV142+(1-EXP(-LN(2)/25))/(LN(2)/25)*Calculateur!AQ143*Calculateur!AS143*VLOOKUP('Données projet'!$B$10,Paramètres!$A$1:$I$89,3,0)*0.475*44/12</f>
        <v>7.7956968997820946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32.673553912693045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4.6111381379887463E-14</v>
      </c>
      <c r="P144" s="13">
        <f t="shared" si="141"/>
        <v>7.5804141040779151E-13</v>
      </c>
      <c r="Q144" s="20">
        <f t="shared" si="108"/>
        <v>1.4005661123635408E-12</v>
      </c>
      <c r="R144" s="59">
        <f t="shared" si="109"/>
        <v>293.33333333333474</v>
      </c>
      <c r="S144" s="59">
        <f ca="1">AVERAGE(OFFSET($R$3,0,0,'Données projet'!$E$9+1,1))-AVERAGE(OFFSET($H$3,0,0,'Données projet'!$E$9+1,1))</f>
        <v>298.98869919374232</v>
      </c>
      <c r="T144" s="59">
        <f t="shared" si="142"/>
        <v>293.11447542333889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25.895586846857789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25.895586846857789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4.9658410716801891E-14</v>
      </c>
      <c r="AK144" s="13">
        <f t="shared" si="143"/>
        <v>8.0934058173791862E-13</v>
      </c>
      <c r="AL144" s="20">
        <f t="shared" si="112"/>
        <v>1.4960899118586383E-12</v>
      </c>
      <c r="AM144" s="59">
        <f t="shared" si="113"/>
        <v>293.33333333333479</v>
      </c>
      <c r="AN144" s="59">
        <f ca="1">AVERAGE(OFFSET($AM$3,0,0,'Données projet'!$E$10+1,1))-AVERAGE(OFFSET($H$3,0,0,'Données projet'!$E$10+1,1))</f>
        <v>321.36684354830828</v>
      </c>
      <c r="AO144" s="59">
        <f t="shared" si="144"/>
        <v>388.05195847800502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24.390017410882233</v>
      </c>
      <c r="AV144" s="21">
        <f>EXP(-LN(2)/25)*AV143+(1-EXP(-LN(2)/25))/(LN(2)/25)*Calculateur!AQ144*Calculateur!AS144*VLOOKUP('Données projet'!$B$10,Paramètres!$A$1:$I$89,3,0)*0.475*44/12</f>
        <v>7.5825231580996704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31.972540568981906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4.6111381379887463E-14</v>
      </c>
      <c r="P145" s="13">
        <f t="shared" si="141"/>
        <v>7.5804141040779151E-13</v>
      </c>
      <c r="Q145" s="20">
        <f t="shared" si="108"/>
        <v>1.4005661123635408E-12</v>
      </c>
      <c r="R145" s="59">
        <f t="shared" si="109"/>
        <v>293.33333333333474</v>
      </c>
      <c r="S145" s="59">
        <f ca="1">AVERAGE(OFFSET($R$3,0,0,'Données projet'!$E$9+1,1))-AVERAGE(OFFSET($H$3,0,0,'Données projet'!$E$9+1,1))</f>
        <v>298.98869919374232</v>
      </c>
      <c r="T145" s="59">
        <f t="shared" si="142"/>
        <v>293.11447542333889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25.387790183539284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25.387790183539284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4.9658410716801891E-14</v>
      </c>
      <c r="AK145" s="13">
        <f t="shared" si="143"/>
        <v>8.0934058173791862E-13</v>
      </c>
      <c r="AL145" s="20">
        <f t="shared" si="112"/>
        <v>1.4960899118586383E-12</v>
      </c>
      <c r="AM145" s="59">
        <f t="shared" si="113"/>
        <v>293.33333333333479</v>
      </c>
      <c r="AN145" s="59">
        <f ca="1">AVERAGE(OFFSET($AM$3,0,0,'Données projet'!$E$10+1,1))-AVERAGE(OFFSET($H$3,0,0,'Données projet'!$E$10+1,1))</f>
        <v>321.36684354830828</v>
      </c>
      <c r="AO145" s="59">
        <f t="shared" si="144"/>
        <v>388.05195847800502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23.911744045896526</v>
      </c>
      <c r="AV145" s="21">
        <f>EXP(-LN(2)/25)*AV144+(1-EXP(-LN(2)/25))/(LN(2)/25)*Calculateur!AQ145*Calculateur!AS145*VLOOKUP('Données projet'!$B$10,Paramètres!$A$1:$I$89,3,0)*0.475*44/12</f>
        <v>7.3751786635938723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31.286922709490398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4.6111381379887463E-14</v>
      </c>
      <c r="P146" s="13">
        <f t="shared" si="141"/>
        <v>7.5804141040779151E-13</v>
      </c>
      <c r="Q146" s="20">
        <f t="shared" si="108"/>
        <v>1.4005661123635408E-12</v>
      </c>
      <c r="R146" s="59">
        <f t="shared" si="109"/>
        <v>293.33333333333474</v>
      </c>
      <c r="S146" s="59">
        <f ca="1">AVERAGE(OFFSET($R$3,0,0,'Données projet'!$E$9+1,1))-AVERAGE(OFFSET($H$3,0,0,'Données projet'!$E$9+1,1))</f>
        <v>298.98869919374232</v>
      </c>
      <c r="T146" s="59">
        <f t="shared" si="142"/>
        <v>293.11447542333889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24.889951103063073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24.889951103063073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4.9658410716801891E-14</v>
      </c>
      <c r="AK146" s="13">
        <f t="shared" si="143"/>
        <v>8.0934058173791862E-13</v>
      </c>
      <c r="AL146" s="20">
        <f t="shared" si="112"/>
        <v>1.4960899118586383E-12</v>
      </c>
      <c r="AM146" s="59">
        <f t="shared" si="113"/>
        <v>293.33333333333479</v>
      </c>
      <c r="AN146" s="59">
        <f ca="1">AVERAGE(OFFSET($AM$3,0,0,'Données projet'!$E$10+1,1))-AVERAGE(OFFSET($H$3,0,0,'Données projet'!$E$10+1,1))</f>
        <v>321.36684354830828</v>
      </c>
      <c r="AO146" s="59">
        <f t="shared" si="144"/>
        <v>388.05195847800502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23.442849329880243</v>
      </c>
      <c r="AV146" s="21">
        <f>EXP(-LN(2)/25)*AV145+(1-EXP(-LN(2)/25))/(LN(2)/25)*Calculateur!AQ146*Calculateur!AS146*VLOOKUP('Données projet'!$B$10,Paramètres!$A$1:$I$89,3,0)*0.475*44/12</f>
        <v>7.1735040151941085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30.616353345074351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4.6111381379887463E-14</v>
      </c>
      <c r="P147" s="13">
        <f t="shared" si="141"/>
        <v>7.5804141040779151E-13</v>
      </c>
      <c r="Q147" s="20">
        <f t="shared" si="108"/>
        <v>1.4005661123635408E-12</v>
      </c>
      <c r="R147" s="59">
        <f t="shared" si="109"/>
        <v>293.33333333333474</v>
      </c>
      <c r="S147" s="59">
        <f ca="1">AVERAGE(OFFSET($R$3,0,0,'Données projet'!$E$9+1,1))-AVERAGE(OFFSET($H$3,0,0,'Données projet'!$E$9+1,1))</f>
        <v>298.98869919374232</v>
      </c>
      <c r="T147" s="59">
        <f t="shared" si="142"/>
        <v>293.11447542333889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24.401874343303142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24.401874343303142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4.9658410716801891E-14</v>
      </c>
      <c r="AK147" s="13">
        <f t="shared" si="143"/>
        <v>8.0934058173791862E-13</v>
      </c>
      <c r="AL147" s="20">
        <f t="shared" si="112"/>
        <v>1.4960899118586383E-12</v>
      </c>
      <c r="AM147" s="59">
        <f t="shared" si="113"/>
        <v>293.33333333333479</v>
      </c>
      <c r="AN147" s="59">
        <f ca="1">AVERAGE(OFFSET($AM$3,0,0,'Données projet'!$E$10+1,1))-AVERAGE(OFFSET($H$3,0,0,'Données projet'!$E$10+1,1))</f>
        <v>321.36684354830828</v>
      </c>
      <c r="AO147" s="59">
        <f t="shared" si="144"/>
        <v>388.05195847800502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22.983149353247502</v>
      </c>
      <c r="AV147" s="21">
        <f>EXP(-LN(2)/25)*AV146+(1-EXP(-LN(2)/25))/(LN(2)/25)*Calculateur!AQ147*Calculateur!AS147*VLOOKUP('Données projet'!$B$10,Paramètres!$A$1:$I$89,3,0)*0.475*44/12</f>
        <v>6.9773441706604444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29.960493523907946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4.6111381379887463E-14</v>
      </c>
      <c r="P148" s="13">
        <f t="shared" si="141"/>
        <v>7.5804141040779151E-13</v>
      </c>
      <c r="Q148" s="20">
        <f t="shared" si="108"/>
        <v>1.4005661123635408E-12</v>
      </c>
      <c r="R148" s="59">
        <f t="shared" si="109"/>
        <v>293.33333333333474</v>
      </c>
      <c r="S148" s="59">
        <f ca="1">AVERAGE(OFFSET($R$3,0,0,'Données projet'!$E$9+1,1))-AVERAGE(OFFSET($H$3,0,0,'Données projet'!$E$9+1,1))</f>
        <v>298.98869919374232</v>
      </c>
      <c r="T148" s="59">
        <f t="shared" si="142"/>
        <v>293.11447542333889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23.923368471104677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23.923368471104677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4.9658410716801891E-14</v>
      </c>
      <c r="AK148" s="13">
        <f t="shared" si="143"/>
        <v>8.0934058173791862E-13</v>
      </c>
      <c r="AL148" s="20">
        <f t="shared" si="112"/>
        <v>1.4960899118586383E-12</v>
      </c>
      <c r="AM148" s="59">
        <f t="shared" si="113"/>
        <v>293.33333333333479</v>
      </c>
      <c r="AN148" s="59">
        <f ca="1">AVERAGE(OFFSET($AM$3,0,0,'Données projet'!$E$10+1,1))-AVERAGE(OFFSET($H$3,0,0,'Données projet'!$E$10+1,1))</f>
        <v>321.36684354830828</v>
      </c>
      <c r="AO148" s="59">
        <f t="shared" si="144"/>
        <v>388.05195847800502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22.532463812767229</v>
      </c>
      <c r="AV148" s="21">
        <f>EXP(-LN(2)/25)*AV147+(1-EXP(-LN(2)/25))/(LN(2)/25)*Calculateur!AQ148*Calculateur!AS148*VLOOKUP('Données projet'!$B$10,Paramètres!$A$1:$I$89,3,0)*0.475*44/12</f>
        <v>6.7865483273911513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29.319012140158382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4.6111381379887463E-14</v>
      </c>
      <c r="P149" s="13">
        <f t="shared" si="141"/>
        <v>7.5804141040779151E-13</v>
      </c>
      <c r="Q149" s="20">
        <f t="shared" si="108"/>
        <v>1.4005661123635408E-12</v>
      </c>
      <c r="R149" s="59">
        <f t="shared" si="109"/>
        <v>293.33333333333474</v>
      </c>
      <c r="S149" s="59">
        <f ca="1">AVERAGE(OFFSET($R$3,0,0,'Données projet'!$E$9+1,1))-AVERAGE(OFFSET($H$3,0,0,'Données projet'!$E$9+1,1))</f>
        <v>298.98869919374232</v>
      </c>
      <c r="T149" s="59">
        <f t="shared" si="142"/>
        <v>293.11447542333889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23.454245807200259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23.454245807200259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4.9658410716801891E-14</v>
      </c>
      <c r="AK149" s="13">
        <f t="shared" si="143"/>
        <v>8.0934058173791862E-13</v>
      </c>
      <c r="AL149" s="20">
        <f t="shared" si="112"/>
        <v>1.4960899118586383E-12</v>
      </c>
      <c r="AM149" s="59">
        <f t="shared" si="113"/>
        <v>293.33333333333479</v>
      </c>
      <c r="AN149" s="59">
        <f ca="1">AVERAGE(OFFSET($AM$3,0,0,'Données projet'!$E$10+1,1))-AVERAGE(OFFSET($H$3,0,0,'Données projet'!$E$10+1,1))</f>
        <v>321.36684354830828</v>
      </c>
      <c r="AO149" s="59">
        <f t="shared" si="144"/>
        <v>388.05195847800502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22.090615940844739</v>
      </c>
      <c r="AV149" s="21">
        <f>EXP(-LN(2)/25)*AV148+(1-EXP(-LN(2)/25))/(LN(2)/25)*Calculateur!AQ149*Calculateur!AS149*VLOOKUP('Données projet'!$B$10,Paramètres!$A$1:$I$89,3,0)*0.475*44/12</f>
        <v>6.6009698064895748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28.691585747334315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4.6111381379887463E-14</v>
      </c>
      <c r="P150" s="13">
        <f t="shared" si="141"/>
        <v>7.5804141040779151E-13</v>
      </c>
      <c r="Q150" s="20">
        <f t="shared" si="108"/>
        <v>1.4005661123635408E-12</v>
      </c>
      <c r="R150" s="59">
        <f t="shared" si="109"/>
        <v>293.33333333333474</v>
      </c>
      <c r="S150" s="59">
        <f ca="1">AVERAGE(OFFSET($R$3,0,0,'Données projet'!$E$9+1,1))-AVERAGE(OFFSET($H$3,0,0,'Données projet'!$E$9+1,1))</f>
        <v>298.98869919374232</v>
      </c>
      <c r="T150" s="59">
        <f t="shared" si="142"/>
        <v>293.11447542333889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22.994322352598434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22.994322352598434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4.9658410716801891E-14</v>
      </c>
      <c r="AK150" s="13">
        <f t="shared" si="143"/>
        <v>8.0934058173791862E-13</v>
      </c>
      <c r="AL150" s="20">
        <f t="shared" si="112"/>
        <v>1.4960899118586383E-12</v>
      </c>
      <c r="AM150" s="59">
        <f t="shared" si="113"/>
        <v>293.33333333333479</v>
      </c>
      <c r="AN150" s="59">
        <f ca="1">AVERAGE(OFFSET($AM$3,0,0,'Données projet'!$E$10+1,1))-AVERAGE(OFFSET($H$3,0,0,'Données projet'!$E$10+1,1))</f>
        <v>321.36684354830828</v>
      </c>
      <c r="AO150" s="59">
        <f t="shared" si="144"/>
        <v>388.05195847800502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21.657432436190057</v>
      </c>
      <c r="AV150" s="21">
        <f>EXP(-LN(2)/25)*AV149+(1-EXP(-LN(2)/25))/(LN(2)/25)*Calculateur!AQ150*Calculateur!AS150*VLOOKUP('Données projet'!$B$10,Paramètres!$A$1:$I$89,3,0)*0.475*44/12</f>
        <v>6.4204659400012023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28.077898376191257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4.6111381379887463E-14</v>
      </c>
      <c r="P151" s="13">
        <f t="shared" si="141"/>
        <v>7.5804141040779151E-13</v>
      </c>
      <c r="Q151" s="20">
        <f t="shared" si="108"/>
        <v>1.4005661123635408E-12</v>
      </c>
      <c r="R151" s="59">
        <f t="shared" si="109"/>
        <v>293.33333333333474</v>
      </c>
      <c r="S151" s="59">
        <f ca="1">AVERAGE(OFFSET($R$3,0,0,'Données projet'!$E$9+1,1))-AVERAGE(OFFSET($H$3,0,0,'Données projet'!$E$9+1,1))</f>
        <v>298.98869919374232</v>
      </c>
      <c r="T151" s="59">
        <f t="shared" si="142"/>
        <v>293.11447542333889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22.543417716415746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22.543417716415746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4.9658410716801891E-14</v>
      </c>
      <c r="AK151" s="13">
        <f t="shared" si="143"/>
        <v>8.0934058173791862E-13</v>
      </c>
      <c r="AL151" s="20">
        <f t="shared" si="112"/>
        <v>1.4960899118586383E-12</v>
      </c>
      <c r="AM151" s="59">
        <f t="shared" si="113"/>
        <v>293.33333333333479</v>
      </c>
      <c r="AN151" s="59">
        <f ca="1">AVERAGE(OFFSET($AM$3,0,0,'Données projet'!$E$10+1,1))-AVERAGE(OFFSET($H$3,0,0,'Données projet'!$E$10+1,1))</f>
        <v>321.36684354830828</v>
      </c>
      <c r="AO151" s="59">
        <f t="shared" si="144"/>
        <v>388.05195847800502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21.232743395845802</v>
      </c>
      <c r="AV151" s="21">
        <f>EXP(-LN(2)/25)*AV150+(1-EXP(-LN(2)/25))/(LN(2)/25)*Calculateur!AQ151*Calculateur!AS151*VLOOKUP('Données projet'!$B$10,Paramètres!$A$1:$I$89,3,0)*0.475*44/12</f>
        <v>6.2448979612342397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27.477641357080042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4.6111381379887463E-14</v>
      </c>
      <c r="P152" s="13">
        <f t="shared" si="141"/>
        <v>7.5804141040779151E-13</v>
      </c>
      <c r="Q152" s="20">
        <f t="shared" si="108"/>
        <v>1.4005661123635408E-12</v>
      </c>
      <c r="R152" s="59">
        <f t="shared" si="109"/>
        <v>293.33333333333474</v>
      </c>
      <c r="S152" s="59">
        <f ca="1">AVERAGE(OFFSET($R$3,0,0,'Données projet'!$E$9+1,1))-AVERAGE(OFFSET($H$3,0,0,'Données projet'!$E$9+1,1))</f>
        <v>298.98869919374232</v>
      </c>
      <c r="T152" s="59">
        <f t="shared" si="142"/>
        <v>293.11447542333889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22.101355045123928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22.101355045123928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4.9658410716801891E-14</v>
      </c>
      <c r="AK152" s="13">
        <f t="shared" si="143"/>
        <v>8.0934058173791862E-13</v>
      </c>
      <c r="AL152" s="20">
        <f t="shared" si="112"/>
        <v>1.4960899118586383E-12</v>
      </c>
      <c r="AM152" s="59">
        <f t="shared" si="113"/>
        <v>293.33333333333479</v>
      </c>
      <c r="AN152" s="59">
        <f ca="1">AVERAGE(OFFSET($AM$3,0,0,'Données projet'!$E$10+1,1))-AVERAGE(OFFSET($H$3,0,0,'Données projet'!$E$10+1,1))</f>
        <v>321.36684354830828</v>
      </c>
      <c r="AO152" s="59">
        <f t="shared" si="144"/>
        <v>388.05195847800502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20.816382248547963</v>
      </c>
      <c r="AV152" s="21">
        <f>EXP(-LN(2)/25)*AV151+(1-EXP(-LN(2)/25))/(LN(2)/25)*Calculateur!AQ152*Calculateur!AS152*VLOOKUP('Données projet'!$B$10,Paramètres!$A$1:$I$89,3,0)*0.475*44/12</f>
        <v>6.0741308980793782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26.890513146627342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4.6111381379887463E-14</v>
      </c>
      <c r="P153" s="13">
        <f t="shared" si="141"/>
        <v>7.5804141040779151E-13</v>
      </c>
      <c r="Q153" s="20">
        <f t="shared" si="108"/>
        <v>1.4005661123635408E-12</v>
      </c>
      <c r="R153" s="59">
        <f t="shared" si="109"/>
        <v>293.33333333333474</v>
      </c>
      <c r="S153" s="59">
        <f ca="1">AVERAGE(OFFSET($R$3,0,0,'Données projet'!$E$9+1,1))-AVERAGE(OFFSET($H$3,0,0,'Données projet'!$E$9+1,1))</f>
        <v>298.98869919374232</v>
      </c>
      <c r="T153" s="59">
        <f t="shared" si="142"/>
        <v>293.11447542333889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21.667960953184537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21.667960953184537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4.9658410716801891E-14</v>
      </c>
      <c r="AK153" s="13">
        <f t="shared" si="143"/>
        <v>8.0934058173791862E-13</v>
      </c>
      <c r="AL153" s="20">
        <f t="shared" si="112"/>
        <v>1.4960899118586383E-12</v>
      </c>
      <c r="AM153" s="59">
        <f t="shared" si="113"/>
        <v>293.33333333333479</v>
      </c>
      <c r="AN153" s="59">
        <f ca="1">AVERAGE(OFFSET($AM$3,0,0,'Données projet'!$E$10+1,1))-AVERAGE(OFFSET($H$3,0,0,'Données projet'!$E$10+1,1))</f>
        <v>321.36684354830828</v>
      </c>
      <c r="AO153" s="59">
        <f t="shared" si="144"/>
        <v>388.05195847800502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20.408185689393409</v>
      </c>
      <c r="AV153" s="21">
        <f>EXP(-LN(2)/25)*AV152+(1-EXP(-LN(2)/25))/(LN(2)/25)*Calculateur!AQ153*Calculateur!AS153*VLOOKUP('Données projet'!$B$10,Paramètres!$A$1:$I$89,3,0)*0.475*44/12</f>
        <v>5.9080334692467362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26.316219158640145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4.6111381379887463E-14</v>
      </c>
      <c r="P154" s="13">
        <f t="shared" si="141"/>
        <v>7.5804141040779151E-13</v>
      </c>
      <c r="Q154" s="20">
        <f t="shared" ref="Q154:Q203" si="162">(O154+P154)*0.475*44/12</f>
        <v>1.4005661123635408E-12</v>
      </c>
      <c r="R154" s="59">
        <f t="shared" si="109"/>
        <v>293.33333333333474</v>
      </c>
      <c r="S154" s="59">
        <f ca="1">AVERAGE(OFFSET($R$3,0,0,'Données projet'!$E$9+1,1))-AVERAGE(OFFSET($H$3,0,0,'Données projet'!$E$9+1,1))</f>
        <v>298.98869919374232</v>
      </c>
      <c r="T154" s="59">
        <f t="shared" si="142"/>
        <v>293.11447542333889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21.243065455043784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21.243065455043784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4.9658410716801891E-14</v>
      </c>
      <c r="AK154" s="13">
        <f t="shared" ref="AK154:AK203" si="164">EXP(-1.0587+0.8836*LN(AJ154)+0.284)</f>
        <v>8.0934058173791862E-13</v>
      </c>
      <c r="AL154" s="20">
        <f t="shared" ref="AL154:AL203" si="165">(AJ154+AK154)*0.475*44/12</f>
        <v>1.4960899118586383E-12</v>
      </c>
      <c r="AM154" s="59">
        <f t="shared" si="113"/>
        <v>293.33333333333479</v>
      </c>
      <c r="AN154" s="59">
        <f ca="1">AVERAGE(OFFSET($AM$3,0,0,'Données projet'!$E$10+1,1))-AVERAGE(OFFSET($H$3,0,0,'Données projet'!$E$10+1,1))</f>
        <v>321.36684354830828</v>
      </c>
      <c r="AO154" s="59">
        <f t="shared" si="144"/>
        <v>388.05195847800502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20.007993615788561</v>
      </c>
      <c r="AV154" s="21">
        <f>EXP(-LN(2)/25)*AV153+(1-EXP(-LN(2)/25))/(LN(2)/25)*Calculateur!AQ154*Calculateur!AS154*VLOOKUP('Données projet'!$B$10,Paramètres!$A$1:$I$89,3,0)*0.475*44/12</f>
        <v>5.7464779833402071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25.754471599128767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4.6111381379887463E-14</v>
      </c>
      <c r="P155" s="13">
        <f t="shared" si="141"/>
        <v>7.5804141040779151E-13</v>
      </c>
      <c r="Q155" s="20">
        <f t="shared" si="162"/>
        <v>1.4005661123635408E-12</v>
      </c>
      <c r="R155" s="59">
        <f t="shared" si="109"/>
        <v>293.33333333333474</v>
      </c>
      <c r="S155" s="59">
        <f ca="1">AVERAGE(OFFSET($R$3,0,0,'Données projet'!$E$9+1,1))-AVERAGE(OFFSET($H$3,0,0,'Données projet'!$E$9+1,1))</f>
        <v>298.98869919374232</v>
      </c>
      <c r="T155" s="59">
        <f t="shared" si="142"/>
        <v>293.11447542333889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20.826501898460908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20.826501898460908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4.9658410716801891E-14</v>
      </c>
      <c r="AK155" s="13">
        <f t="shared" si="164"/>
        <v>8.0934058173791862E-13</v>
      </c>
      <c r="AL155" s="20">
        <f t="shared" si="165"/>
        <v>1.4960899118586383E-12</v>
      </c>
      <c r="AM155" s="59">
        <f t="shared" si="113"/>
        <v>293.33333333333479</v>
      </c>
      <c r="AN155" s="59">
        <f ca="1">AVERAGE(OFFSET($AM$3,0,0,'Données projet'!$E$10+1,1))-AVERAGE(OFFSET($H$3,0,0,'Données projet'!$E$10+1,1))</f>
        <v>321.36684354830828</v>
      </c>
      <c r="AO155" s="59">
        <f t="shared" si="144"/>
        <v>388.05195847800502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19.61564906465404</v>
      </c>
      <c r="AV155" s="21">
        <f>EXP(-LN(2)/25)*AV154+(1-EXP(-LN(2)/25))/(LN(2)/25)*Calculateur!AQ155*Calculateur!AS155*VLOOKUP('Données projet'!$B$10,Paramètres!$A$1:$I$89,3,0)*0.475*44/12</f>
        <v>5.5893402406916257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25.204989305345666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4.6111381379887463E-14</v>
      </c>
      <c r="P156" s="13">
        <f t="shared" si="141"/>
        <v>7.5804141040779151E-13</v>
      </c>
      <c r="Q156" s="20">
        <f t="shared" si="162"/>
        <v>1.4005661123635408E-12</v>
      </c>
      <c r="R156" s="59">
        <f t="shared" si="109"/>
        <v>293.33333333333474</v>
      </c>
      <c r="S156" s="59">
        <f ca="1">AVERAGE(OFFSET($R$3,0,0,'Données projet'!$E$9+1,1))-AVERAGE(OFFSET($H$3,0,0,'Données projet'!$E$9+1,1))</f>
        <v>298.98869919374232</v>
      </c>
      <c r="T156" s="59">
        <f t="shared" si="142"/>
        <v>293.11447542333889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20.41810689914394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20.41810689914394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4.9658410716801891E-14</v>
      </c>
      <c r="AK156" s="13">
        <f t="shared" si="164"/>
        <v>8.0934058173791862E-13</v>
      </c>
      <c r="AL156" s="20">
        <f t="shared" si="165"/>
        <v>1.4960899118586383E-12</v>
      </c>
      <c r="AM156" s="59">
        <f t="shared" si="113"/>
        <v>293.33333333333479</v>
      </c>
      <c r="AN156" s="59">
        <f ca="1">AVERAGE(OFFSET($AM$3,0,0,'Données projet'!$E$10+1,1))-AVERAGE(OFFSET($H$3,0,0,'Données projet'!$E$10+1,1))</f>
        <v>321.36684354830828</v>
      </c>
      <c r="AO156" s="59">
        <f t="shared" si="144"/>
        <v>388.05195847800502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19.230998150860721</v>
      </c>
      <c r="AV156" s="21">
        <f>EXP(-LN(2)/25)*AV155+(1-EXP(-LN(2)/25))/(LN(2)/25)*Calculateur!AQ156*Calculateur!AS156*VLOOKUP('Données projet'!$B$10,Paramètres!$A$1:$I$89,3,0)*0.475*44/12</f>
        <v>5.4364994378792844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24.667497588740005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4.6111381379887463E-14</v>
      </c>
      <c r="P157" s="13">
        <f t="shared" si="141"/>
        <v>7.5804141040779151E-13</v>
      </c>
      <c r="Q157" s="20">
        <f t="shared" si="162"/>
        <v>1.4005661123635408E-12</v>
      </c>
      <c r="R157" s="59">
        <f t="shared" si="109"/>
        <v>293.33333333333474</v>
      </c>
      <c r="S157" s="59">
        <f ca="1">AVERAGE(OFFSET($R$3,0,0,'Données projet'!$E$9+1,1))-AVERAGE(OFFSET($H$3,0,0,'Données projet'!$E$9+1,1))</f>
        <v>298.98869919374232</v>
      </c>
      <c r="T157" s="59">
        <f t="shared" si="142"/>
        <v>293.11447542333889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20.017720276667223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20.017720276667223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4.9658410716801891E-14</v>
      </c>
      <c r="AK157" s="13">
        <f t="shared" si="164"/>
        <v>8.0934058173791862E-13</v>
      </c>
      <c r="AL157" s="20">
        <f t="shared" si="165"/>
        <v>1.4960899118586383E-12</v>
      </c>
      <c r="AM157" s="59">
        <f t="shared" si="113"/>
        <v>293.33333333333479</v>
      </c>
      <c r="AN157" s="59">
        <f ca="1">AVERAGE(OFFSET($AM$3,0,0,'Données projet'!$E$10+1,1))-AVERAGE(OFFSET($H$3,0,0,'Données projet'!$E$10+1,1))</f>
        <v>321.36684354830828</v>
      </c>
      <c r="AO157" s="59">
        <f t="shared" si="144"/>
        <v>388.05195847800502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18.853890006872998</v>
      </c>
      <c r="AV157" s="21">
        <f>EXP(-LN(2)/25)*AV156+(1-EXP(-LN(2)/25))/(LN(2)/25)*Calculateur!AQ157*Calculateur!AS157*VLOOKUP('Données projet'!$B$10,Paramètres!$A$1:$I$89,3,0)*0.475*44/12</f>
        <v>5.2878380748573948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24.141728081730392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4.6111381379887463E-14</v>
      </c>
      <c r="P158" s="13">
        <f t="shared" si="141"/>
        <v>7.5804141040779151E-13</v>
      </c>
      <c r="Q158" s="20">
        <f t="shared" si="162"/>
        <v>1.4005661123635408E-12</v>
      </c>
      <c r="R158" s="59">
        <f t="shared" si="109"/>
        <v>293.33333333333474</v>
      </c>
      <c r="S158" s="59">
        <f ca="1">AVERAGE(OFFSET($R$3,0,0,'Données projet'!$E$9+1,1))-AVERAGE(OFFSET($H$3,0,0,'Données projet'!$E$9+1,1))</f>
        <v>298.98869919374232</v>
      </c>
      <c r="T158" s="59">
        <f t="shared" si="142"/>
        <v>293.11447542333889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19.625184991645551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19.625184991645551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4.9658410716801891E-14</v>
      </c>
      <c r="AK158" s="13">
        <f t="shared" si="164"/>
        <v>8.0934058173791862E-13</v>
      </c>
      <c r="AL158" s="20">
        <f t="shared" si="165"/>
        <v>1.4960899118586383E-12</v>
      </c>
      <c r="AM158" s="59">
        <f t="shared" si="113"/>
        <v>293.33333333333479</v>
      </c>
      <c r="AN158" s="59">
        <f ca="1">AVERAGE(OFFSET($AM$3,0,0,'Données projet'!$E$10+1,1))-AVERAGE(OFFSET($H$3,0,0,'Données projet'!$E$10+1,1))</f>
        <v>321.36684354830828</v>
      </c>
      <c r="AO158" s="59">
        <f t="shared" si="144"/>
        <v>388.05195847800502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18.484176723575619</v>
      </c>
      <c r="AV158" s="21">
        <f>EXP(-LN(2)/25)*AV157+(1-EXP(-LN(2)/25))/(LN(2)/25)*Calculateur!AQ158*Calculateur!AS158*VLOOKUP('Données projet'!$B$10,Paramètres!$A$1:$I$89,3,0)*0.475*44/12</f>
        <v>5.1432418646251001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23.627418588200719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4.6111381379887463E-14</v>
      </c>
      <c r="P159" s="13">
        <f t="shared" si="141"/>
        <v>7.5804141040779151E-13</v>
      </c>
      <c r="Q159" s="20">
        <f t="shared" si="162"/>
        <v>1.4005661123635408E-12</v>
      </c>
      <c r="R159" s="59">
        <f t="shared" si="109"/>
        <v>293.33333333333474</v>
      </c>
      <c r="S159" s="59">
        <f ca="1">AVERAGE(OFFSET($R$3,0,0,'Données projet'!$E$9+1,1))-AVERAGE(OFFSET($H$3,0,0,'Données projet'!$E$9+1,1))</f>
        <v>298.98869919374232</v>
      </c>
      <c r="T159" s="59">
        <f t="shared" si="142"/>
        <v>293.11447542333889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19.240347084140268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19.240347084140268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4.9658410716801891E-14</v>
      </c>
      <c r="AK159" s="13">
        <f t="shared" si="164"/>
        <v>8.0934058173791862E-13</v>
      </c>
      <c r="AL159" s="20">
        <f t="shared" si="165"/>
        <v>1.4960899118586383E-12</v>
      </c>
      <c r="AM159" s="59">
        <f t="shared" si="113"/>
        <v>293.33333333333479</v>
      </c>
      <c r="AN159" s="59">
        <f ca="1">AVERAGE(OFFSET($AM$3,0,0,'Données projet'!$E$10+1,1))-AVERAGE(OFFSET($H$3,0,0,'Données projet'!$E$10+1,1))</f>
        <v>321.36684354830828</v>
      </c>
      <c r="AO159" s="59">
        <f t="shared" si="144"/>
        <v>388.05195847800502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18.121713292260864</v>
      </c>
      <c r="AV159" s="21">
        <f>EXP(-LN(2)/25)*AV158+(1-EXP(-LN(2)/25))/(LN(2)/25)*Calculateur!AQ159*Calculateur!AS159*VLOOKUP('Données projet'!$B$10,Paramètres!$A$1:$I$89,3,0)*0.475*44/12</f>
        <v>5.0025996453655921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23.124312937626456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4.6111381379887463E-14</v>
      </c>
      <c r="P160" s="13">
        <f t="shared" si="141"/>
        <v>7.5804141040779151E-13</v>
      </c>
      <c r="Q160" s="20">
        <f t="shared" si="162"/>
        <v>1.4005661123635408E-12</v>
      </c>
      <c r="R160" s="59">
        <f t="shared" si="109"/>
        <v>293.33333333333474</v>
      </c>
      <c r="S160" s="59">
        <f ca="1">AVERAGE(OFFSET($R$3,0,0,'Données projet'!$E$9+1,1))-AVERAGE(OFFSET($H$3,0,0,'Données projet'!$E$9+1,1))</f>
        <v>298.98869919374232</v>
      </c>
      <c r="T160" s="59">
        <f t="shared" si="142"/>
        <v>293.11447542333889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18.863055613273218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18.863055613273218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4.9658410716801891E-14</v>
      </c>
      <c r="AK160" s="13">
        <f t="shared" si="164"/>
        <v>8.0934058173791862E-13</v>
      </c>
      <c r="AL160" s="20">
        <f t="shared" si="165"/>
        <v>1.4960899118586383E-12</v>
      </c>
      <c r="AM160" s="59">
        <f t="shared" si="113"/>
        <v>293.33333333333479</v>
      </c>
      <c r="AN160" s="59">
        <f ca="1">AVERAGE(OFFSET($AM$3,0,0,'Données projet'!$E$10+1,1))-AVERAGE(OFFSET($H$3,0,0,'Données projet'!$E$10+1,1))</f>
        <v>321.36684354830828</v>
      </c>
      <c r="AO160" s="59">
        <f t="shared" si="144"/>
        <v>388.05195847800502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17.76635754775333</v>
      </c>
      <c r="AV160" s="21">
        <f>EXP(-LN(2)/25)*AV159+(1-EXP(-LN(2)/25))/(LN(2)/25)*Calculateur!AQ160*Calculateur!AS160*VLOOKUP('Données projet'!$B$10,Paramètres!$A$1:$I$89,3,0)*0.475*44/12</f>
        <v>4.8658032949877885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22.632160842741119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4.6111381379887463E-14</v>
      </c>
      <c r="P161" s="13">
        <f t="shared" si="141"/>
        <v>7.5804141040779151E-13</v>
      </c>
      <c r="Q161" s="20">
        <f t="shared" si="162"/>
        <v>1.4005661123635408E-12</v>
      </c>
      <c r="R161" s="59">
        <f t="shared" si="109"/>
        <v>293.33333333333474</v>
      </c>
      <c r="S161" s="59">
        <f ca="1">AVERAGE(OFFSET($R$3,0,0,'Données projet'!$E$9+1,1))-AVERAGE(OFFSET($H$3,0,0,'Données projet'!$E$9+1,1))</f>
        <v>298.98869919374232</v>
      </c>
      <c r="T161" s="59">
        <f t="shared" si="142"/>
        <v>293.11447542333889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18.493162598024799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18.493162598024799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4.9658410716801891E-14</v>
      </c>
      <c r="AK161" s="13">
        <f t="shared" si="164"/>
        <v>8.0934058173791862E-13</v>
      </c>
      <c r="AL161" s="20">
        <f t="shared" si="165"/>
        <v>1.4960899118586383E-12</v>
      </c>
      <c r="AM161" s="59">
        <f t="shared" si="113"/>
        <v>293.33333333333479</v>
      </c>
      <c r="AN161" s="59">
        <f ca="1">AVERAGE(OFFSET($AM$3,0,0,'Données projet'!$E$10+1,1))-AVERAGE(OFFSET($H$3,0,0,'Données projet'!$E$10+1,1))</f>
        <v>321.36684354830828</v>
      </c>
      <c r="AO161" s="59">
        <f t="shared" si="144"/>
        <v>388.05195847800502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17.417970112649986</v>
      </c>
      <c r="AV161" s="21">
        <f>EXP(-LN(2)/25)*AV160+(1-EXP(-LN(2)/25))/(LN(2)/25)*Calculateur!AQ161*Calculateur!AS161*VLOOKUP('Données projet'!$B$10,Paramètres!$A$1:$I$89,3,0)*0.475*44/12</f>
        <v>4.7327476480048727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22.150717760654857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4.6111381379887463E-14</v>
      </c>
      <c r="P162" s="13">
        <f t="shared" si="141"/>
        <v>7.5804141040779151E-13</v>
      </c>
      <c r="Q162" s="20">
        <f t="shared" si="162"/>
        <v>1.4005661123635408E-12</v>
      </c>
      <c r="R162" s="59">
        <f t="shared" si="109"/>
        <v>293.33333333333474</v>
      </c>
      <c r="S162" s="59">
        <f ca="1">AVERAGE(OFFSET($R$3,0,0,'Données projet'!$E$9+1,1))-AVERAGE(OFFSET($H$3,0,0,'Données projet'!$E$9+1,1))</f>
        <v>298.98869919374232</v>
      </c>
      <c r="T162" s="59">
        <f t="shared" si="142"/>
        <v>293.11447542333889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18.130522959192938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18.130522959192938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4.9658410716801891E-14</v>
      </c>
      <c r="AK162" s="13">
        <f t="shared" si="164"/>
        <v>8.0934058173791862E-13</v>
      </c>
      <c r="AL162" s="20">
        <f t="shared" si="165"/>
        <v>1.4960899118586383E-12</v>
      </c>
      <c r="AM162" s="59">
        <f t="shared" si="113"/>
        <v>293.33333333333479</v>
      </c>
      <c r="AN162" s="59">
        <f ca="1">AVERAGE(OFFSET($AM$3,0,0,'Données projet'!$E$10+1,1))-AVERAGE(OFFSET($H$3,0,0,'Données projet'!$E$10+1,1))</f>
        <v>321.36684354830828</v>
      </c>
      <c r="AO162" s="59">
        <f t="shared" si="144"/>
        <v>388.05195847800502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17.076414342653663</v>
      </c>
      <c r="AV162" s="21">
        <f>EXP(-LN(2)/25)*AV161+(1-EXP(-LN(2)/25))/(LN(2)/25)*Calculateur!AQ162*Calculateur!AS162*VLOOKUP('Données projet'!$B$10,Paramètres!$A$1:$I$89,3,0)*0.475*44/12</f>
        <v>4.6033304146857974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21.67974475733946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4.6111381379887463E-14</v>
      </c>
      <c r="P163" s="13">
        <f t="shared" si="141"/>
        <v>7.5804141040779151E-13</v>
      </c>
      <c r="Q163" s="20">
        <f t="shared" si="162"/>
        <v>1.4005661123635408E-12</v>
      </c>
      <c r="R163" s="59">
        <f t="shared" si="109"/>
        <v>293.33333333333474</v>
      </c>
      <c r="S163" s="59">
        <f ca="1">AVERAGE(OFFSET($R$3,0,0,'Données projet'!$E$9+1,1))-AVERAGE(OFFSET($H$3,0,0,'Données projet'!$E$9+1,1))</f>
        <v>298.98869919374232</v>
      </c>
      <c r="T163" s="59">
        <f t="shared" si="142"/>
        <v>293.11447542333889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17.774994462490231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17.774994462490231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4.9658410716801891E-14</v>
      </c>
      <c r="AK163" s="13">
        <f t="shared" si="164"/>
        <v>8.0934058173791862E-13</v>
      </c>
      <c r="AL163" s="20">
        <f t="shared" si="165"/>
        <v>1.4960899118586383E-12</v>
      </c>
      <c r="AM163" s="59">
        <f t="shared" si="113"/>
        <v>293.33333333333479</v>
      </c>
      <c r="AN163" s="59">
        <f ca="1">AVERAGE(OFFSET($AM$3,0,0,'Données projet'!$E$10+1,1))-AVERAGE(OFFSET($H$3,0,0,'Données projet'!$E$10+1,1))</f>
        <v>321.36684354830828</v>
      </c>
      <c r="AO163" s="59">
        <f t="shared" si="144"/>
        <v>388.05195847800502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16.741556272978521</v>
      </c>
      <c r="AV163" s="21">
        <f>EXP(-LN(2)/25)*AV162+(1-EXP(-LN(2)/25))/(LN(2)/25)*Calculateur!AQ163*Calculateur!AS163*VLOOKUP('Données projet'!$B$10,Paramètres!$A$1:$I$89,3,0)*0.475*44/12</f>
        <v>4.4774521024175886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21.219008375396108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4.6111381379887463E-14</v>
      </c>
      <c r="P164" s="13">
        <f t="shared" si="141"/>
        <v>7.5804141040779151E-13</v>
      </c>
      <c r="Q164" s="20">
        <f t="shared" si="162"/>
        <v>1.4005661123635408E-12</v>
      </c>
      <c r="R164" s="59">
        <f t="shared" si="109"/>
        <v>293.33333333333474</v>
      </c>
      <c r="S164" s="59">
        <f ca="1">AVERAGE(OFFSET($R$3,0,0,'Données projet'!$E$9+1,1))-AVERAGE(OFFSET($H$3,0,0,'Données projet'!$E$9+1,1))</f>
        <v>298.98869919374232</v>
      </c>
      <c r="T164" s="59">
        <f t="shared" si="142"/>
        <v>293.11447542333889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17.426437662756893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17.426437662756893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4.9658410716801891E-14</v>
      </c>
      <c r="AK164" s="13">
        <f t="shared" si="164"/>
        <v>8.0934058173791862E-13</v>
      </c>
      <c r="AL164" s="20">
        <f t="shared" si="165"/>
        <v>1.4960899118586383E-12</v>
      </c>
      <c r="AM164" s="59">
        <f t="shared" si="113"/>
        <v>293.33333333333479</v>
      </c>
      <c r="AN164" s="59">
        <f ca="1">AVERAGE(OFFSET($AM$3,0,0,'Données projet'!$E$10+1,1))-AVERAGE(OFFSET($H$3,0,0,'Données projet'!$E$10+1,1))</f>
        <v>321.36684354830828</v>
      </c>
      <c r="AO164" s="59">
        <f t="shared" si="144"/>
        <v>388.05195847800502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16.413264565806454</v>
      </c>
      <c r="AV164" s="21">
        <f>EXP(-LN(2)/25)*AV163+(1-EXP(-LN(2)/25))/(LN(2)/25)*Calculateur!AQ164*Calculateur!AS164*VLOOKUP('Données projet'!$B$10,Paramètres!$A$1:$I$89,3,0)*0.475*44/12</f>
        <v>4.3550159392180072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20.76828050502446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4.6111381379887463E-14</v>
      </c>
      <c r="P165" s="13">
        <f t="shared" si="141"/>
        <v>7.5804141040779151E-13</v>
      </c>
      <c r="Q165" s="20">
        <f t="shared" si="162"/>
        <v>1.4005661123635408E-12</v>
      </c>
      <c r="R165" s="59">
        <f t="shared" si="109"/>
        <v>293.33333333333474</v>
      </c>
      <c r="S165" s="59">
        <f ca="1">AVERAGE(OFFSET($R$3,0,0,'Données projet'!$E$9+1,1))-AVERAGE(OFFSET($H$3,0,0,'Données projet'!$E$9+1,1))</f>
        <v>298.98869919374232</v>
      </c>
      <c r="T165" s="59">
        <f t="shared" si="142"/>
        <v>293.11447542333889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17.084715849267671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17.084715849267671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4.9658410716801891E-14</v>
      </c>
      <c r="AK165" s="13">
        <f t="shared" si="164"/>
        <v>8.0934058173791862E-13</v>
      </c>
      <c r="AL165" s="20">
        <f t="shared" si="165"/>
        <v>1.4960899118586383E-12</v>
      </c>
      <c r="AM165" s="59">
        <f t="shared" si="113"/>
        <v>293.33333333333479</v>
      </c>
      <c r="AN165" s="59">
        <f ca="1">AVERAGE(OFFSET($AM$3,0,0,'Données projet'!$E$10+1,1))-AVERAGE(OFFSET($H$3,0,0,'Données projet'!$E$10+1,1))</f>
        <v>321.36684354830828</v>
      </c>
      <c r="AO165" s="59">
        <f t="shared" si="144"/>
        <v>388.05195847800502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16.091410458773861</v>
      </c>
      <c r="AV165" s="21">
        <f>EXP(-LN(2)/25)*AV164+(1-EXP(-LN(2)/25))/(LN(2)/25)*Calculateur!AQ165*Calculateur!AS165*VLOOKUP('Données projet'!$B$10,Paramètres!$A$1:$I$89,3,0)*0.475*44/12</f>
        <v>4.2359277993397564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20.327338258113617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4.6111381379887463E-14</v>
      </c>
      <c r="P166" s="13">
        <f t="shared" si="141"/>
        <v>7.5804141040779151E-13</v>
      </c>
      <c r="Q166" s="20">
        <f t="shared" si="162"/>
        <v>1.4005661123635408E-12</v>
      </c>
      <c r="R166" s="59">
        <f t="shared" si="109"/>
        <v>293.33333333333474</v>
      </c>
      <c r="S166" s="59">
        <f ca="1">AVERAGE(OFFSET($R$3,0,0,'Données projet'!$E$9+1,1))-AVERAGE(OFFSET($H$3,0,0,'Données projet'!$E$9+1,1))</f>
        <v>298.98869919374232</v>
      </c>
      <c r="T166" s="59">
        <f t="shared" si="142"/>
        <v>293.11447542333889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16.749694992111245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16.749694992111245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4.9658410716801891E-14</v>
      </c>
      <c r="AK166" s="13">
        <f t="shared" si="164"/>
        <v>8.0934058173791862E-13</v>
      </c>
      <c r="AL166" s="20">
        <f t="shared" si="165"/>
        <v>1.4960899118586383E-12</v>
      </c>
      <c r="AM166" s="59">
        <f t="shared" si="113"/>
        <v>293.33333333333479</v>
      </c>
      <c r="AN166" s="59">
        <f ca="1">AVERAGE(OFFSET($AM$3,0,0,'Données projet'!$E$10+1,1))-AVERAGE(OFFSET($H$3,0,0,'Données projet'!$E$10+1,1))</f>
        <v>321.36684354830828</v>
      </c>
      <c r="AO166" s="59">
        <f t="shared" si="144"/>
        <v>388.05195847800502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15.775867714468555</v>
      </c>
      <c r="AV166" s="21">
        <f>EXP(-LN(2)/25)*AV165+(1-EXP(-LN(2)/25))/(LN(2)/25)*Calculateur!AQ166*Calculateur!AS166*VLOOKUP('Données projet'!$B$10,Paramètres!$A$1:$I$89,3,0)*0.475*44/12</f>
        <v>4.1200961309090491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19.895963845377604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4.6111381379887463E-14</v>
      </c>
      <c r="P167" s="13">
        <f t="shared" si="141"/>
        <v>7.5804141040779151E-13</v>
      </c>
      <c r="Q167" s="20">
        <f t="shared" si="162"/>
        <v>1.4005661123635408E-12</v>
      </c>
      <c r="R167" s="59">
        <f t="shared" si="109"/>
        <v>293.33333333333474</v>
      </c>
      <c r="S167" s="59">
        <f ca="1">AVERAGE(OFFSET($R$3,0,0,'Données projet'!$E$9+1,1))-AVERAGE(OFFSET($H$3,0,0,'Données projet'!$E$9+1,1))</f>
        <v>298.98869919374232</v>
      </c>
      <c r="T167" s="59">
        <f t="shared" si="142"/>
        <v>293.11447542333889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16.421243689621111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16.421243689621111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4.9658410716801891E-14</v>
      </c>
      <c r="AK167" s="13">
        <f t="shared" si="164"/>
        <v>8.0934058173791862E-13</v>
      </c>
      <c r="AL167" s="20">
        <f t="shared" si="165"/>
        <v>1.4960899118586383E-12</v>
      </c>
      <c r="AM167" s="59">
        <f t="shared" si="113"/>
        <v>293.33333333333479</v>
      </c>
      <c r="AN167" s="59">
        <f ca="1">AVERAGE(OFFSET($AM$3,0,0,'Données projet'!$E$10+1,1))-AVERAGE(OFFSET($H$3,0,0,'Données projet'!$E$10+1,1))</f>
        <v>321.36684354830828</v>
      </c>
      <c r="AO167" s="59">
        <f t="shared" si="144"/>
        <v>388.05195847800502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15.466512570917006</v>
      </c>
      <c r="AV167" s="21">
        <f>EXP(-LN(2)/25)*AV166+(1-EXP(-LN(2)/25))/(LN(2)/25)*Calculateur!AQ167*Calculateur!AS167*VLOOKUP('Données projet'!$B$10,Paramètres!$A$1:$I$89,3,0)*0.475*44/12</f>
        <v>4.0074318855429025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19.473944456459908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4.6111381379887463E-14</v>
      </c>
      <c r="P168" s="13">
        <f t="shared" si="141"/>
        <v>7.5804141040779151E-13</v>
      </c>
      <c r="Q168" s="20">
        <f t="shared" si="162"/>
        <v>1.4005661123635408E-12</v>
      </c>
      <c r="R168" s="59">
        <f t="shared" si="109"/>
        <v>293.33333333333474</v>
      </c>
      <c r="S168" s="59">
        <f ca="1">AVERAGE(OFFSET($R$3,0,0,'Données projet'!$E$9+1,1))-AVERAGE(OFFSET($H$3,0,0,'Données projet'!$E$9+1,1))</f>
        <v>298.98869919374232</v>
      </c>
      <c r="T168" s="59">
        <f t="shared" si="142"/>
        <v>293.11447542333889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16.099233116837297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16.099233116837297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4.9658410716801891E-14</v>
      </c>
      <c r="AK168" s="13">
        <f t="shared" si="164"/>
        <v>8.0934058173791862E-13</v>
      </c>
      <c r="AL168" s="20">
        <f t="shared" si="165"/>
        <v>1.4960899118586383E-12</v>
      </c>
      <c r="AM168" s="59">
        <f t="shared" si="113"/>
        <v>293.33333333333479</v>
      </c>
      <c r="AN168" s="59">
        <f ca="1">AVERAGE(OFFSET($AM$3,0,0,'Données projet'!$E$10+1,1))-AVERAGE(OFFSET($H$3,0,0,'Données projet'!$E$10+1,1))</f>
        <v>321.36684354830828</v>
      </c>
      <c r="AO168" s="59">
        <f t="shared" si="144"/>
        <v>388.05195847800502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15.163223693042497</v>
      </c>
      <c r="AV168" s="21">
        <f>EXP(-LN(2)/25)*AV167+(1-EXP(-LN(2)/25))/(LN(2)/25)*Calculateur!AQ168*Calculateur!AS168*VLOOKUP('Données projet'!$B$10,Paramètres!$A$1:$I$89,3,0)*0.475*44/12</f>
        <v>3.8978484498910482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19.061072142933543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4.6111381379887463E-14</v>
      </c>
      <c r="P169" s="13">
        <f t="shared" si="141"/>
        <v>7.5804141040779151E-13</v>
      </c>
      <c r="Q169" s="20">
        <f t="shared" si="162"/>
        <v>1.4005661123635408E-12</v>
      </c>
      <c r="R169" s="59">
        <f t="shared" si="109"/>
        <v>293.33333333333474</v>
      </c>
      <c r="S169" s="59">
        <f ca="1">AVERAGE(OFFSET($R$3,0,0,'Données projet'!$E$9+1,1))-AVERAGE(OFFSET($H$3,0,0,'Données projet'!$E$9+1,1))</f>
        <v>298.98869919374232</v>
      </c>
      <c r="T169" s="59">
        <f t="shared" si="142"/>
        <v>293.11447542333889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15.783536974978718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15.783536974978718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4.9658410716801891E-14</v>
      </c>
      <c r="AK169" s="13">
        <f t="shared" si="164"/>
        <v>8.0934058173791862E-13</v>
      </c>
      <c r="AL169" s="20">
        <f t="shared" si="165"/>
        <v>1.4960899118586383E-12</v>
      </c>
      <c r="AM169" s="59">
        <f t="shared" si="113"/>
        <v>293.33333333333479</v>
      </c>
      <c r="AN169" s="59">
        <f ca="1">AVERAGE(OFFSET($AM$3,0,0,'Données projet'!$E$10+1,1))-AVERAGE(OFFSET($H$3,0,0,'Données projet'!$E$10+1,1))</f>
        <v>321.36684354830828</v>
      </c>
      <c r="AO169" s="59">
        <f t="shared" si="144"/>
        <v>388.05195847800502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14.865882125075156</v>
      </c>
      <c r="AV169" s="21">
        <f>EXP(-LN(2)/25)*AV168+(1-EXP(-LN(2)/25))/(LN(2)/25)*Calculateur!AQ169*Calculateur!AS169*VLOOKUP('Données projet'!$B$10,Paramètres!$A$1:$I$89,3,0)*0.475*44/12</f>
        <v>3.7912615790498361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18.657143704124991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4.6111381379887463E-14</v>
      </c>
      <c r="P170" s="13">
        <f t="shared" si="141"/>
        <v>7.5804141040779151E-13</v>
      </c>
      <c r="Q170" s="20">
        <f t="shared" si="162"/>
        <v>1.4005661123635408E-12</v>
      </c>
      <c r="R170" s="59">
        <f t="shared" si="109"/>
        <v>293.33333333333474</v>
      </c>
      <c r="S170" s="59">
        <f ca="1">AVERAGE(OFFSET($R$3,0,0,'Données projet'!$E$9+1,1))-AVERAGE(OFFSET($H$3,0,0,'Données projet'!$E$9+1,1))</f>
        <v>298.98869919374232</v>
      </c>
      <c r="T170" s="59">
        <f t="shared" si="142"/>
        <v>293.11447542333889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15.474031441906352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15.474031441906352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4.9658410716801891E-14</v>
      </c>
      <c r="AK170" s="13">
        <f t="shared" si="164"/>
        <v>8.0934058173791862E-13</v>
      </c>
      <c r="AL170" s="20">
        <f t="shared" si="165"/>
        <v>1.4960899118586383E-12</v>
      </c>
      <c r="AM170" s="59">
        <f t="shared" si="113"/>
        <v>293.33333333333479</v>
      </c>
      <c r="AN170" s="59">
        <f ca="1">AVERAGE(OFFSET($AM$3,0,0,'Données projet'!$E$10+1,1))-AVERAGE(OFFSET($H$3,0,0,'Données projet'!$E$10+1,1))</f>
        <v>321.36684354830828</v>
      </c>
      <c r="AO170" s="59">
        <f t="shared" si="144"/>
        <v>388.05195847800502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14.574371243895207</v>
      </c>
      <c r="AV170" s="21">
        <f>EXP(-LN(2)/25)*AV169+(1-EXP(-LN(2)/25))/(LN(2)/25)*Calculateur!AQ170*Calculateur!AS170*VLOOKUP('Données projet'!$B$10,Paramètres!$A$1:$I$89,3,0)*0.475*44/12</f>
        <v>3.687589331796937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18.261960575692143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4.6111381379887463E-14</v>
      </c>
      <c r="P171" s="13">
        <f t="shared" si="141"/>
        <v>7.5804141040779151E-13</v>
      </c>
      <c r="Q171" s="20">
        <f t="shared" si="162"/>
        <v>1.4005661123635408E-12</v>
      </c>
      <c r="R171" s="59">
        <f t="shared" si="109"/>
        <v>293.33333333333474</v>
      </c>
      <c r="S171" s="59">
        <f ca="1">AVERAGE(OFFSET($R$3,0,0,'Données projet'!$E$9+1,1))-AVERAGE(OFFSET($H$3,0,0,'Données projet'!$E$9+1,1))</f>
        <v>298.98869919374232</v>
      </c>
      <c r="T171" s="59">
        <f t="shared" si="142"/>
        <v>293.11447542333889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15.170595123557801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15.170595123557801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4.9658410716801891E-14</v>
      </c>
      <c r="AK171" s="13">
        <f t="shared" si="164"/>
        <v>8.0934058173791862E-13</v>
      </c>
      <c r="AL171" s="20">
        <f t="shared" si="165"/>
        <v>1.4960899118586383E-12</v>
      </c>
      <c r="AM171" s="59">
        <f t="shared" si="113"/>
        <v>293.33333333333479</v>
      </c>
      <c r="AN171" s="59">
        <f ca="1">AVERAGE(OFFSET($AM$3,0,0,'Données projet'!$E$10+1,1))-AVERAGE(OFFSET($H$3,0,0,'Données projet'!$E$10+1,1))</f>
        <v>321.36684354830828</v>
      </c>
      <c r="AO171" s="59">
        <f t="shared" si="144"/>
        <v>388.05195847800502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14.288576713291118</v>
      </c>
      <c r="AV171" s="21">
        <f>EXP(-LN(2)/25)*AV170+(1-EXP(-LN(2)/25))/(LN(2)/25)*Calculateur!AQ171*Calculateur!AS171*VLOOKUP('Données projet'!$B$10,Paramètres!$A$1:$I$89,3,0)*0.475*44/12</f>
        <v>3.5867520075970551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17.875328720888174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4.6111381379887463E-14</v>
      </c>
      <c r="P172" s="13">
        <f t="shared" si="141"/>
        <v>7.5804141040779151E-13</v>
      </c>
      <c r="Q172" s="20">
        <f t="shared" si="162"/>
        <v>1.4005661123635408E-12</v>
      </c>
      <c r="R172" s="59">
        <f t="shared" si="109"/>
        <v>293.33333333333474</v>
      </c>
      <c r="S172" s="59">
        <f ca="1">AVERAGE(OFFSET($R$3,0,0,'Données projet'!$E$9+1,1))-AVERAGE(OFFSET($H$3,0,0,'Données projet'!$E$9+1,1))</f>
        <v>298.98869919374232</v>
      </c>
      <c r="T172" s="59">
        <f t="shared" si="142"/>
        <v>293.11447542333889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14.873109006334186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14.873109006334186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4.9658410716801891E-14</v>
      </c>
      <c r="AK172" s="13">
        <f t="shared" si="164"/>
        <v>8.0934058173791862E-13</v>
      </c>
      <c r="AL172" s="20">
        <f t="shared" si="165"/>
        <v>1.4960899118586383E-12</v>
      </c>
      <c r="AM172" s="59">
        <f t="shared" si="113"/>
        <v>293.33333333333479</v>
      </c>
      <c r="AN172" s="59">
        <f ca="1">AVERAGE(OFFSET($AM$3,0,0,'Données projet'!$E$10+1,1))-AVERAGE(OFFSET($H$3,0,0,'Données projet'!$E$10+1,1))</f>
        <v>321.36684354830828</v>
      </c>
      <c r="AO172" s="59">
        <f t="shared" si="144"/>
        <v>388.05195847800502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14.008386439114723</v>
      </c>
      <c r="AV172" s="21">
        <f>EXP(-LN(2)/25)*AV171+(1-EXP(-LN(2)/25))/(LN(2)/25)*Calculateur!AQ172*Calculateur!AS172*VLOOKUP('Données projet'!$B$10,Paramètres!$A$1:$I$89,3,0)*0.475*44/12</f>
        <v>3.4886720853302231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17.497058524444945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4.6111381379887463E-14</v>
      </c>
      <c r="P173" s="13">
        <f t="shared" si="141"/>
        <v>7.5804141040779151E-13</v>
      </c>
      <c r="Q173" s="20">
        <f t="shared" si="162"/>
        <v>1.4005661123635408E-12</v>
      </c>
      <c r="R173" s="59">
        <f t="shared" si="109"/>
        <v>293.33333333333474</v>
      </c>
      <c r="S173" s="59">
        <f ca="1">AVERAGE(OFFSET($R$3,0,0,'Données projet'!$E$9+1,1))-AVERAGE(OFFSET($H$3,0,0,'Données projet'!$E$9+1,1))</f>
        <v>298.98869919374232</v>
      </c>
      <c r="T173" s="59">
        <f t="shared" si="142"/>
        <v>293.11447542333889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14.58145641042071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14.58145641042071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4.9658410716801891E-14</v>
      </c>
      <c r="AK173" s="13">
        <f t="shared" si="164"/>
        <v>8.0934058173791862E-13</v>
      </c>
      <c r="AL173" s="20">
        <f t="shared" si="165"/>
        <v>1.4960899118586383E-12</v>
      </c>
      <c r="AM173" s="59">
        <f t="shared" si="113"/>
        <v>293.33333333333479</v>
      </c>
      <c r="AN173" s="59">
        <f ca="1">AVERAGE(OFFSET($AM$3,0,0,'Données projet'!$E$10+1,1))-AVERAGE(OFFSET($H$3,0,0,'Données projet'!$E$10+1,1))</f>
        <v>321.36684354830828</v>
      </c>
      <c r="AO173" s="59">
        <f t="shared" si="144"/>
        <v>388.05195847800502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13.733690525315735</v>
      </c>
      <c r="AV173" s="21">
        <f>EXP(-LN(2)/25)*AV172+(1-EXP(-LN(2)/25))/(LN(2)/25)*Calculateur!AQ173*Calculateur!AS173*VLOOKUP('Données projet'!$B$10,Paramètres!$A$1:$I$89,3,0)*0.475*44/12</f>
        <v>3.3932741636955766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17.126964689011313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4.6111381379887463E-14</v>
      </c>
      <c r="P174" s="13">
        <f t="shared" si="141"/>
        <v>7.5804141040779151E-13</v>
      </c>
      <c r="Q174" s="20">
        <f t="shared" si="162"/>
        <v>1.4005661123635408E-12</v>
      </c>
      <c r="R174" s="59">
        <f t="shared" si="109"/>
        <v>293.33333333333474</v>
      </c>
      <c r="S174" s="59">
        <f ca="1">AVERAGE(OFFSET($R$3,0,0,'Données projet'!$E$9+1,1))-AVERAGE(OFFSET($H$3,0,0,'Données projet'!$E$9+1,1))</f>
        <v>298.98869919374232</v>
      </c>
      <c r="T174" s="59">
        <f t="shared" si="142"/>
        <v>293.11447542333889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14.295522944022579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14.295522944022579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4.9658410716801891E-14</v>
      </c>
      <c r="AK174" s="13">
        <f t="shared" si="164"/>
        <v>8.0934058173791862E-13</v>
      </c>
      <c r="AL174" s="20">
        <f t="shared" si="165"/>
        <v>1.4960899118586383E-12</v>
      </c>
      <c r="AM174" s="59">
        <f t="shared" si="113"/>
        <v>293.33333333333479</v>
      </c>
      <c r="AN174" s="59">
        <f ca="1">AVERAGE(OFFSET($AM$3,0,0,'Données projet'!$E$10+1,1))-AVERAGE(OFFSET($H$3,0,0,'Données projet'!$E$10+1,1))</f>
        <v>321.36684354830828</v>
      </c>
      <c r="AO174" s="59">
        <f t="shared" si="144"/>
        <v>388.05195847800502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13.464381230838381</v>
      </c>
      <c r="AV174" s="21">
        <f>EXP(-LN(2)/25)*AV173+(1-EXP(-LN(2)/25))/(LN(2)/25)*Calculateur!AQ174*Calculateur!AS174*VLOOKUP('Données projet'!$B$10,Paramètres!$A$1:$I$89,3,0)*0.475*44/12</f>
        <v>3.3004849032447883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16.764866134083171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4.6111381379887463E-14</v>
      </c>
      <c r="P175" s="13">
        <f t="shared" si="141"/>
        <v>7.5804141040779151E-13</v>
      </c>
      <c r="Q175" s="20">
        <f t="shared" si="162"/>
        <v>1.4005661123635408E-12</v>
      </c>
      <c r="R175" s="59">
        <f t="shared" si="109"/>
        <v>293.33333333333474</v>
      </c>
      <c r="S175" s="59">
        <f ca="1">AVERAGE(OFFSET($R$3,0,0,'Données projet'!$E$9+1,1))-AVERAGE(OFFSET($H$3,0,0,'Données projet'!$E$9+1,1))</f>
        <v>298.98869919374232</v>
      </c>
      <c r="T175" s="59">
        <f t="shared" si="142"/>
        <v>293.11447542333889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14.015196458498322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14.015196458498322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4.9658410716801891E-14</v>
      </c>
      <c r="AK175" s="13">
        <f t="shared" si="164"/>
        <v>8.0934058173791862E-13</v>
      </c>
      <c r="AL175" s="20">
        <f t="shared" si="165"/>
        <v>1.4960899118586383E-12</v>
      </c>
      <c r="AM175" s="59">
        <f t="shared" si="113"/>
        <v>293.33333333333479</v>
      </c>
      <c r="AN175" s="59">
        <f ca="1">AVERAGE(OFFSET($AM$3,0,0,'Données projet'!$E$10+1,1))-AVERAGE(OFFSET($H$3,0,0,'Données projet'!$E$10+1,1))</f>
        <v>321.36684354830828</v>
      </c>
      <c r="AO175" s="59">
        <f t="shared" si="144"/>
        <v>388.05195847800502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13.200352927363278</v>
      </c>
      <c r="AV175" s="21">
        <f>EXP(-LN(2)/25)*AV174+(1-EXP(-LN(2)/25))/(LN(2)/25)*Calculateur!AQ175*Calculateur!AS175*VLOOKUP('Données projet'!$B$10,Paramètres!$A$1:$I$89,3,0)*0.475*44/12</f>
        <v>3.210232970000602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16.41058589736388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4.6111381379887463E-14</v>
      </c>
      <c r="P176" s="13">
        <f t="shared" si="141"/>
        <v>7.5804141040779151E-13</v>
      </c>
      <c r="Q176" s="20">
        <f t="shared" si="162"/>
        <v>1.4005661123635408E-12</v>
      </c>
      <c r="R176" s="59">
        <f t="shared" si="109"/>
        <v>293.33333333333474</v>
      </c>
      <c r="S176" s="59">
        <f ca="1">AVERAGE(OFFSET($R$3,0,0,'Données projet'!$E$9+1,1))-AVERAGE(OFFSET($H$3,0,0,'Données projet'!$E$9+1,1))</f>
        <v>298.98869919374232</v>
      </c>
      <c r="T176" s="59">
        <f t="shared" si="142"/>
        <v>293.11447542333889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13.740367004372922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13.740367004372922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4.9658410716801891E-14</v>
      </c>
      <c r="AK176" s="13">
        <f t="shared" si="164"/>
        <v>8.0934058173791862E-13</v>
      </c>
      <c r="AL176" s="20">
        <f t="shared" si="165"/>
        <v>1.4960899118586383E-12</v>
      </c>
      <c r="AM176" s="59">
        <f t="shared" si="113"/>
        <v>293.33333333333479</v>
      </c>
      <c r="AN176" s="59">
        <f ca="1">AVERAGE(OFFSET($AM$3,0,0,'Données projet'!$E$10+1,1))-AVERAGE(OFFSET($H$3,0,0,'Données projet'!$E$10+1,1))</f>
        <v>321.36684354830828</v>
      </c>
      <c r="AO176" s="59">
        <f t="shared" si="144"/>
        <v>388.05195847800502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12.941502057877958</v>
      </c>
      <c r="AV176" s="21">
        <f>EXP(-LN(2)/25)*AV175+(1-EXP(-LN(2)/25))/(LN(2)/25)*Calculateur!AQ176*Calculateur!AS176*VLOOKUP('Données projet'!$B$10,Paramètres!$A$1:$I$89,3,0)*0.475*44/12</f>
        <v>3.1224489806171207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16.06395103849508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4.6111381379887463E-14</v>
      </c>
      <c r="P177" s="13">
        <f t="shared" si="141"/>
        <v>7.5804141040779151E-13</v>
      </c>
      <c r="Q177" s="20">
        <f t="shared" si="162"/>
        <v>1.4005661123635408E-12</v>
      </c>
      <c r="R177" s="59">
        <f t="shared" si="109"/>
        <v>293.33333333333474</v>
      </c>
      <c r="S177" s="59">
        <f ca="1">AVERAGE(OFFSET($R$3,0,0,'Données projet'!$E$9+1,1))-AVERAGE(OFFSET($H$3,0,0,'Données projet'!$E$9+1,1))</f>
        <v>298.98869919374232</v>
      </c>
      <c r="T177" s="59">
        <f t="shared" si="142"/>
        <v>293.11447542333889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13.470926788213507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13.470926788213507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4.9658410716801891E-14</v>
      </c>
      <c r="AK177" s="13">
        <f t="shared" si="164"/>
        <v>8.0934058173791862E-13</v>
      </c>
      <c r="AL177" s="20">
        <f t="shared" si="165"/>
        <v>1.4960899118586383E-12</v>
      </c>
      <c r="AM177" s="59">
        <f t="shared" si="113"/>
        <v>293.33333333333479</v>
      </c>
      <c r="AN177" s="59">
        <f ca="1">AVERAGE(OFFSET($AM$3,0,0,'Données projet'!$E$10+1,1))-AVERAGE(OFFSET($H$3,0,0,'Données projet'!$E$10+1,1))</f>
        <v>321.36684354830828</v>
      </c>
      <c r="AO177" s="59">
        <f t="shared" si="144"/>
        <v>388.05195847800502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12.687727096059804</v>
      </c>
      <c r="AV177" s="21">
        <f>EXP(-LN(2)/25)*AV176+(1-EXP(-LN(2)/25))/(LN(2)/25)*Calculateur!AQ177*Calculateur!AS177*VLOOKUP('Données projet'!$B$10,Paramètres!$A$1:$I$89,3,0)*0.475*44/12</f>
        <v>3.03706544903969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15.724792545099493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4.6111381379887463E-14</v>
      </c>
      <c r="P178" s="13">
        <f t="shared" si="141"/>
        <v>7.5804141040779151E-13</v>
      </c>
      <c r="Q178" s="20">
        <f t="shared" si="162"/>
        <v>1.4005661123635408E-12</v>
      </c>
      <c r="R178" s="59">
        <f t="shared" si="109"/>
        <v>293.33333333333474</v>
      </c>
      <c r="S178" s="59">
        <f ca="1">AVERAGE(OFFSET($R$3,0,0,'Données projet'!$E$9+1,1))-AVERAGE(OFFSET($H$3,0,0,'Données projet'!$E$9+1,1))</f>
        <v>298.98869919374232</v>
      </c>
      <c r="T178" s="59">
        <f t="shared" si="142"/>
        <v>293.11447542333889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13.206770130350673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13.206770130350673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4.9658410716801891E-14</v>
      </c>
      <c r="AK178" s="13">
        <f t="shared" si="164"/>
        <v>8.0934058173791862E-13</v>
      </c>
      <c r="AL178" s="20">
        <f t="shared" si="165"/>
        <v>1.4960899118586383E-12</v>
      </c>
      <c r="AM178" s="59">
        <f t="shared" si="113"/>
        <v>293.33333333333479</v>
      </c>
      <c r="AN178" s="59">
        <f ca="1">AVERAGE(OFFSET($AM$3,0,0,'Données projet'!$E$10+1,1))-AVERAGE(OFFSET($H$3,0,0,'Données projet'!$E$10+1,1))</f>
        <v>321.36684354830828</v>
      </c>
      <c r="AO178" s="59">
        <f t="shared" si="144"/>
        <v>388.05195847800502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12.438928506455461</v>
      </c>
      <c r="AV178" s="21">
        <f>EXP(-LN(2)/25)*AV177+(1-EXP(-LN(2)/25))/(LN(2)/25)*Calculateur!AQ178*Calculateur!AS178*VLOOKUP('Données projet'!$B$10,Paramètres!$A$1:$I$89,3,0)*0.475*44/12</f>
        <v>2.954016734623369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15.392945241078831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4.6111381379887463E-14</v>
      </c>
      <c r="P179" s="13">
        <f t="shared" si="141"/>
        <v>7.5804141040779151E-13</v>
      </c>
      <c r="Q179" s="20">
        <f t="shared" si="162"/>
        <v>1.4005661123635408E-12</v>
      </c>
      <c r="R179" s="59">
        <f t="shared" si="109"/>
        <v>293.33333333333474</v>
      </c>
      <c r="S179" s="59">
        <f ca="1">AVERAGE(OFFSET($R$3,0,0,'Données projet'!$E$9+1,1))-AVERAGE(OFFSET($H$3,0,0,'Données projet'!$E$9+1,1))</f>
        <v>298.98869919374232</v>
      </c>
      <c r="T179" s="59">
        <f t="shared" si="142"/>
        <v>293.11447542333889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12.947793423428879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12.947793423428879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4.9658410716801891E-14</v>
      </c>
      <c r="AK179" s="13">
        <f t="shared" si="164"/>
        <v>8.0934058173791862E-13</v>
      </c>
      <c r="AL179" s="20">
        <f t="shared" si="165"/>
        <v>1.4960899118586383E-12</v>
      </c>
      <c r="AM179" s="59">
        <f t="shared" si="113"/>
        <v>293.33333333333479</v>
      </c>
      <c r="AN179" s="59">
        <f ca="1">AVERAGE(OFFSET($AM$3,0,0,'Données projet'!$E$10+1,1))-AVERAGE(OFFSET($H$3,0,0,'Données projet'!$E$10+1,1))</f>
        <v>321.36684354830828</v>
      </c>
      <c r="AO179" s="59">
        <f t="shared" si="144"/>
        <v>388.05195847800502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12.195008705441104</v>
      </c>
      <c r="AV179" s="21">
        <f>EXP(-LN(2)/25)*AV178+(1-EXP(-LN(2)/25))/(LN(2)/25)*Calculateur!AQ179*Calculateur!AS179*VLOOKUP('Données projet'!$B$10,Paramètres!$A$1:$I$89,3,0)*0.475*44/12</f>
        <v>2.8732389916701044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15.068247697111209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4.6111381379887463E-14</v>
      </c>
      <c r="P180" s="13">
        <f t="shared" si="141"/>
        <v>7.5804141040779151E-13</v>
      </c>
      <c r="Q180" s="20">
        <f t="shared" si="162"/>
        <v>1.4005661123635408E-12</v>
      </c>
      <c r="R180" s="59">
        <f t="shared" si="109"/>
        <v>293.33333333333474</v>
      </c>
      <c r="S180" s="59">
        <f ca="1">AVERAGE(OFFSET($R$3,0,0,'Données projet'!$E$9+1,1))-AVERAGE(OFFSET($H$3,0,0,'Données projet'!$E$9+1,1))</f>
        <v>298.98869919374232</v>
      </c>
      <c r="T180" s="59">
        <f t="shared" si="142"/>
        <v>293.11447542333889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12.693895091769626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12.693895091769626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4.9658410716801891E-14</v>
      </c>
      <c r="AK180" s="13">
        <f t="shared" si="164"/>
        <v>8.0934058173791862E-13</v>
      </c>
      <c r="AL180" s="20">
        <f t="shared" si="165"/>
        <v>1.4960899118586383E-12</v>
      </c>
      <c r="AM180" s="59">
        <f t="shared" si="113"/>
        <v>293.33333333333479</v>
      </c>
      <c r="AN180" s="59">
        <f ca="1">AVERAGE(OFFSET($AM$3,0,0,'Données projet'!$E$10+1,1))-AVERAGE(OFFSET($H$3,0,0,'Données projet'!$E$10+1,1))</f>
        <v>321.36684354830828</v>
      </c>
      <c r="AO180" s="59">
        <f t="shared" si="144"/>
        <v>388.05195847800502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11.955872022948251</v>
      </c>
      <c r="AV180" s="21">
        <f>EXP(-LN(2)/25)*AV179+(1-EXP(-LN(2)/25))/(LN(2)/25)*Calculateur!AQ180*Calculateur!AS180*VLOOKUP('Données projet'!$B$10,Paramètres!$A$1:$I$89,3,0)*0.475*44/12</f>
        <v>2.7946701203458137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14.750542143294064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4.6111381379887463E-14</v>
      </c>
      <c r="P181" s="13">
        <f t="shared" si="141"/>
        <v>7.5804141040779151E-13</v>
      </c>
      <c r="Q181" s="20">
        <f t="shared" si="162"/>
        <v>1.4005661123635408E-12</v>
      </c>
      <c r="R181" s="59">
        <f t="shared" si="109"/>
        <v>293.33333333333474</v>
      </c>
      <c r="S181" s="59">
        <f ca="1">AVERAGE(OFFSET($R$3,0,0,'Données projet'!$E$9+1,1))-AVERAGE(OFFSET($H$3,0,0,'Données projet'!$E$9+1,1))</f>
        <v>298.98869919374232</v>
      </c>
      <c r="T181" s="59">
        <f t="shared" si="142"/>
        <v>293.11447542333889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12.44497555153152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12.44497555153152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4.9658410716801891E-14</v>
      </c>
      <c r="AK181" s="13">
        <f t="shared" si="164"/>
        <v>8.0934058173791862E-13</v>
      </c>
      <c r="AL181" s="20">
        <f t="shared" si="165"/>
        <v>1.4960899118586383E-12</v>
      </c>
      <c r="AM181" s="59">
        <f t="shared" si="113"/>
        <v>293.33333333333479</v>
      </c>
      <c r="AN181" s="59">
        <f ca="1">AVERAGE(OFFSET($AM$3,0,0,'Données projet'!$E$10+1,1))-AVERAGE(OFFSET($H$3,0,0,'Données projet'!$E$10+1,1))</f>
        <v>321.36684354830828</v>
      </c>
      <c r="AO181" s="59">
        <f t="shared" si="144"/>
        <v>388.05195847800502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11.721424664940109</v>
      </c>
      <c r="AV181" s="21">
        <f>EXP(-LN(2)/25)*AV180+(1-EXP(-LN(2)/25))/(LN(2)/25)*Calculateur!AQ181*Calculateur!AS181*VLOOKUP('Données projet'!$B$10,Paramètres!$A$1:$I$89,3,0)*0.475*44/12</f>
        <v>2.7182497189396431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14.439674383879751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4.6111381379887463E-14</v>
      </c>
      <c r="P182" s="13">
        <f t="shared" si="141"/>
        <v>7.5804141040779151E-13</v>
      </c>
      <c r="Q182" s="20">
        <f t="shared" si="162"/>
        <v>1.4005661123635408E-12</v>
      </c>
      <c r="R182" s="59">
        <f t="shared" si="109"/>
        <v>293.33333333333474</v>
      </c>
      <c r="S182" s="59">
        <f ca="1">AVERAGE(OFFSET($R$3,0,0,'Données projet'!$E$9+1,1))-AVERAGE(OFFSET($H$3,0,0,'Données projet'!$E$9+1,1))</f>
        <v>298.98869919374232</v>
      </c>
      <c r="T182" s="59">
        <f t="shared" si="142"/>
        <v>293.11447542333889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12.200937171651555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12.200937171651555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4.9658410716801891E-14</v>
      </c>
      <c r="AK182" s="13">
        <f t="shared" si="164"/>
        <v>8.0934058173791862E-13</v>
      </c>
      <c r="AL182" s="20">
        <f t="shared" si="165"/>
        <v>1.4960899118586383E-12</v>
      </c>
      <c r="AM182" s="59">
        <f t="shared" si="113"/>
        <v>293.33333333333479</v>
      </c>
      <c r="AN182" s="59">
        <f ca="1">AVERAGE(OFFSET($AM$3,0,0,'Données projet'!$E$10+1,1))-AVERAGE(OFFSET($H$3,0,0,'Données projet'!$E$10+1,1))</f>
        <v>321.36684354830828</v>
      </c>
      <c r="AO182" s="59">
        <f t="shared" si="144"/>
        <v>388.05195847800502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11.491574676623738</v>
      </c>
      <c r="AV182" s="21">
        <f>EXP(-LN(2)/25)*AV181+(1-EXP(-LN(2)/25))/(LN(2)/25)*Calculateur!AQ182*Calculateur!AS182*VLOOKUP('Données projet'!$B$10,Paramètres!$A$1:$I$89,3,0)*0.475*44/12</f>
        <v>2.6439190374286983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14.135493714052437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4.6111381379887463E-14</v>
      </c>
      <c r="P183" s="13">
        <f t="shared" si="141"/>
        <v>7.5804141040779151E-13</v>
      </c>
      <c r="Q183" s="20">
        <f t="shared" si="162"/>
        <v>1.4005661123635408E-12</v>
      </c>
      <c r="R183" s="59">
        <f t="shared" si="109"/>
        <v>293.33333333333474</v>
      </c>
      <c r="S183" s="59">
        <f ca="1">AVERAGE(OFFSET($R$3,0,0,'Données projet'!$E$9+1,1))-AVERAGE(OFFSET($H$3,0,0,'Données projet'!$E$9+1,1))</f>
        <v>298.98869919374232</v>
      </c>
      <c r="T183" s="59">
        <f t="shared" si="142"/>
        <v>293.11447542333889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11.961684235552323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11.961684235552323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4.9658410716801891E-14</v>
      </c>
      <c r="AK183" s="13">
        <f t="shared" si="164"/>
        <v>8.0934058173791862E-13</v>
      </c>
      <c r="AL183" s="20">
        <f t="shared" si="165"/>
        <v>1.4960899118586383E-12</v>
      </c>
      <c r="AM183" s="59">
        <f t="shared" si="113"/>
        <v>293.33333333333479</v>
      </c>
      <c r="AN183" s="59">
        <f ca="1">AVERAGE(OFFSET($AM$3,0,0,'Données projet'!$E$10+1,1))-AVERAGE(OFFSET($H$3,0,0,'Données projet'!$E$10+1,1))</f>
        <v>321.36684354830828</v>
      </c>
      <c r="AO183" s="59">
        <f t="shared" si="144"/>
        <v>388.05195847800502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11.266231906383602</v>
      </c>
      <c r="AV183" s="21">
        <f>EXP(-LN(2)/25)*AV182+(1-EXP(-LN(2)/25))/(LN(2)/25)*Calculateur!AQ183*Calculateur!AS183*VLOOKUP('Données projet'!$B$10,Paramètres!$A$1:$I$89,3,0)*0.475*44/12</f>
        <v>2.571620932312551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13.837852838696154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4.6111381379887463E-14</v>
      </c>
      <c r="P184" s="13">
        <f t="shared" si="141"/>
        <v>7.5804141040779151E-13</v>
      </c>
      <c r="Q184" s="20">
        <f t="shared" si="162"/>
        <v>1.4005661123635408E-12</v>
      </c>
      <c r="R184" s="59">
        <f t="shared" si="109"/>
        <v>293.33333333333474</v>
      </c>
      <c r="S184" s="59">
        <f ca="1">AVERAGE(OFFSET($R$3,0,0,'Données projet'!$E$9+1,1))-AVERAGE(OFFSET($H$3,0,0,'Données projet'!$E$9+1,1))</f>
        <v>298.98869919374232</v>
      </c>
      <c r="T184" s="59">
        <f t="shared" si="142"/>
        <v>293.11447542333889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11.727122903600113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11.727122903600113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4.9658410716801891E-14</v>
      </c>
      <c r="AK184" s="13">
        <f t="shared" si="164"/>
        <v>8.0934058173791862E-13</v>
      </c>
      <c r="AL184" s="20">
        <f t="shared" si="165"/>
        <v>1.4960899118586383E-12</v>
      </c>
      <c r="AM184" s="59">
        <f t="shared" si="113"/>
        <v>293.33333333333479</v>
      </c>
      <c r="AN184" s="59">
        <f ca="1">AVERAGE(OFFSET($AM$3,0,0,'Données projet'!$E$10+1,1))-AVERAGE(OFFSET($H$3,0,0,'Données projet'!$E$10+1,1))</f>
        <v>321.36684354830828</v>
      </c>
      <c r="AO184" s="59">
        <f t="shared" si="144"/>
        <v>388.05195847800502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11.045307970422357</v>
      </c>
      <c r="AV184" s="21">
        <f>EXP(-LN(2)/25)*AV183+(1-EXP(-LN(2)/25))/(LN(2)/25)*Calculateur!AQ184*Calculateur!AS184*VLOOKUP('Données projet'!$B$10,Paramètres!$A$1:$I$89,3,0)*0.475*44/12</f>
        <v>2.5012998226827969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13.546607793105153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4.6111381379887463E-14</v>
      </c>
      <c r="P185" s="13">
        <f t="shared" si="141"/>
        <v>7.5804141040779151E-13</v>
      </c>
      <c r="Q185" s="20">
        <f t="shared" si="162"/>
        <v>1.4005661123635408E-12</v>
      </c>
      <c r="R185" s="59">
        <f t="shared" si="109"/>
        <v>293.33333333333474</v>
      </c>
      <c r="S185" s="59">
        <f ca="1">AVERAGE(OFFSET($R$3,0,0,'Données projet'!$E$9+1,1))-AVERAGE(OFFSET($H$3,0,0,'Données projet'!$E$9+1,1))</f>
        <v>298.98869919374232</v>
      </c>
      <c r="T185" s="59">
        <f t="shared" si="142"/>
        <v>293.11447542333889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11.497161176299203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11.497161176299203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4.9658410716801891E-14</v>
      </c>
      <c r="AK185" s="13">
        <f t="shared" si="164"/>
        <v>8.0934058173791862E-13</v>
      </c>
      <c r="AL185" s="20">
        <f t="shared" si="165"/>
        <v>1.4960899118586383E-12</v>
      </c>
      <c r="AM185" s="59">
        <f t="shared" si="113"/>
        <v>293.33333333333479</v>
      </c>
      <c r="AN185" s="59">
        <f ca="1">AVERAGE(OFFSET($AM$3,0,0,'Données projet'!$E$10+1,1))-AVERAGE(OFFSET($H$3,0,0,'Données projet'!$E$10+1,1))</f>
        <v>321.36684354830828</v>
      </c>
      <c r="AO185" s="59">
        <f t="shared" si="144"/>
        <v>388.05195847800502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10.828716218095016</v>
      </c>
      <c r="AV185" s="21">
        <f>EXP(-LN(2)/25)*AV184+(1-EXP(-LN(2)/25))/(LN(2)/25)*Calculateur!AQ185*Calculateur!AS185*VLOOKUP('Données projet'!$B$10,Paramètres!$A$1:$I$89,3,0)*0.475*44/12</f>
        <v>2.4329016474938951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13.26161786558891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4.6111381379887463E-14</v>
      </c>
      <c r="P186" s="13">
        <f t="shared" si="141"/>
        <v>7.5804141040779151E-13</v>
      </c>
      <c r="Q186" s="20">
        <f t="shared" si="162"/>
        <v>1.4005661123635408E-12</v>
      </c>
      <c r="R186" s="59">
        <f t="shared" si="109"/>
        <v>293.33333333333474</v>
      </c>
      <c r="S186" s="59">
        <f ca="1">AVERAGE(OFFSET($R$3,0,0,'Données projet'!$E$9+1,1))-AVERAGE(OFFSET($H$3,0,0,'Données projet'!$E$9+1,1))</f>
        <v>298.98869919374232</v>
      </c>
      <c r="T186" s="59">
        <f t="shared" si="142"/>
        <v>293.11447542333889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11.271708858207859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11.271708858207859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4.9658410716801891E-14</v>
      </c>
      <c r="AK186" s="13">
        <f t="shared" si="164"/>
        <v>8.0934058173791862E-13</v>
      </c>
      <c r="AL186" s="20">
        <f t="shared" si="165"/>
        <v>1.4960899118586383E-12</v>
      </c>
      <c r="AM186" s="59">
        <f t="shared" si="113"/>
        <v>293.33333333333479</v>
      </c>
      <c r="AN186" s="59">
        <f ca="1">AVERAGE(OFFSET($AM$3,0,0,'Données projet'!$E$10+1,1))-AVERAGE(OFFSET($H$3,0,0,'Données projet'!$E$10+1,1))</f>
        <v>321.36684354830828</v>
      </c>
      <c r="AO186" s="59">
        <f t="shared" si="144"/>
        <v>388.05195847800502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10.61637169792289</v>
      </c>
      <c r="AV186" s="21">
        <f>EXP(-LN(2)/25)*AV185+(1-EXP(-LN(2)/25))/(LN(2)/25)*Calculateur!AQ186*Calculateur!AS186*VLOOKUP('Données projet'!$B$10,Paramètres!$A$1:$I$89,3,0)*0.475*44/12</f>
        <v>2.3663738240024372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12.982745521925327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4.6111381379887463E-14</v>
      </c>
      <c r="P187" s="13">
        <f t="shared" si="141"/>
        <v>7.5804141040779151E-13</v>
      </c>
      <c r="Q187" s="20">
        <f t="shared" si="162"/>
        <v>1.4005661123635408E-12</v>
      </c>
      <c r="R187" s="59">
        <f t="shared" si="109"/>
        <v>293.33333333333474</v>
      </c>
      <c r="S187" s="59">
        <f ca="1">AVERAGE(OFFSET($R$3,0,0,'Données projet'!$E$9+1,1))-AVERAGE(OFFSET($H$3,0,0,'Données projet'!$E$9+1,1))</f>
        <v>298.98869919374232</v>
      </c>
      <c r="T187" s="59">
        <f t="shared" si="142"/>
        <v>293.11447542333889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11.05067752256195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11.05067752256195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4.9658410716801891E-14</v>
      </c>
      <c r="AK187" s="13">
        <f t="shared" si="164"/>
        <v>8.0934058173791862E-13</v>
      </c>
      <c r="AL187" s="20">
        <f t="shared" si="165"/>
        <v>1.4960899118586383E-12</v>
      </c>
      <c r="AM187" s="59">
        <f t="shared" si="113"/>
        <v>293.33333333333479</v>
      </c>
      <c r="AN187" s="59">
        <f ca="1">AVERAGE(OFFSET($AM$3,0,0,'Données projet'!$E$10+1,1))-AVERAGE(OFFSET($H$3,0,0,'Données projet'!$E$10+1,1))</f>
        <v>321.36684354830828</v>
      </c>
      <c r="AO187" s="59">
        <f t="shared" si="144"/>
        <v>388.05195847800502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10.408191124273971</v>
      </c>
      <c r="AV187" s="21">
        <f>EXP(-LN(2)/25)*AV186+(1-EXP(-LN(2)/25))/(LN(2)/25)*Calculateur!AQ187*Calculateur!AS187*VLOOKUP('Données projet'!$B$10,Paramètres!$A$1:$I$89,3,0)*0.475*44/12</f>
        <v>2.3016652073428996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12.709856331616871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4.6111381379887463E-14</v>
      </c>
      <c r="P188" s="13">
        <f t="shared" si="141"/>
        <v>7.5804141040779151E-13</v>
      </c>
      <c r="Q188" s="20">
        <f t="shared" si="162"/>
        <v>1.4005661123635408E-12</v>
      </c>
      <c r="R188" s="59">
        <f t="shared" si="109"/>
        <v>293.33333333333474</v>
      </c>
      <c r="S188" s="59">
        <f ca="1">AVERAGE(OFFSET($R$3,0,0,'Données projet'!$E$9+1,1))-AVERAGE(OFFSET($H$3,0,0,'Données projet'!$E$9+1,1))</f>
        <v>298.98869919374232</v>
      </c>
      <c r="T188" s="59">
        <f t="shared" si="142"/>
        <v>293.11447542333889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10.833980476592254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10.833980476592254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4.9658410716801891E-14</v>
      </c>
      <c r="AK188" s="13">
        <f t="shared" si="164"/>
        <v>8.0934058173791862E-13</v>
      </c>
      <c r="AL188" s="20">
        <f t="shared" si="165"/>
        <v>1.4960899118586383E-12</v>
      </c>
      <c r="AM188" s="59">
        <f t="shared" si="113"/>
        <v>293.33333333333479</v>
      </c>
      <c r="AN188" s="59">
        <f ca="1">AVERAGE(OFFSET($AM$3,0,0,'Données projet'!$E$10+1,1))-AVERAGE(OFFSET($H$3,0,0,'Données projet'!$E$10+1,1))</f>
        <v>321.36684354830828</v>
      </c>
      <c r="AO188" s="59">
        <f t="shared" si="144"/>
        <v>388.05195847800502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10.204092844696694</v>
      </c>
      <c r="AV188" s="21">
        <f>EXP(-LN(2)/25)*AV187+(1-EXP(-LN(2)/25))/(LN(2)/25)*Calculateur!AQ188*Calculateur!AS188*VLOOKUP('Données projet'!$B$10,Paramètres!$A$1:$I$89,3,0)*0.475*44/12</f>
        <v>2.2387260512087952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12.442818895905489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4.6111381379887463E-14</v>
      </c>
      <c r="P189" s="13">
        <f t="shared" si="141"/>
        <v>7.5804141040779151E-13</v>
      </c>
      <c r="Q189" s="20">
        <f t="shared" si="162"/>
        <v>1.4005661123635408E-12</v>
      </c>
      <c r="R189" s="59">
        <f t="shared" si="109"/>
        <v>293.33333333333474</v>
      </c>
      <c r="S189" s="59">
        <f ca="1">AVERAGE(OFFSET($R$3,0,0,'Données projet'!$E$9+1,1))-AVERAGE(OFFSET($H$3,0,0,'Données projet'!$E$9+1,1))</f>
        <v>298.98869919374232</v>
      </c>
      <c r="T189" s="59">
        <f t="shared" si="142"/>
        <v>293.11447542333889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10.621532727521878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10.621532727521878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4.9658410716801891E-14</v>
      </c>
      <c r="AK189" s="13">
        <f t="shared" si="164"/>
        <v>8.0934058173791862E-13</v>
      </c>
      <c r="AL189" s="20">
        <f t="shared" si="165"/>
        <v>1.4960899118586383E-12</v>
      </c>
      <c r="AM189" s="59">
        <f t="shared" si="113"/>
        <v>293.33333333333479</v>
      </c>
      <c r="AN189" s="59">
        <f ca="1">AVERAGE(OFFSET($AM$3,0,0,'Données projet'!$E$10+1,1))-AVERAGE(OFFSET($H$3,0,0,'Données projet'!$E$10+1,1))</f>
        <v>321.36684354830828</v>
      </c>
      <c r="AO189" s="59">
        <f t="shared" si="144"/>
        <v>388.05195847800502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10.00399680789427</v>
      </c>
      <c r="AV189" s="21">
        <f>EXP(-LN(2)/25)*AV188+(1-EXP(-LN(2)/25))/(LN(2)/25)*Calculateur!AQ189*Calculateur!AS189*VLOOKUP('Données projet'!$B$10,Paramètres!$A$1:$I$89,3,0)*0.475*44/12</f>
        <v>2.1775079696090045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12.181504777503275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4.6111381379887463E-14</v>
      </c>
      <c r="P190" s="13">
        <f t="shared" si="141"/>
        <v>7.5804141040779151E-13</v>
      </c>
      <c r="Q190" s="20">
        <f t="shared" si="162"/>
        <v>1.4005661123635408E-12</v>
      </c>
      <c r="R190" s="59">
        <f t="shared" si="109"/>
        <v>293.33333333333474</v>
      </c>
      <c r="S190" s="59">
        <f ca="1">AVERAGE(OFFSET($R$3,0,0,'Données projet'!$E$9+1,1))-AVERAGE(OFFSET($H$3,0,0,'Données projet'!$E$9+1,1))</f>
        <v>298.98869919374232</v>
      </c>
      <c r="T190" s="59">
        <f t="shared" si="142"/>
        <v>293.11447542333889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10.41325094923044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10.41325094923044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4.9658410716801891E-14</v>
      </c>
      <c r="AK190" s="13">
        <f t="shared" si="164"/>
        <v>8.0934058173791862E-13</v>
      </c>
      <c r="AL190" s="20">
        <f t="shared" si="165"/>
        <v>1.4960899118586383E-12</v>
      </c>
      <c r="AM190" s="59">
        <f t="shared" si="113"/>
        <v>293.33333333333479</v>
      </c>
      <c r="AN190" s="59">
        <f ca="1">AVERAGE(OFFSET($AM$3,0,0,'Données projet'!$E$10+1,1))-AVERAGE(OFFSET($H$3,0,0,'Données projet'!$E$10+1,1))</f>
        <v>321.36684354830828</v>
      </c>
      <c r="AO190" s="59">
        <f t="shared" si="144"/>
        <v>388.05195847800502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9.8078245323270092</v>
      </c>
      <c r="AV190" s="21">
        <f>EXP(-LN(2)/25)*AV189+(1-EXP(-LN(2)/25))/(LN(2)/25)*Calculateur!AQ190*Calculateur!AS190*VLOOKUP('Données projet'!$B$10,Paramètres!$A$1:$I$89,3,0)*0.475*44/12</f>
        <v>2.1179638996698791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11.925788431996889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4.6111381379887463E-14</v>
      </c>
      <c r="P191" s="13">
        <f t="shared" si="141"/>
        <v>7.5804141040779151E-13</v>
      </c>
      <c r="Q191" s="20">
        <f t="shared" si="162"/>
        <v>1.4005661123635408E-12</v>
      </c>
      <c r="R191" s="59">
        <f t="shared" si="109"/>
        <v>293.33333333333474</v>
      </c>
      <c r="S191" s="59">
        <f ca="1">AVERAGE(OFFSET($R$3,0,0,'Données projet'!$E$9+1,1))-AVERAGE(OFFSET($H$3,0,0,'Données projet'!$E$9+1,1))</f>
        <v>298.98869919374232</v>
      </c>
      <c r="T191" s="59">
        <f t="shared" si="142"/>
        <v>293.11447542333889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10.209053449571956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10.209053449571956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4.9658410716801891E-14</v>
      </c>
      <c r="AK191" s="13">
        <f t="shared" si="164"/>
        <v>8.0934058173791862E-13</v>
      </c>
      <c r="AL191" s="20">
        <f t="shared" si="165"/>
        <v>1.4960899118586383E-12</v>
      </c>
      <c r="AM191" s="59">
        <f t="shared" si="113"/>
        <v>293.33333333333479</v>
      </c>
      <c r="AN191" s="59">
        <f ca="1">AVERAGE(OFFSET($AM$3,0,0,'Données projet'!$E$10+1,1))-AVERAGE(OFFSET($H$3,0,0,'Données projet'!$E$10+1,1))</f>
        <v>321.36684354830828</v>
      </c>
      <c r="AO191" s="59">
        <f t="shared" si="144"/>
        <v>388.05195847800502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9.6154990754303498</v>
      </c>
      <c r="AV191" s="21">
        <f>EXP(-LN(2)/25)*AV190+(1-EXP(-LN(2)/25))/(LN(2)/25)*Calculateur!AQ191*Calculateur!AS191*VLOOKUP('Données projet'!$B$10,Paramètres!$A$1:$I$89,3,0)*0.475*44/12</f>
        <v>2.0600480654545255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11.675547140884875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4.6111381379887463E-14</v>
      </c>
      <c r="P192" s="13">
        <f t="shared" si="141"/>
        <v>7.5804141040779151E-13</v>
      </c>
      <c r="Q192" s="20">
        <f t="shared" si="162"/>
        <v>1.4005661123635408E-12</v>
      </c>
      <c r="R192" s="59">
        <f t="shared" si="109"/>
        <v>293.33333333333474</v>
      </c>
      <c r="S192" s="59">
        <f ca="1">AVERAGE(OFFSET($R$3,0,0,'Données projet'!$E$9+1,1))-AVERAGE(OFFSET($H$3,0,0,'Données projet'!$E$9+1,1))</f>
        <v>298.98869919374232</v>
      </c>
      <c r="T192" s="59">
        <f t="shared" si="142"/>
        <v>293.11447542333889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10.008860138333597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10.008860138333597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4.9658410716801891E-14</v>
      </c>
      <c r="AK192" s="13">
        <f t="shared" si="164"/>
        <v>8.0934058173791862E-13</v>
      </c>
      <c r="AL192" s="20">
        <f t="shared" si="165"/>
        <v>1.4960899118586383E-12</v>
      </c>
      <c r="AM192" s="59">
        <f t="shared" si="113"/>
        <v>293.33333333333479</v>
      </c>
      <c r="AN192" s="59">
        <f ca="1">AVERAGE(OFFSET($AM$3,0,0,'Données projet'!$E$10+1,1))-AVERAGE(OFFSET($H$3,0,0,'Données projet'!$E$10+1,1))</f>
        <v>321.36684354830828</v>
      </c>
      <c r="AO192" s="59">
        <f t="shared" si="144"/>
        <v>388.05195847800502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9.4269450034364883</v>
      </c>
      <c r="AV192" s="21">
        <f>EXP(-LN(2)/25)*AV191+(1-EXP(-LN(2)/25))/(LN(2)/25)*Calculateur!AQ192*Calculateur!AS192*VLOOKUP('Données projet'!$B$10,Paramètres!$A$1:$I$89,3,0)*0.475*44/12</f>
        <v>2.0037159427714522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11.43066094620794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4.6111381379887463E-14</v>
      </c>
      <c r="P193" s="13">
        <f t="shared" si="141"/>
        <v>7.5804141040779151E-13</v>
      </c>
      <c r="Q193" s="20">
        <f t="shared" si="162"/>
        <v>1.4005661123635408E-12</v>
      </c>
      <c r="R193" s="59">
        <f t="shared" si="109"/>
        <v>293.33333333333474</v>
      </c>
      <c r="S193" s="59">
        <f ca="1">AVERAGE(OFFSET($R$3,0,0,'Données projet'!$E$9+1,1))-AVERAGE(OFFSET($H$3,0,0,'Données projet'!$E$9+1,1))</f>
        <v>298.98869919374232</v>
      </c>
      <c r="T193" s="59">
        <f t="shared" si="142"/>
        <v>293.11447542333889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9.8125924958227611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9.8125924958227611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4.9658410716801891E-14</v>
      </c>
      <c r="AK193" s="13">
        <f t="shared" si="164"/>
        <v>8.0934058173791862E-13</v>
      </c>
      <c r="AL193" s="20">
        <f t="shared" si="165"/>
        <v>1.4960899118586383E-12</v>
      </c>
      <c r="AM193" s="59">
        <f t="shared" si="113"/>
        <v>293.33333333333479</v>
      </c>
      <c r="AN193" s="59">
        <f ca="1">AVERAGE(OFFSET($AM$3,0,0,'Données projet'!$E$10+1,1))-AVERAGE(OFFSET($H$3,0,0,'Données projet'!$E$10+1,1))</f>
        <v>321.36684354830828</v>
      </c>
      <c r="AO193" s="59">
        <f t="shared" si="144"/>
        <v>388.05195847800502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9.2420883617877987</v>
      </c>
      <c r="AV193" s="21">
        <f>EXP(-LN(2)/25)*AV192+(1-EXP(-LN(2)/25))/(LN(2)/25)*Calculateur!AQ193*Calculateur!AS193*VLOOKUP('Données projet'!$B$10,Paramètres!$A$1:$I$89,3,0)*0.475*44/12</f>
        <v>1.948924224945525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11.191012586733324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4.6111381379887463E-14</v>
      </c>
      <c r="P194" s="13">
        <f t="shared" si="141"/>
        <v>7.5804141040779151E-13</v>
      </c>
      <c r="Q194" s="20">
        <f t="shared" si="162"/>
        <v>1.4005661123635408E-12</v>
      </c>
      <c r="R194" s="59">
        <f t="shared" si="109"/>
        <v>293.33333333333474</v>
      </c>
      <c r="S194" s="59">
        <f ca="1">AVERAGE(OFFSET($R$3,0,0,'Données projet'!$E$9+1,1))-AVERAGE(OFFSET($H$3,0,0,'Données projet'!$E$9+1,1))</f>
        <v>298.98869919374232</v>
      </c>
      <c r="T194" s="59">
        <f t="shared" si="142"/>
        <v>293.11447542333889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9.6201735420701198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9.6201735420701198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4.9658410716801891E-14</v>
      </c>
      <c r="AK194" s="13">
        <f t="shared" si="164"/>
        <v>8.0934058173791862E-13</v>
      </c>
      <c r="AL194" s="20">
        <f t="shared" si="165"/>
        <v>1.4960899118586383E-12</v>
      </c>
      <c r="AM194" s="59">
        <f t="shared" si="113"/>
        <v>293.33333333333479</v>
      </c>
      <c r="AN194" s="59">
        <f ca="1">AVERAGE(OFFSET($AM$3,0,0,'Données projet'!$E$10+1,1))-AVERAGE(OFFSET($H$3,0,0,'Données projet'!$E$10+1,1))</f>
        <v>321.36684354830828</v>
      </c>
      <c r="AO194" s="59">
        <f t="shared" si="144"/>
        <v>388.05195847800502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9.0608566461304214</v>
      </c>
      <c r="AV194" s="21">
        <f>EXP(-LN(2)/25)*AV193+(1-EXP(-LN(2)/25))/(LN(2)/25)*Calculateur!AQ194*Calculateur!AS194*VLOOKUP('Données projet'!$B$10,Paramètres!$A$1:$I$89,3,0)*0.475*44/12</f>
        <v>1.8956307895249189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10.95648743565534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4.6111381379887463E-14</v>
      </c>
      <c r="P195" s="13">
        <f t="shared" si="141"/>
        <v>7.5804141040779151E-13</v>
      </c>
      <c r="Q195" s="20">
        <f t="shared" si="162"/>
        <v>1.4005661123635408E-12</v>
      </c>
      <c r="R195" s="59">
        <f t="shared" ref="R195:R203" si="191">Q195+(I195+J195)*44/12</f>
        <v>293.33333333333474</v>
      </c>
      <c r="S195" s="59">
        <f ca="1">AVERAGE(OFFSET($R$3,0,0,'Données projet'!$E$9+1,1))-AVERAGE(OFFSET($H$3,0,0,'Données projet'!$E$9+1,1))</f>
        <v>298.98869919374232</v>
      </c>
      <c r="T195" s="59">
        <f t="shared" si="142"/>
        <v>293.11447542333889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9.4315278066365948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9.4315278066365948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4.9658410716801891E-14</v>
      </c>
      <c r="AK195" s="13">
        <f t="shared" si="164"/>
        <v>8.0934058173791862E-13</v>
      </c>
      <c r="AL195" s="20">
        <f t="shared" si="165"/>
        <v>1.4960899118586383E-12</v>
      </c>
      <c r="AM195" s="59">
        <f t="shared" si="113"/>
        <v>293.33333333333479</v>
      </c>
      <c r="AN195" s="59">
        <f ca="1">AVERAGE(OFFSET($AM$3,0,0,'Données projet'!$E$10+1,1))-AVERAGE(OFFSET($H$3,0,0,'Données projet'!$E$10+1,1))</f>
        <v>321.36684354830828</v>
      </c>
      <c r="AO195" s="59">
        <f t="shared" si="144"/>
        <v>388.05195847800502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8.8831787738766543</v>
      </c>
      <c r="AV195" s="21">
        <f>EXP(-LN(2)/25)*AV194+(1-EXP(-LN(2)/25))/(LN(2)/25)*Calculateur!AQ195*Calculateur!AS195*VLOOKUP('Données projet'!$B$10,Paramètres!$A$1:$I$89,3,0)*0.475*44/12</f>
        <v>1.8437946658984694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10.726973439775124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4.6111381379887463E-14</v>
      </c>
      <c r="P196" s="13">
        <f t="shared" si="141"/>
        <v>7.5804141040779151E-13</v>
      </c>
      <c r="Q196" s="20">
        <f t="shared" si="162"/>
        <v>1.4005661123635408E-12</v>
      </c>
      <c r="R196" s="59">
        <f t="shared" si="191"/>
        <v>293.33333333333474</v>
      </c>
      <c r="S196" s="59">
        <f ca="1">AVERAGE(OFFSET($R$3,0,0,'Données projet'!$E$9+1,1))-AVERAGE(OFFSET($H$3,0,0,'Données projet'!$E$9+1,1))</f>
        <v>298.98869919374232</v>
      </c>
      <c r="T196" s="59">
        <f t="shared" si="142"/>
        <v>293.11447542333889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9.2465812990123855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9.2465812990123855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4.9658410716801891E-14</v>
      </c>
      <c r="AK196" s="13">
        <f t="shared" si="164"/>
        <v>8.0934058173791862E-13</v>
      </c>
      <c r="AL196" s="20">
        <f t="shared" si="165"/>
        <v>1.4960899118586383E-12</v>
      </c>
      <c r="AM196" s="59">
        <f t="shared" ref="AM196:AM203" si="193">AL196+(AD196+AE196)*44/12</f>
        <v>293.33333333333479</v>
      </c>
      <c r="AN196" s="59">
        <f ca="1">AVERAGE(OFFSET($AM$3,0,0,'Données projet'!$E$10+1,1))-AVERAGE(OFFSET($H$3,0,0,'Données projet'!$E$10+1,1))</f>
        <v>321.36684354830828</v>
      </c>
      <c r="AO196" s="59">
        <f t="shared" si="144"/>
        <v>388.05195847800502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8.7089850563249822</v>
      </c>
      <c r="AV196" s="21">
        <f>EXP(-LN(2)/25)*AV195+(1-EXP(-LN(2)/25))/(LN(2)/25)*Calculateur!AQ196*Calculateur!AS196*VLOOKUP('Données projet'!$B$10,Paramètres!$A$1:$I$89,3,0)*0.475*44/12</f>
        <v>1.7933760037985282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10.50236106012351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4.6111381379887463E-14</v>
      </c>
      <c r="P197" s="13">
        <f t="shared" ref="P197:P203" si="203">EXP(-1.0587+0.8836*LN(O197)+0.284)</f>
        <v>7.5804141040779151E-13</v>
      </c>
      <c r="Q197" s="20">
        <f t="shared" si="162"/>
        <v>1.4005661123635408E-12</v>
      </c>
      <c r="R197" s="59">
        <f t="shared" si="191"/>
        <v>293.33333333333474</v>
      </c>
      <c r="S197" s="59">
        <f ca="1">AVERAGE(OFFSET($R$3,0,0,'Données projet'!$E$9+1,1))-AVERAGE(OFFSET($H$3,0,0,'Données projet'!$E$9+1,1))</f>
        <v>298.98869919374232</v>
      </c>
      <c r="T197" s="59">
        <f t="shared" ref="T197:T203" si="204">$T$3</f>
        <v>293.11447542333889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9.0652614795964546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9.0652614795964546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4.9658410716801891E-14</v>
      </c>
      <c r="AK197" s="13">
        <f t="shared" si="164"/>
        <v>8.0934058173791862E-13</v>
      </c>
      <c r="AL197" s="20">
        <f t="shared" si="165"/>
        <v>1.4960899118586383E-12</v>
      </c>
      <c r="AM197" s="59">
        <f t="shared" si="193"/>
        <v>293.33333333333479</v>
      </c>
      <c r="AN197" s="59">
        <f ca="1">AVERAGE(OFFSET($AM$3,0,0,'Données projet'!$E$10+1,1))-AVERAGE(OFFSET($H$3,0,0,'Données projet'!$E$10+1,1))</f>
        <v>321.36684354830828</v>
      </c>
      <c r="AO197" s="59">
        <f t="shared" ref="AO197:AO203" si="205">$AO$3</f>
        <v>388.05195847800502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8.5382071713268211</v>
      </c>
      <c r="AV197" s="21">
        <f>EXP(-LN(2)/25)*AV196+(1-EXP(-LN(2)/25))/(LN(2)/25)*Calculateur!AQ197*Calculateur!AS197*VLOOKUP('Données projet'!$B$10,Paramètres!$A$1:$I$89,3,0)*0.475*44/12</f>
        <v>1.7443360426651122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10.282543213991934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4.6111381379887463E-14</v>
      </c>
      <c r="P198" s="13">
        <f t="shared" si="203"/>
        <v>7.5804141040779151E-13</v>
      </c>
      <c r="Q198" s="20">
        <f t="shared" si="162"/>
        <v>1.4005661123635408E-12</v>
      </c>
      <c r="R198" s="59">
        <f t="shared" si="191"/>
        <v>293.33333333333474</v>
      </c>
      <c r="S198" s="59">
        <f ca="1">AVERAGE(OFFSET($R$3,0,0,'Données projet'!$E$9+1,1))-AVERAGE(OFFSET($H$3,0,0,'Données projet'!$E$9+1,1))</f>
        <v>298.98869919374232</v>
      </c>
      <c r="T198" s="59">
        <f t="shared" si="204"/>
        <v>293.11447542333889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8.887497231245101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8.887497231245101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4.9658410716801891E-14</v>
      </c>
      <c r="AK198" s="13">
        <f t="shared" si="164"/>
        <v>8.0934058173791862E-13</v>
      </c>
      <c r="AL198" s="20">
        <f t="shared" si="165"/>
        <v>1.4960899118586383E-12</v>
      </c>
      <c r="AM198" s="59">
        <f t="shared" si="193"/>
        <v>293.33333333333479</v>
      </c>
      <c r="AN198" s="59">
        <f ca="1">AVERAGE(OFFSET($AM$3,0,0,'Données projet'!$E$10+1,1))-AVERAGE(OFFSET($H$3,0,0,'Données projet'!$E$10+1,1))</f>
        <v>321.36684354830828</v>
      </c>
      <c r="AO198" s="59">
        <f t="shared" si="205"/>
        <v>388.05195847800502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8.3707781364892497</v>
      </c>
      <c r="AV198" s="21">
        <f>EXP(-LN(2)/25)*AV197+(1-EXP(-LN(2)/25))/(LN(2)/25)*Calculateur!AQ198*Calculateur!AS198*VLOOKUP('Données projet'!$B$10,Paramètres!$A$1:$I$89,3,0)*0.475*44/12</f>
        <v>1.6966370818477889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10.06741521833704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4.6111381379887463E-14</v>
      </c>
      <c r="P199" s="13">
        <f t="shared" si="203"/>
        <v>7.5804141040779151E-13</v>
      </c>
      <c r="Q199" s="20">
        <f t="shared" si="162"/>
        <v>1.4005661123635408E-12</v>
      </c>
      <c r="R199" s="59">
        <f t="shared" si="191"/>
        <v>293.33333333333474</v>
      </c>
      <c r="S199" s="59">
        <f ca="1">AVERAGE(OFFSET($R$3,0,0,'Données projet'!$E$9+1,1))-AVERAGE(OFFSET($H$3,0,0,'Données projet'!$E$9+1,1))</f>
        <v>298.98869919374232</v>
      </c>
      <c r="T199" s="59">
        <f t="shared" si="204"/>
        <v>293.11447542333889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8.7132188313784322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8.7132188313784322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4.9658410716801891E-14</v>
      </c>
      <c r="AK199" s="13">
        <f t="shared" si="164"/>
        <v>8.0934058173791862E-13</v>
      </c>
      <c r="AL199" s="20">
        <f t="shared" si="165"/>
        <v>1.4960899118586383E-12</v>
      </c>
      <c r="AM199" s="59">
        <f t="shared" si="193"/>
        <v>293.33333333333479</v>
      </c>
      <c r="AN199" s="59">
        <f ca="1">AVERAGE(OFFSET($AM$3,0,0,'Données projet'!$E$10+1,1))-AVERAGE(OFFSET($H$3,0,0,'Données projet'!$E$10+1,1))</f>
        <v>321.36684354830828</v>
      </c>
      <c r="AO199" s="59">
        <f t="shared" si="205"/>
        <v>388.05195847800502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8.2066322829032163</v>
      </c>
      <c r="AV199" s="21">
        <f>EXP(-LN(2)/25)*AV198+(1-EXP(-LN(2)/25))/(LN(2)/25)*Calculateur!AQ199*Calculateur!AS199*VLOOKUP('Données projet'!$B$10,Paramètres!$A$1:$I$89,3,0)*0.475*44/12</f>
        <v>1.6502424516223948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9.8568747345256114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4.6111381379887463E-14</v>
      </c>
      <c r="P200" s="13">
        <f t="shared" si="203"/>
        <v>7.5804141040779151E-13</v>
      </c>
      <c r="Q200" s="20">
        <f t="shared" si="162"/>
        <v>1.4005661123635408E-12</v>
      </c>
      <c r="R200" s="59">
        <f t="shared" si="191"/>
        <v>293.33333333333474</v>
      </c>
      <c r="S200" s="59">
        <f ca="1">AVERAGE(OFFSET($R$3,0,0,'Données projet'!$E$9+1,1))-AVERAGE(OFFSET($H$3,0,0,'Données projet'!$E$9+1,1))</f>
        <v>298.98869919374232</v>
      </c>
      <c r="T200" s="59">
        <f t="shared" si="204"/>
        <v>293.11447542333889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8.542357924633821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8.542357924633821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4.9658410716801891E-14</v>
      </c>
      <c r="AK200" s="13">
        <f t="shared" si="164"/>
        <v>8.0934058173791862E-13</v>
      </c>
      <c r="AL200" s="20">
        <f t="shared" si="165"/>
        <v>1.4960899118586383E-12</v>
      </c>
      <c r="AM200" s="59">
        <f t="shared" si="193"/>
        <v>293.33333333333479</v>
      </c>
      <c r="AN200" s="59">
        <f ca="1">AVERAGE(OFFSET($AM$3,0,0,'Données projet'!$E$10+1,1))-AVERAGE(OFFSET($H$3,0,0,'Données projet'!$E$10+1,1))</f>
        <v>321.36684354830828</v>
      </c>
      <c r="AO200" s="59">
        <f t="shared" si="205"/>
        <v>388.05195847800502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8.04570522938692</v>
      </c>
      <c r="AV200" s="21">
        <f>EXP(-LN(2)/25)*AV199+(1-EXP(-LN(2)/25))/(LN(2)/25)*Calculateur!AQ200*Calculateur!AS200*VLOOKUP('Données projet'!$B$10,Paramètres!$A$1:$I$89,3,0)*0.475*44/12</f>
        <v>1.6051164850003015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9.6508217143872219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4.6111381379887463E-14</v>
      </c>
      <c r="P201" s="13">
        <f t="shared" si="203"/>
        <v>7.5804141040779151E-13</v>
      </c>
      <c r="Q201" s="20">
        <f t="shared" si="162"/>
        <v>1.4005661123635408E-12</v>
      </c>
      <c r="R201" s="59">
        <f t="shared" si="191"/>
        <v>293.33333333333474</v>
      </c>
      <c r="S201" s="59">
        <f ca="1">AVERAGE(OFFSET($R$3,0,0,'Données projet'!$E$9+1,1))-AVERAGE(OFFSET($H$3,0,0,'Données projet'!$E$9+1,1))</f>
        <v>298.98869919374232</v>
      </c>
      <c r="T201" s="59">
        <f t="shared" si="204"/>
        <v>293.11447542333889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8.3748474960556099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8.3748474960556099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4.9658410716801891E-14</v>
      </c>
      <c r="AK201" s="13">
        <f t="shared" si="164"/>
        <v>8.0934058173791862E-13</v>
      </c>
      <c r="AL201" s="20">
        <f t="shared" si="165"/>
        <v>1.4960899118586383E-12</v>
      </c>
      <c r="AM201" s="59">
        <f t="shared" si="193"/>
        <v>293.33333333333479</v>
      </c>
      <c r="AN201" s="59">
        <f ca="1">AVERAGE(OFFSET($AM$3,0,0,'Données projet'!$E$10+1,1))-AVERAGE(OFFSET($H$3,0,0,'Données projet'!$E$10+1,1))</f>
        <v>321.36684354830828</v>
      </c>
      <c r="AO201" s="59">
        <f t="shared" si="205"/>
        <v>388.05195847800502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7.887933857234267</v>
      </c>
      <c r="AV201" s="21">
        <f>EXP(-LN(2)/25)*AV200+(1-EXP(-LN(2)/25))/(LN(2)/25)*Calculateur!AQ201*Calculateur!AS201*VLOOKUP('Données projet'!$B$10,Paramètres!$A$1:$I$89,3,0)*0.475*44/12</f>
        <v>1.5612244903085608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9.4491583475428271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4.6111381379887463E-14</v>
      </c>
      <c r="P202" s="13">
        <f t="shared" si="203"/>
        <v>7.5804141040779151E-13</v>
      </c>
      <c r="Q202" s="20">
        <f t="shared" si="162"/>
        <v>1.4005661123635408E-12</v>
      </c>
      <c r="R202" s="59">
        <f t="shared" si="191"/>
        <v>293.33333333333474</v>
      </c>
      <c r="S202" s="59">
        <f ca="1">AVERAGE(OFFSET($R$3,0,0,'Données projet'!$E$9+1,1))-AVERAGE(OFFSET($H$3,0,0,'Données projet'!$E$9+1,1))</f>
        <v>298.98869919374232</v>
      </c>
      <c r="T202" s="59">
        <f t="shared" si="204"/>
        <v>293.11447542333889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8.210621844810543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8.210621844810543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4.9658410716801891E-14</v>
      </c>
      <c r="AK202" s="13">
        <f t="shared" si="164"/>
        <v>8.0934058173791862E-13</v>
      </c>
      <c r="AL202" s="20">
        <f t="shared" si="165"/>
        <v>1.4960899118586383E-12</v>
      </c>
      <c r="AM202" s="59">
        <f t="shared" si="193"/>
        <v>293.33333333333479</v>
      </c>
      <c r="AN202" s="59">
        <f ca="1">AVERAGE(OFFSET($AM$3,0,0,'Données projet'!$E$10+1,1))-AVERAGE(OFFSET($H$3,0,0,'Données projet'!$E$10+1,1))</f>
        <v>321.36684354830828</v>
      </c>
      <c r="AO202" s="59">
        <f t="shared" si="205"/>
        <v>388.05195847800502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7.7332562854584932</v>
      </c>
      <c r="AV202" s="21">
        <f>EXP(-LN(2)/25)*AV201+(1-EXP(-LN(2)/25))/(LN(2)/25)*Calculateur!AQ202*Calculateur!AS202*VLOOKUP('Données projet'!$B$10,Paramètres!$A$1:$I$89,3,0)*0.475*44/12</f>
        <v>1.5185327245198454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9.2517890099783386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4.6111381379887463E-14</v>
      </c>
      <c r="P203" s="13">
        <f t="shared" si="203"/>
        <v>7.5804141040779151E-13</v>
      </c>
      <c r="Q203" s="20">
        <f t="shared" si="162"/>
        <v>1.4005661123635408E-12</v>
      </c>
      <c r="R203" s="59">
        <f t="shared" si="191"/>
        <v>293.33333333333474</v>
      </c>
      <c r="S203" s="59">
        <f ca="1">AVERAGE(OFFSET($R$3,0,0,'Données projet'!$E$9+1,1))-AVERAGE(OFFSET($H$3,0,0,'Données projet'!$E$9+1,1))</f>
        <v>298.98869919374232</v>
      </c>
      <c r="T203" s="59">
        <f t="shared" si="204"/>
        <v>293.11447542333889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8.0496165584186361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8.0496165584186361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4.9658410716801891E-14</v>
      </c>
      <c r="AK203" s="13">
        <f t="shared" si="164"/>
        <v>8.0934058173791862E-13</v>
      </c>
      <c r="AL203" s="20">
        <f t="shared" si="165"/>
        <v>1.4960899118586383E-12</v>
      </c>
      <c r="AM203" s="59">
        <f t="shared" si="193"/>
        <v>293.33333333333479</v>
      </c>
      <c r="AN203" s="59">
        <f ca="1">AVERAGE(OFFSET($AM$3,0,0,'Données projet'!$E$10+1,1))-AVERAGE(OFFSET($H$3,0,0,'Données projet'!$E$10+1,1))</f>
        <v>321.36684354830828</v>
      </c>
      <c r="AO203" s="59">
        <f t="shared" si="205"/>
        <v>388.05195847800502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7.5816118465212385</v>
      </c>
      <c r="AV203" s="21">
        <f>EXP(-LN(2)/25)*AV202+(1-EXP(-LN(2)/25))/(LN(2)/25)*Calculateur!AQ203*Calculateur!AS203*VLOOKUP('Données projet'!$B$10,Paramètres!$A$1:$I$89,3,0)*0.475*44/12</f>
        <v>1.4770083673116849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9.0586202138329242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1.2788040393997409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1.3467943429205997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Noyer</v>
      </c>
      <c r="B6" s="146">
        <f>'Données projet'!D9</f>
        <v>3.0992489999999999</v>
      </c>
      <c r="C6" s="147">
        <f ca="1">IF(OR('Données projet'!B9="",'Données projet'!C9="",'Données projet'!C9=0%),0,Calculateur!S3)</f>
        <v>298.98869919374232</v>
      </c>
      <c r="D6" s="147">
        <f>IF(OR('Données projet'!B9="",'Données projet'!C9="",'Données projet'!C9=0%),0,Calculateur!T3)</f>
        <v>293.11447542333889</v>
      </c>
      <c r="E6" s="147">
        <f ca="1">MIN(C6,D6)</f>
        <v>293.11447542333889</v>
      </c>
      <c r="F6" s="147">
        <f ca="1">E6*B6</f>
        <v>908.43474484130763</v>
      </c>
      <c r="G6" s="147">
        <f ca="1">F6*(100%-'Données projet'!$C$24)*(100%-'Données projet'!$C$25)*(100%-'Données projet'!$C$26)*(100%-'Données projet'!$C$27)</f>
        <v>817.59127035717688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42.614673750000001</v>
      </c>
      <c r="K6" s="151">
        <f>J6*(100%-'Données projet'!$C$24)*(100%-'Données projet'!$C$25)*(100%-'Données projet'!$C$26)*(100%-'Données projet'!$C$27)</f>
        <v>38.353206374999999</v>
      </c>
      <c r="L6" s="152">
        <f ca="1">G6+I6+K6</f>
        <v>855.94447673217689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0.82385099999999989</v>
      </c>
      <c r="C7" s="147">
        <f ca="1">IF(OR('Données projet'!B10="",'Données projet'!C10="",'Données projet'!C10=0%),0,Calculateur!AN3)</f>
        <v>321.36684354830828</v>
      </c>
      <c r="D7" s="147">
        <f>IF(OR('Données projet'!B10="",'Données projet'!C10="",'Données projet'!C10=0%),0,Calculateur!AO3)</f>
        <v>388.05195847800502</v>
      </c>
      <c r="E7" s="147">
        <f t="shared" ref="E7:E15" ca="1" si="0">MIN(C7,D7)</f>
        <v>321.36684354830828</v>
      </c>
      <c r="F7" s="147">
        <f t="shared" ref="F7:F15" ca="1" si="1">E7*B7</f>
        <v>264.75839542411728</v>
      </c>
      <c r="G7" s="147">
        <f ca="1">F7*(100%-'Données projet'!$C$24)*(100%-'Données projet'!$C$25)*(100%-'Données projet'!$C$26)*(100%-'Données projet'!$C$27)</f>
        <v>238.28255588170555</v>
      </c>
      <c r="H7" s="155">
        <f>IF(OR('Données projet'!B10="",'Données projet'!C10="",'Données projet'!C10=0%),0,AVERAGE(Calculateur!$AX$3:$AX$33)*B7)</f>
        <v>5.381462106498633</v>
      </c>
      <c r="I7" s="149">
        <f>H7*(100%-'Données projet'!$C$24)*(100%-'Données projet'!$C$25)*(100%-'Données projet'!$C$26)*(100%-'Données projet'!$C$27)</f>
        <v>4.8433158958487699</v>
      </c>
      <c r="J7" s="150">
        <f>IF(OR('Données projet'!B10="",'Données projet'!C10="",'Données projet'!C10=0%),0,SUM(Calculateur!$AQ$3:$AQ$33)*VLOOKUP('Données projet'!$B$10,Paramètres!$A$1:$I$89,9,0)*B7)</f>
        <v>31.306337999999997</v>
      </c>
      <c r="K7" s="151">
        <f>J7*(100%-'Données projet'!$C$24)*(100%-'Données projet'!$C$25)*(100%-'Données projet'!$C$26)*(100%-'Données projet'!$C$27)</f>
        <v>28.175704199999998</v>
      </c>
      <c r="L7" s="152">
        <f t="shared" ref="L7:L15" ca="1" si="2">G7+I7+K7</f>
        <v>271.30157597755431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1173.193140265425</v>
      </c>
      <c r="G16" s="166">
        <f t="shared" ca="1" si="3"/>
        <v>1055.8738262388824</v>
      </c>
      <c r="H16" s="167">
        <f t="shared" si="3"/>
        <v>5.381462106498633</v>
      </c>
      <c r="I16" s="167">
        <f t="shared" si="3"/>
        <v>4.8433158958487699</v>
      </c>
      <c r="J16" s="168">
        <f t="shared" si="3"/>
        <v>73.921011749999991</v>
      </c>
      <c r="K16" s="168">
        <f t="shared" si="3"/>
        <v>66.528910574999998</v>
      </c>
      <c r="L16" s="169">
        <f t="shared" ca="1" si="3"/>
        <v>1127.2460527097312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Noyer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80" zoomScaleNormal="80" workbookViewId="0">
      <selection activeCell="C23" sqref="C23:C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Noyer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-20.042063141354561</v>
      </c>
      <c r="U10" s="178">
        <f>'Données projet'!D9</f>
        <v>3.0992489999999999</v>
      </c>
      <c r="V10" s="177">
        <f>U10*T10</f>
        <v>-62.115344148779982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-1235.5373595317226</v>
      </c>
      <c r="U11" s="178">
        <f>'Données projet'!D10</f>
        <v>0.82385099999999989</v>
      </c>
      <c r="V11" s="177">
        <f t="shared" ref="V11" si="0">U11*T11</f>
        <v>-1017.8986891875691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Noyer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517*(4+1.87)/'Données projet'!D9</f>
        <v>979.20173564628078</v>
      </c>
      <c r="F17" s="230"/>
      <c r="G17" s="289"/>
      <c r="I17" s="1" t="s">
        <v>326</v>
      </c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I18" s="1" t="s">
        <v>325</v>
      </c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0.15*E17</f>
        <v>146.88026034694212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(800+12059*0.08+676.8+74+1135.52+133.2+2250+385.2+42.8+646.28+74.88+1172)/'Données projet'!C5+20+270</f>
        <v>2419.7953149295199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20+270+340</f>
        <v>630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20+270</f>
        <v>290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3</v>
      </c>
      <c r="C23" s="193">
        <v>5</v>
      </c>
      <c r="D23" s="182">
        <f>B23*C23</f>
        <v>15</v>
      </c>
      <c r="E23" s="193"/>
      <c r="F23" s="230"/>
      <c r="H23" s="190">
        <v>4</v>
      </c>
      <c r="I23" s="191">
        <v>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-14662.401074971356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25</v>
      </c>
      <c r="C24" s="193">
        <v>5</v>
      </c>
      <c r="D24" s="182">
        <f t="shared" ref="D24:D42" si="2">B24*C24</f>
        <v>125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27</v>
      </c>
      <c r="C25" s="193">
        <v>5</v>
      </c>
      <c r="D25" s="182">
        <f t="shared" si="2"/>
        <v>135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-14662.401074971356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31</v>
      </c>
      <c r="B26" s="181">
        <f>'Données projet'!D39</f>
        <v>36</v>
      </c>
      <c r="C26" s="193">
        <v>5</v>
      </c>
      <c r="D26" s="182">
        <f t="shared" si="2"/>
        <v>180</v>
      </c>
      <c r="E26" s="193"/>
      <c r="F26" s="233"/>
      <c r="G26" s="229"/>
      <c r="H26" s="190">
        <v>7</v>
      </c>
      <c r="I26" s="191">
        <v>20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37</v>
      </c>
      <c r="B27" s="181">
        <f>'Données projet'!D40</f>
        <v>36</v>
      </c>
      <c r="C27" s="193">
        <v>5</v>
      </c>
      <c r="D27" s="182">
        <f t="shared" si="2"/>
        <v>180</v>
      </c>
      <c r="E27" s="193"/>
      <c r="F27" s="233"/>
      <c r="G27" s="229"/>
      <c r="H27" s="190">
        <v>8</v>
      </c>
      <c r="I27" s="191">
        <v>20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44</v>
      </c>
      <c r="B28" s="181">
        <f>'Données projet'!D41</f>
        <v>43</v>
      </c>
      <c r="C28" s="193">
        <v>21.5</v>
      </c>
      <c r="D28" s="182">
        <f t="shared" si="2"/>
        <v>924.5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52</v>
      </c>
      <c r="B29" s="181">
        <f>'Données projet'!D42</f>
        <v>48</v>
      </c>
      <c r="C29" s="193">
        <v>21.5</v>
      </c>
      <c r="D29" s="182">
        <f t="shared" si="2"/>
        <v>1032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47</v>
      </c>
      <c r="C30" s="193">
        <v>21.5</v>
      </c>
      <c r="D30" s="182">
        <f t="shared" si="2"/>
        <v>1010.5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69</v>
      </c>
      <c r="B31" s="181">
        <f>'Données projet'!D44</f>
        <v>328</v>
      </c>
      <c r="C31" s="193">
        <v>38</v>
      </c>
      <c r="D31" s="182">
        <f t="shared" si="2"/>
        <v>12464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574*(1.6+1.87)/'Données projet'!D10</f>
        <v>2417.6459092724299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0.15*E48</f>
        <v>362.64688639086449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21</v>
      </c>
      <c r="C54" s="191">
        <v>5</v>
      </c>
      <c r="D54" s="179">
        <f>B54*C54</f>
        <v>105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43</v>
      </c>
      <c r="C55" s="191">
        <v>5</v>
      </c>
      <c r="D55" s="179">
        <f t="shared" ref="D55:D73" si="4">B55*C55</f>
        <v>215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44</v>
      </c>
      <c r="C56" s="191">
        <v>5</v>
      </c>
      <c r="D56" s="179">
        <f t="shared" si="4"/>
        <v>220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44</v>
      </c>
      <c r="C57" s="191">
        <v>5</v>
      </c>
      <c r="D57" s="179">
        <f t="shared" si="4"/>
        <v>220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42</v>
      </c>
      <c r="C58" s="191">
        <v>32</v>
      </c>
      <c r="D58" s="179">
        <f t="shared" si="4"/>
        <v>1344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39</v>
      </c>
      <c r="C59" s="191">
        <v>32</v>
      </c>
      <c r="D59" s="179">
        <f t="shared" si="4"/>
        <v>1248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36</v>
      </c>
      <c r="C60" s="191">
        <v>32</v>
      </c>
      <c r="D60" s="179">
        <f t="shared" si="4"/>
        <v>1152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33</v>
      </c>
      <c r="C61" s="191">
        <v>32</v>
      </c>
      <c r="D61" s="179">
        <f t="shared" si="4"/>
        <v>1056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29</v>
      </c>
      <c r="C62" s="191">
        <v>32</v>
      </c>
      <c r="D62" s="179">
        <f t="shared" si="4"/>
        <v>928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60</v>
      </c>
      <c r="B63" s="181">
        <f>'Données projet'!D71</f>
        <v>26</v>
      </c>
      <c r="C63" s="191">
        <v>32</v>
      </c>
      <c r="D63" s="179">
        <f t="shared" si="4"/>
        <v>832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65</v>
      </c>
      <c r="B64" s="181">
        <f>'Données projet'!D72</f>
        <v>23</v>
      </c>
      <c r="C64" s="191">
        <v>32</v>
      </c>
      <c r="D64" s="179">
        <f t="shared" si="4"/>
        <v>736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70</v>
      </c>
      <c r="B65" s="181">
        <f>'Données projet'!D73</f>
        <v>249</v>
      </c>
      <c r="C65" s="191">
        <v>32</v>
      </c>
      <c r="D65" s="179">
        <f t="shared" si="4"/>
        <v>7968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D4F4C6-81A8-4746-9711-CAF529531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2024-04-10T10:18:53Z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