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5 Bernieulles (62) - Patrick Valois/1-Labelisation/3-Envoi ter/"/>
    </mc:Choice>
  </mc:AlternateContent>
  <xr:revisionPtr revIDLastSave="181" documentId="13_ncr:1_{BB8925A5-DA85-B046-9900-33D525C23D84}" xr6:coauthVersionLast="47" xr6:coauthVersionMax="47" xr10:uidLastSave="{97DF6CFF-DB7C-BB46-8E1A-57AA32278886}"/>
  <bookViews>
    <workbookView xWindow="0" yWindow="0" windowWidth="28800" windowHeight="180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1" i="1" l="1"/>
  <c r="B251" i="1"/>
  <c r="B250" i="1"/>
  <c r="B249" i="1"/>
  <c r="B248" i="1"/>
  <c r="B247" i="1"/>
  <c r="B246" i="1"/>
  <c r="B245" i="1"/>
  <c r="B173" i="1"/>
  <c r="B172" i="1"/>
  <c r="B171" i="1"/>
  <c r="B170" i="1"/>
  <c r="B169" i="1"/>
  <c r="B168" i="1"/>
  <c r="B167" i="1"/>
  <c r="B121" i="1"/>
  <c r="B120" i="1"/>
  <c r="B119" i="1"/>
  <c r="B118" i="1"/>
  <c r="B117" i="1"/>
  <c r="B116" i="1"/>
  <c r="B115" i="1"/>
  <c r="B41" i="1"/>
  <c r="D41" i="1" s="1"/>
  <c r="B40" i="1"/>
  <c r="B39" i="1"/>
  <c r="B38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GL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FS20" i="2"/>
  <c r="EC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V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B28" i="2"/>
  <c r="EV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X38" i="2"/>
  <c r="HG38" i="2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C46" i="2"/>
  <c r="HG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FS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B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C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G87" i="2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X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FS105" i="2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X112" i="2"/>
  <c r="EC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FS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HH114" i="2"/>
  <c r="EV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EX120" i="2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W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HH140" i="2"/>
  <c r="EX140" i="2"/>
  <c r="FR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A144" i="2"/>
  <c r="FR144" i="2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HI146" i="2"/>
  <c r="FS146" i="2"/>
  <c r="FR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HH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HJ154" i="2"/>
  <c r="AC154" i="2"/>
  <c r="DI154" i="2"/>
  <c r="EA155" i="2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HI156" i="2"/>
  <c r="FS156" i="2"/>
  <c r="EB156" i="2"/>
  <c r="EX156" i="2"/>
  <c r="HG156" i="2"/>
  <c r="AB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CN156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HH158" i="2"/>
  <c r="EC158" i="2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ED158" i="2"/>
  <c r="HH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HG160" i="2"/>
  <c r="FS160" i="2"/>
  <c r="EC160" i="2"/>
  <c r="HI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G161" i="2" l="1"/>
  <c r="FS161" i="2"/>
  <c r="HH161" i="2"/>
  <c r="EX161" i="2"/>
  <c r="EB161" i="2"/>
  <c r="ED160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D161" i="2"/>
  <c r="EY161" i="2"/>
  <c r="EC162" i="2"/>
  <c r="DI161" i="2"/>
  <c r="EB162" i="2"/>
  <c r="EW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HH163" i="2"/>
  <c r="EY162" i="2"/>
  <c r="HG163" i="2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HG164" i="2"/>
  <c r="FR164" i="2"/>
  <c r="DI163" i="2"/>
  <c r="DH164" i="2"/>
  <c r="EA164" i="2"/>
  <c r="EX164" i="2"/>
  <c r="EV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HH165" i="2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FR167" i="2"/>
  <c r="EX167" i="2"/>
  <c r="EC167" i="2"/>
  <c r="EY166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I167" i="2"/>
  <c r="HH168" i="2"/>
  <c r="HI168" i="2"/>
  <c r="EB168" i="2"/>
  <c r="DG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Y171" i="2"/>
  <c r="ED171" i="2"/>
  <c r="HG172" i="2"/>
  <c r="HI172" i="2"/>
  <c r="EV172" i="2"/>
  <c r="EW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HJ172" i="2"/>
  <c r="EX173" i="2"/>
  <c r="HH173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HI175" i="2"/>
  <c r="EB175" i="2"/>
  <c r="EA175" i="2"/>
  <c r="FS175" i="2"/>
  <c r="AA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FS177" i="2"/>
  <c r="EW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W178" i="2"/>
  <c r="EB178" i="2"/>
  <c r="EA178" i="2"/>
  <c r="ED177" i="2"/>
  <c r="FQ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HI185" i="2"/>
  <c r="HH185" i="2"/>
  <c r="HG185" i="2"/>
  <c r="EB185" i="2"/>
  <c r="EW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S186" i="2"/>
  <c r="EW186" i="2"/>
  <c r="HH186" i="2"/>
  <c r="FR186" i="2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B190" i="2"/>
  <c r="HH190" i="2"/>
  <c r="HJ189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EW191" i="2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I192" i="2"/>
  <c r="EC192" i="2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EB193" i="2"/>
  <c r="DI192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FQ194" i="2"/>
  <c r="EB194" i="2"/>
  <c r="EA194" i="2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I195" i="2" l="1"/>
  <c r="AA195" i="2"/>
  <c r="EA195" i="2"/>
  <c r="ED194" i="2"/>
  <c r="HG195" i="2"/>
  <c r="FQ195" i="2"/>
  <c r="DH195" i="2"/>
  <c r="EY194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H197" i="2"/>
  <c r="FS197" i="2"/>
  <c r="EW197" i="2"/>
  <c r="EY196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HH199" i="2"/>
  <c r="FS199" i="2"/>
  <c r="EB199" i="2"/>
  <c r="EA199" i="2"/>
  <c r="EV199" i="2"/>
  <c r="EW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 l="1"/>
  <c r="DI200" i="2"/>
  <c r="HJ200" i="2"/>
  <c r="HG201" i="2"/>
  <c r="ED200" i="2"/>
  <c r="EA201" i="2"/>
  <c r="EB201" i="2"/>
  <c r="FS201" i="2"/>
  <c r="HH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D201" i="2"/>
  <c r="EY201" i="2"/>
  <c r="HI202" i="2"/>
  <c r="EW202" i="2"/>
  <c r="HG202" i="2"/>
  <c r="FZ6" i="2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DN155" i="2" a="1"/>
  <c r="DN155" i="2" s="1"/>
  <c r="DN41" i="2" a="1"/>
  <c r="DN41" i="2" s="1"/>
  <c r="DN6" i="2" a="1"/>
  <c r="DN6" i="2" s="1"/>
  <c r="DO6" i="2" s="1"/>
  <c r="AX200" i="2"/>
  <c r="DN167" i="2" l="1" a="1"/>
  <c r="DN167" i="2" s="1"/>
  <c r="BC18" i="2" a="1"/>
  <c r="BC18" i="2" s="1"/>
  <c r="FD194" i="2" a="1"/>
  <c r="FD194" i="2" s="1"/>
  <c r="DN45" i="2" a="1"/>
  <c r="DN45" i="2" s="1"/>
  <c r="BC185" i="2" a="1"/>
  <c r="BC185" i="2" s="1"/>
  <c r="DN65" i="2" a="1"/>
  <c r="DN65" i="2" s="1"/>
  <c r="FD159" i="2" a="1"/>
  <c r="FD159" i="2" s="1"/>
  <c r="DN49" i="2" a="1"/>
  <c r="DN49" i="2" s="1"/>
  <c r="BC84" i="2" a="1"/>
  <c r="BC84" i="2" s="1"/>
  <c r="DN150" i="2" a="1"/>
  <c r="DN150" i="2" s="1"/>
  <c r="DN176" i="2" a="1"/>
  <c r="DN176" i="2" s="1"/>
  <c r="DN168" i="2" a="1"/>
  <c r="DN168" i="2" s="1"/>
  <c r="BC130" i="2" a="1"/>
  <c r="BC130" i="2" s="1"/>
  <c r="DN86" i="2" a="1"/>
  <c r="DN86" i="2" s="1"/>
  <c r="DN70" i="2" a="1"/>
  <c r="DN70" i="2" s="1"/>
  <c r="DN164" i="2" a="1"/>
  <c r="DN164" i="2" s="1"/>
  <c r="BC32" i="2" a="1"/>
  <c r="BC32" i="2" s="1"/>
  <c r="DN177" i="2" a="1"/>
  <c r="DN177" i="2" s="1"/>
  <c r="DN132" i="2" a="1"/>
  <c r="DN132" i="2" s="1"/>
  <c r="BC38" i="2" a="1"/>
  <c r="BC38" i="2" s="1"/>
  <c r="DN31" i="2" a="1"/>
  <c r="DN31" i="2" s="1"/>
  <c r="DN80" i="2" a="1"/>
  <c r="DN80" i="2" s="1"/>
  <c r="BC7" i="2" a="1"/>
  <c r="BC7" i="2" s="1"/>
  <c r="BC55" i="2" a="1"/>
  <c r="BC55" i="2" s="1"/>
  <c r="FD44" i="2" a="1"/>
  <c r="FD44" i="2" s="1"/>
  <c r="DN113" i="2" a="1"/>
  <c r="DN113" i="2" s="1"/>
  <c r="FD82" i="2" a="1"/>
  <c r="FD82" i="2" s="1"/>
  <c r="FD160" i="2" a="1"/>
  <c r="FD160" i="2" s="1"/>
  <c r="FD43" i="2" a="1"/>
  <c r="FD43" i="2" s="1"/>
  <c r="FY42" i="2" a="1"/>
  <c r="FY42" i="2" s="1"/>
  <c r="FY149" i="2" a="1"/>
  <c r="FY149" i="2" s="1"/>
  <c r="FD187" i="2" a="1"/>
  <c r="FD187" i="2" s="1"/>
  <c r="FD137" i="2" a="1"/>
  <c r="FD137" i="2" s="1"/>
  <c r="FD189" i="2" a="1"/>
  <c r="FD189" i="2" s="1"/>
  <c r="FY115" i="2" a="1"/>
  <c r="FY115" i="2" s="1"/>
  <c r="FY72" i="2" a="1"/>
  <c r="FY72" i="2" s="1"/>
  <c r="FD19" i="2" a="1"/>
  <c r="FD19" i="2" s="1"/>
  <c r="FD167" i="2" a="1"/>
  <c r="FD167" i="2" s="1"/>
  <c r="FY167" i="2" a="1"/>
  <c r="FY167" i="2" s="1"/>
  <c r="AH166" i="2" a="1"/>
  <c r="AH166" i="2" s="1"/>
  <c r="DN129" i="2" a="1"/>
  <c r="DN129" i="2" s="1"/>
  <c r="BC181" i="2" a="1"/>
  <c r="BC181" i="2" s="1"/>
  <c r="EI195" i="2" a="1"/>
  <c r="EI195" i="2" s="1"/>
  <c r="EI71" i="2" a="1"/>
  <c r="EI71" i="2" s="1"/>
  <c r="DN29" i="2" a="1"/>
  <c r="DN29" i="2" s="1"/>
  <c r="BC47" i="2" a="1"/>
  <c r="BC47" i="2" s="1"/>
  <c r="FD60" i="2" a="1"/>
  <c r="FD60" i="2" s="1"/>
  <c r="FY80" i="2" a="1"/>
  <c r="FY80" i="2" s="1"/>
  <c r="FY82" i="2" a="1"/>
  <c r="FY82" i="2" s="1"/>
  <c r="FY58" i="2" a="1"/>
  <c r="FY58" i="2" s="1"/>
  <c r="FY104" i="2" a="1"/>
  <c r="FY104" i="2" s="1"/>
  <c r="FY124" i="2" a="1"/>
  <c r="FY124" i="2" s="1"/>
  <c r="FY28" i="2" a="1"/>
  <c r="FY28" i="2" s="1"/>
  <c r="FD131" i="2" a="1"/>
  <c r="FD131" i="2" s="1"/>
  <c r="FD14" i="2" a="1"/>
  <c r="FD14" i="2" s="1"/>
  <c r="FY121" i="2" a="1"/>
  <c r="FY121" i="2" s="1"/>
  <c r="FY30" i="2" a="1"/>
  <c r="FY30" i="2" s="1"/>
  <c r="FY182" i="2" a="1"/>
  <c r="FY182" i="2" s="1"/>
  <c r="AH62" i="2" a="1"/>
  <c r="AH62" i="2" s="1"/>
  <c r="FY34" i="2" a="1"/>
  <c r="FY34" i="2" s="1"/>
  <c r="FY62" i="2" a="1"/>
  <c r="FY62" i="2" s="1"/>
  <c r="FY120" i="2" a="1"/>
  <c r="FY120" i="2" s="1"/>
  <c r="FD107" i="2" a="1"/>
  <c r="FD107" i="2" s="1"/>
  <c r="FD64" i="2" a="1"/>
  <c r="FD64" i="2" s="1"/>
  <c r="FD188" i="2" a="1"/>
  <c r="FD188" i="2" s="1"/>
  <c r="FY142" i="2" a="1"/>
  <c r="FY142" i="2" s="1"/>
  <c r="FY196" i="2" a="1"/>
  <c r="FY196" i="2" s="1"/>
  <c r="FY86" i="2" a="1"/>
  <c r="FY86" i="2" s="1"/>
  <c r="AH90" i="2" a="1"/>
  <c r="AH90" i="2" s="1"/>
  <c r="FY172" i="2" a="1"/>
  <c r="FY172" i="2" s="1"/>
  <c r="FY24" i="2" a="1"/>
  <c r="FY24" i="2" s="1"/>
  <c r="FY55" i="2" a="1"/>
  <c r="FY55" i="2" s="1"/>
  <c r="EI170" i="2" a="1"/>
  <c r="EI170" i="2" s="1"/>
  <c r="EI113" i="2" a="1"/>
  <c r="EI113" i="2" s="1"/>
  <c r="DN16" i="2" a="1"/>
  <c r="DN16" i="2" s="1"/>
  <c r="EI37" i="2" a="1"/>
  <c r="EI37" i="2" s="1"/>
  <c r="EI109" i="2" a="1"/>
  <c r="EI109" i="2" s="1"/>
  <c r="BC143" i="2" a="1"/>
  <c r="BC143" i="2" s="1"/>
  <c r="DN114" i="2" a="1"/>
  <c r="DN114" i="2" s="1"/>
  <c r="DN153" i="2" a="1"/>
  <c r="DN153" i="2" s="1"/>
  <c r="EI166" i="2" a="1"/>
  <c r="EI166" i="2" s="1"/>
  <c r="EI87" i="2" a="1"/>
  <c r="EI87" i="2" s="1"/>
  <c r="EI106" i="2" a="1"/>
  <c r="EI106" i="2" s="1"/>
  <c r="DN187" i="2" a="1"/>
  <c r="DN187" i="2" s="1"/>
  <c r="DN30" i="2" a="1"/>
  <c r="DN30" i="2" s="1"/>
  <c r="DN190" i="2" a="1"/>
  <c r="DN190" i="2" s="1"/>
  <c r="DN55" i="2" a="1"/>
  <c r="DN55" i="2" s="1"/>
  <c r="DN135" i="2" a="1"/>
  <c r="DN135" i="2" s="1"/>
  <c r="EI20" i="2" a="1"/>
  <c r="EI20" i="2" s="1"/>
  <c r="BC83" i="2" a="1"/>
  <c r="BC83" i="2" s="1"/>
  <c r="BC164" i="2" a="1"/>
  <c r="BC164" i="2" s="1"/>
  <c r="DN192" i="2" a="1"/>
  <c r="DN192" i="2" s="1"/>
  <c r="DN25" i="2" a="1"/>
  <c r="DN25" i="2" s="1"/>
  <c r="DN43" i="2" a="1"/>
  <c r="DN43" i="2" s="1"/>
  <c r="BC34" i="2" a="1"/>
  <c r="BC34" i="2" s="1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EI67" i="2" a="1"/>
  <c r="EI67" i="2" s="1"/>
  <c r="EI165" i="2" a="1"/>
  <c r="EI165" i="2" s="1"/>
  <c r="DN63" i="2" a="1"/>
  <c r="DN63" i="2" s="1"/>
  <c r="BC151" i="2" a="1"/>
  <c r="BC151" i="2" s="1"/>
  <c r="BC31" i="2" a="1"/>
  <c r="BC31" i="2" s="1"/>
  <c r="BC192" i="2" a="1"/>
  <c r="BC192" i="2" s="1"/>
  <c r="AH199" i="2" a="1"/>
  <c r="AH199" i="2" s="1"/>
  <c r="DN123" i="2" a="1"/>
  <c r="DN123" i="2" s="1"/>
  <c r="DN188" i="2" a="1"/>
  <c r="DN188" i="2" s="1"/>
  <c r="DN170" i="2" a="1"/>
  <c r="DN170" i="2" s="1"/>
  <c r="DN184" i="2" a="1"/>
  <c r="DN184" i="2" s="1"/>
  <c r="DN137" i="2" a="1"/>
  <c r="DN137" i="2" s="1"/>
  <c r="DN56" i="2" a="1"/>
  <c r="DN56" i="2" s="1"/>
  <c r="BC114" i="2" a="1"/>
  <c r="BC114" i="2" s="1"/>
  <c r="FY143" i="2" a="1"/>
  <c r="FY143" i="2" s="1"/>
  <c r="BC65" i="2" a="1"/>
  <c r="BC65" i="2" s="1"/>
  <c r="FD144" i="2" a="1"/>
  <c r="FD144" i="2" s="1"/>
  <c r="FY190" i="2" a="1"/>
  <c r="FY190" i="2" s="1"/>
  <c r="FY92" i="2" a="1"/>
  <c r="FY92" i="2" s="1"/>
  <c r="CS120" i="2" a="1"/>
  <c r="CS120" i="2" s="1"/>
  <c r="CS72" i="2" a="1"/>
  <c r="CS72" i="2" s="1"/>
  <c r="CS38" i="2" a="1"/>
  <c r="CS38" i="2" s="1"/>
  <c r="CS24" i="2" a="1"/>
  <c r="CS24" i="2" s="1"/>
  <c r="CS114" i="2" a="1"/>
  <c r="CS114" i="2" s="1"/>
  <c r="CS161" i="2" a="1"/>
  <c r="CS161" i="2" s="1"/>
  <c r="CS56" i="2" a="1"/>
  <c r="CS56" i="2" s="1"/>
  <c r="CS77" i="2" a="1"/>
  <c r="CS77" i="2" s="1"/>
  <c r="CS52" i="2" a="1"/>
  <c r="CS52" i="2" s="1"/>
  <c r="CS134" i="2" a="1"/>
  <c r="CS134" i="2" s="1"/>
  <c r="CS185" i="2" a="1"/>
  <c r="CS185" i="2" s="1"/>
  <c r="CS105" i="2" a="1"/>
  <c r="CS105" i="2" s="1"/>
  <c r="CS137" i="2" a="1"/>
  <c r="CS137" i="2" s="1"/>
  <c r="FY152" i="2" a="1"/>
  <c r="FY152" i="2" s="1"/>
  <c r="HJ202" i="2"/>
  <c r="FD48" i="2" a="1"/>
  <c r="FD48" i="2" s="1"/>
  <c r="FD59" i="2" a="1"/>
  <c r="FD59" i="2" s="1"/>
  <c r="FS203" i="2"/>
  <c r="CS66" i="2" a="1"/>
  <c r="CS66" i="2" s="1"/>
  <c r="BC82" i="2" a="1"/>
  <c r="BC82" i="2" s="1"/>
  <c r="FY174" i="2" a="1"/>
  <c r="FY174" i="2" s="1"/>
  <c r="FY69" i="2" a="1"/>
  <c r="FY69" i="2" s="1"/>
  <c r="FY126" i="2" a="1"/>
  <c r="FY126" i="2" s="1"/>
  <c r="FY116" i="2" a="1"/>
  <c r="FY116" i="2" s="1"/>
  <c r="FY173" i="2" a="1"/>
  <c r="FY173" i="2" s="1"/>
  <c r="FY66" i="2" a="1"/>
  <c r="FY66" i="2" s="1"/>
  <c r="AH163" i="2" a="1"/>
  <c r="AH163" i="2" s="1"/>
  <c r="AH19" i="2" a="1"/>
  <c r="AH19" i="2" s="1"/>
  <c r="AH151" i="2" a="1"/>
  <c r="AH151" i="2" s="1"/>
  <c r="CS116" i="2" a="1"/>
  <c r="CS116" i="2" s="1"/>
  <c r="CS129" i="2" a="1"/>
  <c r="CS129" i="2" s="1"/>
  <c r="EI178" i="2" a="1"/>
  <c r="EI178" i="2" s="1"/>
  <c r="FD21" i="2" a="1"/>
  <c r="FD21" i="2" s="1"/>
  <c r="FY164" i="2" a="1"/>
  <c r="FY164" i="2" s="1"/>
  <c r="FY169" i="2" a="1"/>
  <c r="FY169" i="2" s="1"/>
  <c r="FY178" i="2" a="1"/>
  <c r="FY178" i="2" s="1"/>
  <c r="FY78" i="2" a="1"/>
  <c r="FY78" i="2" s="1"/>
  <c r="FY111" i="2" a="1"/>
  <c r="FY111" i="2" s="1"/>
  <c r="FY191" i="2" a="1"/>
  <c r="FY191" i="2" s="1"/>
  <c r="FY32" i="2" a="1"/>
  <c r="FY32" i="2" s="1"/>
  <c r="FY186" i="2" a="1"/>
  <c r="FY186" i="2" s="1"/>
  <c r="FY110" i="2" a="1"/>
  <c r="FY110" i="2" s="1"/>
  <c r="FY140" i="2" a="1"/>
  <c r="FY140" i="2" s="1"/>
  <c r="DN103" i="2" a="1"/>
  <c r="DN10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24" i="2" a="1"/>
  <c r="DN124" i="2" s="1"/>
  <c r="EI145" i="2" a="1"/>
  <c r="EI145" i="2" s="1"/>
  <c r="BC117" i="2" a="1"/>
  <c r="BC117" i="2" s="1"/>
  <c r="BC126" i="2" a="1"/>
  <c r="BC126" i="2" s="1"/>
  <c r="BC58" i="2" a="1"/>
  <c r="BC58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33" i="2" a="1"/>
  <c r="FY133" i="2" s="1"/>
  <c r="BC68" i="2" a="1"/>
  <c r="BC68" i="2" s="1"/>
  <c r="FY29" i="2" a="1"/>
  <c r="FY29" i="2" s="1"/>
  <c r="FY102" i="2" a="1"/>
  <c r="FY102" i="2" s="1"/>
  <c r="FY71" i="2" a="1"/>
  <c r="FY71" i="2" s="1"/>
  <c r="FY146" i="2" a="1"/>
  <c r="FY146" i="2" s="1"/>
  <c r="EI38" i="2" a="1"/>
  <c r="EI38" i="2" s="1"/>
  <c r="EI150" i="2" a="1"/>
  <c r="EI150" i="2" s="1"/>
  <c r="EI198" i="2" a="1"/>
  <c r="EI198" i="2" s="1"/>
  <c r="EI139" i="2" a="1"/>
  <c r="EI139" i="2" s="1"/>
  <c r="EI128" i="2" a="1"/>
  <c r="EI128" i="2" s="1"/>
  <c r="EI57" i="2" a="1"/>
  <c r="EI57" i="2" s="1"/>
  <c r="GT107" i="2" a="1"/>
  <c r="GT107" i="2" s="1"/>
  <c r="EI142" i="2" a="1"/>
  <c r="EI142" i="2" s="1"/>
  <c r="EI29" i="2" a="1"/>
  <c r="EI29" i="2" s="1"/>
  <c r="FY18" i="2" a="1"/>
  <c r="FY18" i="2" s="1"/>
  <c r="FY35" i="2" a="1"/>
  <c r="FY35" i="2" s="1"/>
  <c r="EY202" i="2"/>
  <c r="GT38" i="2" a="1"/>
  <c r="GT38" i="2" s="1"/>
  <c r="GT152" i="2" a="1"/>
  <c r="GT152" i="2" s="1"/>
  <c r="GT189" i="2" a="1"/>
  <c r="GT189" i="2" s="1"/>
  <c r="GT122" i="2" a="1"/>
  <c r="GT122" i="2" s="1"/>
  <c r="FY50" i="2" a="1"/>
  <c r="FY50" i="2" s="1"/>
  <c r="GT184" i="2" a="1"/>
  <c r="GT184" i="2" s="1"/>
  <c r="GT198" i="2" a="1"/>
  <c r="GT198" i="2" s="1"/>
  <c r="GT51" i="2" a="1"/>
  <c r="GT51" i="2" s="1"/>
  <c r="GT174" i="2" a="1"/>
  <c r="GT174" i="2" s="1"/>
  <c r="GT126" i="2" a="1"/>
  <c r="GT126" i="2" s="1"/>
  <c r="GT11" i="2" a="1"/>
  <c r="GT11" i="2" s="1"/>
  <c r="GT33" i="2" a="1"/>
  <c r="GT33" i="2" s="1"/>
  <c r="GT115" i="2" a="1"/>
  <c r="GT115" i="2" s="1"/>
  <c r="EI35" i="2" a="1"/>
  <c r="EI35" i="2" s="1"/>
  <c r="EI16" i="2" a="1"/>
  <c r="EI16" i="2" s="1"/>
  <c r="EI34" i="2" a="1"/>
  <c r="EI34" i="2" s="1"/>
  <c r="EI36" i="2" a="1"/>
  <c r="EI36" i="2" s="1"/>
  <c r="GT15" i="2" a="1"/>
  <c r="GT15" i="2" s="1"/>
  <c r="GT190" i="2" a="1"/>
  <c r="GT190" i="2" s="1"/>
  <c r="GT74" i="2" a="1"/>
  <c r="GT74" i="2" s="1"/>
  <c r="GT21" i="2" a="1"/>
  <c r="GT21" i="2" s="1"/>
  <c r="EI162" i="2" a="1"/>
  <c r="EI162" i="2" s="1"/>
  <c r="EI153" i="2" a="1"/>
  <c r="EI153" i="2" s="1"/>
  <c r="GT102" i="2" a="1"/>
  <c r="GT102" i="2" s="1"/>
  <c r="GT133" i="2" a="1"/>
  <c r="GT133" i="2" s="1"/>
  <c r="GT68" i="2" a="1"/>
  <c r="GT68" i="2" s="1"/>
  <c r="FY165" i="2" a="1"/>
  <c r="FY165" i="2" s="1"/>
  <c r="FY47" i="2" a="1"/>
  <c r="FY47" i="2" s="1"/>
  <c r="GT138" i="2" a="1"/>
  <c r="GT138" i="2" s="1"/>
  <c r="GT191" i="2" a="1"/>
  <c r="GT191" i="2" s="1"/>
  <c r="GT178" i="2" a="1"/>
  <c r="GT178" i="2" s="1"/>
  <c r="GT12" i="2" a="1"/>
  <c r="GT12" i="2" s="1"/>
  <c r="GT147" i="2" a="1"/>
  <c r="GT147" i="2" s="1"/>
  <c r="GT121" i="2" a="1"/>
  <c r="GT121" i="2" s="1"/>
  <c r="GT181" i="2" a="1"/>
  <c r="GT181" i="2" s="1"/>
  <c r="FR203" i="2"/>
  <c r="BX107" i="2" a="1"/>
  <c r="BX107" i="2" s="1"/>
  <c r="HH203" i="2"/>
  <c r="HG203" i="2"/>
  <c r="FY79" i="2" a="1"/>
  <c r="FY79" i="2" s="1"/>
  <c r="FY22" i="2" a="1"/>
  <c r="FY22" i="2" s="1"/>
  <c r="FY90" i="2" a="1"/>
  <c r="FY90" i="2" s="1"/>
  <c r="FY57" i="2" a="1"/>
  <c r="FY57" i="2" s="1"/>
  <c r="FY54" i="2" a="1"/>
  <c r="FY54" i="2" s="1"/>
  <c r="FY109" i="2" a="1"/>
  <c r="FY10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Z132" i="2" l="1"/>
  <c r="GZ102" i="2"/>
  <c r="GZ84" i="2"/>
  <c r="GZ13" i="2"/>
  <c r="GZ36" i="2"/>
  <c r="GZ22" i="2"/>
  <c r="GZ68" i="2"/>
  <c r="GZ101" i="2"/>
  <c r="GZ175" i="2"/>
  <c r="GZ173" i="2"/>
  <c r="GZ180" i="2"/>
  <c r="GZ10" i="2"/>
  <c r="GZ146" i="2"/>
  <c r="GZ48" i="2"/>
  <c r="GZ117" i="2"/>
  <c r="GZ201" i="2"/>
  <c r="GZ162" i="2"/>
  <c r="GZ159" i="2"/>
  <c r="GZ156" i="2"/>
  <c r="GZ106" i="2"/>
  <c r="GZ40" i="2"/>
  <c r="GZ24" i="2"/>
  <c r="GZ94" i="2"/>
  <c r="GZ45" i="2"/>
  <c r="GZ113" i="2"/>
  <c r="GZ19" i="2"/>
  <c r="GZ171" i="2"/>
  <c r="GZ138" i="2"/>
  <c r="GZ166" i="2"/>
  <c r="GZ105" i="2"/>
  <c r="GZ75" i="2"/>
  <c r="GZ34" i="2"/>
  <c r="GZ192" i="2"/>
  <c r="GZ56" i="2"/>
  <c r="GZ96" i="2"/>
  <c r="GZ178" i="2"/>
  <c r="GZ187" i="2"/>
  <c r="GZ43" i="2"/>
  <c r="GZ39" i="2"/>
  <c r="GZ49" i="2"/>
  <c r="GZ134" i="2"/>
  <c r="GZ35" i="2"/>
  <c r="GZ100" i="2"/>
  <c r="GZ5" i="2"/>
  <c r="GZ82" i="2"/>
  <c r="GZ71" i="2"/>
  <c r="GZ197" i="2"/>
  <c r="GZ77" i="2"/>
  <c r="GZ198" i="2"/>
  <c r="GZ111" i="2"/>
  <c r="GZ126" i="2"/>
  <c r="GZ108" i="2"/>
  <c r="GZ202" i="2"/>
  <c r="GZ50" i="2"/>
  <c r="GZ179" i="2"/>
  <c r="GZ8" i="2"/>
  <c r="GZ26" i="2"/>
  <c r="GZ90" i="2"/>
  <c r="GZ114" i="2"/>
  <c r="GZ92" i="2"/>
  <c r="GZ27" i="2"/>
  <c r="GZ70" i="2"/>
  <c r="GZ98" i="2"/>
  <c r="GZ28" i="2"/>
  <c r="GZ15" i="2"/>
  <c r="GZ127" i="2"/>
  <c r="GZ107" i="2"/>
  <c r="GZ62" i="2"/>
  <c r="GZ63" i="2"/>
  <c r="GZ109" i="2"/>
  <c r="GZ165" i="2"/>
  <c r="GZ182" i="2"/>
  <c r="GZ167" i="2"/>
  <c r="GZ141" i="2"/>
  <c r="GZ152" i="2"/>
  <c r="GZ73" i="2"/>
  <c r="GZ203" i="2"/>
  <c r="GZ129" i="2"/>
  <c r="GZ130" i="2"/>
  <c r="GZ54" i="2"/>
  <c r="GZ66" i="2"/>
  <c r="GZ55" i="2"/>
  <c r="GZ131" i="2"/>
  <c r="GZ80" i="2"/>
  <c r="GZ17" i="2"/>
  <c r="GZ168" i="2"/>
  <c r="GZ136" i="2"/>
  <c r="GZ83" i="2"/>
  <c r="GZ172" i="2"/>
  <c r="GZ12" i="2"/>
  <c r="GZ42" i="2"/>
  <c r="GZ191" i="2"/>
  <c r="GZ164" i="2"/>
  <c r="GZ157" i="2"/>
  <c r="GZ89" i="2"/>
  <c r="GZ20" i="2"/>
  <c r="GZ128" i="2"/>
  <c r="GZ193" i="2"/>
  <c r="GZ116" i="2"/>
  <c r="GZ133" i="2"/>
  <c r="GZ51" i="2"/>
  <c r="GZ174" i="2"/>
  <c r="GZ143" i="2"/>
  <c r="GZ91" i="2"/>
  <c r="GZ160" i="2"/>
  <c r="GZ46" i="2"/>
  <c r="GZ59" i="2"/>
  <c r="GZ176" i="2"/>
  <c r="GZ120" i="2"/>
  <c r="GZ85" i="2"/>
  <c r="GZ124" i="2"/>
  <c r="GZ99" i="2"/>
  <c r="GZ151" i="2"/>
  <c r="GZ194" i="2"/>
  <c r="GZ31" i="2"/>
  <c r="GZ104" i="2"/>
  <c r="GZ33" i="2"/>
  <c r="GZ121" i="2"/>
  <c r="GZ199" i="2"/>
  <c r="GZ14" i="2"/>
  <c r="GZ4" i="2"/>
  <c r="GZ135" i="2"/>
  <c r="GZ196" i="2"/>
  <c r="GZ60" i="2"/>
  <c r="GZ163" i="2"/>
  <c r="GZ119" i="2"/>
  <c r="GZ18" i="2"/>
  <c r="GZ112" i="2"/>
  <c r="GZ76" i="2"/>
  <c r="GZ57" i="2"/>
  <c r="GZ6" i="2"/>
  <c r="GZ158" i="2"/>
  <c r="GZ11" i="2"/>
  <c r="GZ87" i="2"/>
  <c r="GZ72" i="2"/>
  <c r="GZ183" i="2"/>
  <c r="GZ61" i="2"/>
  <c r="GZ9" i="2"/>
  <c r="GZ125" i="2"/>
  <c r="GZ149" i="2"/>
  <c r="GZ189" i="2"/>
  <c r="GZ153" i="2"/>
  <c r="GZ52" i="2"/>
  <c r="GZ155" i="2"/>
  <c r="GZ147" i="2"/>
  <c r="GZ16" i="2"/>
  <c r="GZ32" i="2"/>
  <c r="GZ58" i="2"/>
  <c r="GZ53" i="2"/>
  <c r="GZ161" i="2"/>
  <c r="GZ97" i="2"/>
  <c r="GZ21" i="2"/>
  <c r="GZ7" i="2"/>
  <c r="GZ140" i="2"/>
  <c r="GZ200" i="2"/>
  <c r="GZ148" i="2"/>
  <c r="GZ47" i="2"/>
  <c r="GZ67" i="2"/>
  <c r="GZ145" i="2"/>
  <c r="GZ29" i="2"/>
  <c r="GZ122" i="2"/>
  <c r="GZ93" i="2"/>
  <c r="GZ144" i="2"/>
  <c r="GZ37" i="2"/>
  <c r="GZ69" i="2"/>
  <c r="GZ142" i="2"/>
  <c r="GZ78" i="2"/>
  <c r="GZ190" i="2"/>
  <c r="GZ95" i="2"/>
  <c r="GZ150" i="2"/>
  <c r="GZ123" i="2"/>
  <c r="GZ65" i="2"/>
  <c r="GZ44" i="2"/>
  <c r="GZ185" i="2"/>
  <c r="GZ139" i="2"/>
  <c r="GZ81" i="2"/>
  <c r="GZ103" i="2"/>
  <c r="GZ88" i="2"/>
  <c r="GZ169" i="2"/>
  <c r="GZ25" i="2"/>
  <c r="GZ110" i="2"/>
  <c r="GZ79" i="2"/>
  <c r="GZ195" i="2"/>
  <c r="GZ184" i="2"/>
  <c r="GZ170" i="2"/>
  <c r="GZ118" i="2"/>
  <c r="GZ186" i="2"/>
  <c r="GZ181" i="2"/>
  <c r="GZ137" i="2"/>
  <c r="GZ74" i="2"/>
  <c r="GZ86" i="2"/>
  <c r="GZ188" i="2"/>
  <c r="GZ177" i="2"/>
  <c r="GZ64" i="2"/>
  <c r="GZ30" i="2"/>
  <c r="GZ38" i="2"/>
  <c r="GZ154" i="2"/>
  <c r="GZ23" i="2"/>
  <c r="GZ41" i="2"/>
  <c r="GZ115" i="2"/>
  <c r="GZ3" i="2"/>
  <c r="C15" i="4" s="1"/>
  <c r="E15" i="4" s="1"/>
  <c r="F15" i="4" s="1"/>
  <c r="G15" i="4" s="1"/>
  <c r="L15" i="4" s="1"/>
  <c r="GE11" i="2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CD48" i="2" l="1"/>
  <c r="CD13" i="2"/>
  <c r="CD60" i="2"/>
  <c r="CD172" i="2"/>
  <c r="CD124" i="2"/>
  <c r="CD125" i="2"/>
  <c r="CD41" i="2"/>
  <c r="CD115" i="2"/>
  <c r="CD189" i="2"/>
  <c r="CD178" i="2"/>
  <c r="CD57" i="2"/>
  <c r="CD47" i="2"/>
  <c r="CD162" i="2"/>
  <c r="CD200" i="2"/>
  <c r="CD20" i="2"/>
  <c r="CD132" i="2"/>
  <c r="CD185" i="2"/>
  <c r="CD136" i="2"/>
  <c r="CD157" i="2"/>
  <c r="CD120" i="2"/>
  <c r="CD138" i="2"/>
  <c r="CD69" i="2"/>
  <c r="CD71" i="2"/>
  <c r="CD156" i="2"/>
  <c r="CD68" i="2"/>
  <c r="CD9" i="2"/>
  <c r="CD63" i="2"/>
  <c r="CD23" i="2"/>
  <c r="CD45" i="2"/>
  <c r="CD103" i="2"/>
  <c r="CD101" i="2"/>
  <c r="CD183" i="2"/>
  <c r="CD70" i="2"/>
  <c r="CD128" i="2"/>
  <c r="CD160" i="2"/>
  <c r="CD165" i="2"/>
  <c r="CD152" i="2"/>
  <c r="CD176" i="2"/>
  <c r="CD58" i="2"/>
  <c r="CD104" i="2"/>
  <c r="CD105" i="2"/>
  <c r="CD75" i="2"/>
  <c r="CD194" i="2"/>
  <c r="CD149" i="2"/>
  <c r="CD121" i="2"/>
  <c r="CD66" i="2"/>
  <c r="CD203" i="2"/>
  <c r="CD134" i="2"/>
  <c r="CD199" i="2"/>
  <c r="CD155" i="2"/>
  <c r="CD159" i="2"/>
  <c r="CD77" i="2"/>
  <c r="CD61" i="2"/>
  <c r="CD133" i="2"/>
  <c r="CD173" i="2"/>
  <c r="CD119" i="2"/>
  <c r="CD126" i="2"/>
  <c r="CD137" i="2"/>
  <c r="CD129" i="2"/>
  <c r="CD44" i="2"/>
  <c r="CD62" i="2"/>
  <c r="CD31" i="2"/>
  <c r="CD140" i="2"/>
  <c r="CD64" i="2"/>
  <c r="CD43" i="2"/>
  <c r="CD67" i="2"/>
  <c r="CD49" i="2"/>
  <c r="CD59" i="2"/>
  <c r="CD81" i="2"/>
  <c r="CD39" i="2"/>
  <c r="CD114" i="2"/>
  <c r="CD110" i="2"/>
  <c r="CD54" i="2"/>
  <c r="CD56" i="2"/>
  <c r="CD190" i="2"/>
  <c r="CD142" i="2"/>
  <c r="CD82" i="2"/>
  <c r="CD109" i="2"/>
  <c r="CD166" i="2"/>
  <c r="CD37" i="2"/>
  <c r="CD30" i="2"/>
  <c r="CD5" i="2"/>
  <c r="CD79" i="2"/>
  <c r="CD141" i="2"/>
  <c r="CD122" i="2"/>
  <c r="CD192" i="2"/>
  <c r="CD131" i="2"/>
  <c r="CD202" i="2"/>
  <c r="CD143" i="2"/>
  <c r="CD117" i="2"/>
  <c r="CD86" i="2"/>
  <c r="CD171" i="2"/>
  <c r="CD33" i="2"/>
  <c r="CD76" i="2"/>
  <c r="CD196" i="2"/>
  <c r="CD145" i="2"/>
  <c r="CD35" i="2"/>
  <c r="CD177" i="2"/>
  <c r="CD193" i="2"/>
  <c r="CD94" i="2"/>
  <c r="CD158" i="2"/>
  <c r="CD95" i="2"/>
  <c r="CD55" i="2"/>
  <c r="CD19" i="2"/>
  <c r="CD36" i="2"/>
  <c r="CD85" i="2"/>
  <c r="CD38" i="2"/>
  <c r="CD112" i="2"/>
  <c r="CD179" i="2"/>
  <c r="CD88" i="2"/>
  <c r="CD106" i="2"/>
  <c r="CD99" i="2"/>
  <c r="CD12" i="2"/>
  <c r="CD111" i="2"/>
  <c r="CD168" i="2"/>
  <c r="CD181" i="2"/>
  <c r="CD97" i="2"/>
  <c r="CD151" i="2"/>
  <c r="CD184" i="2"/>
  <c r="CD100" i="2"/>
  <c r="CD198" i="2"/>
  <c r="CD130" i="2"/>
  <c r="CD170" i="2"/>
  <c r="CD139" i="2"/>
  <c r="CD154" i="2"/>
  <c r="CD108" i="2"/>
  <c r="CD24" i="2"/>
  <c r="CD135" i="2"/>
  <c r="CD195" i="2"/>
  <c r="CD3" i="2"/>
  <c r="C9" i="4" s="1"/>
  <c r="E9" i="4" s="1"/>
  <c r="F9" i="4" s="1"/>
  <c r="G9" i="4" s="1"/>
  <c r="L9" i="4" s="1"/>
  <c r="CD123" i="2"/>
  <c r="CD22" i="2"/>
  <c r="CD18" i="2"/>
  <c r="CD32" i="2"/>
  <c r="CD14" i="2"/>
  <c r="CD83" i="2"/>
  <c r="CD21" i="2"/>
  <c r="CD26" i="2"/>
  <c r="CD144" i="2"/>
  <c r="CD163" i="2"/>
  <c r="CD98" i="2"/>
  <c r="CD169" i="2"/>
  <c r="CD17" i="2"/>
  <c r="CD25" i="2"/>
  <c r="CD6" i="2"/>
  <c r="CD52" i="2"/>
  <c r="CD34" i="2"/>
  <c r="CD4" i="2"/>
  <c r="CD72" i="2"/>
  <c r="CD10" i="2"/>
  <c r="CD87" i="2"/>
  <c r="CD118" i="2"/>
  <c r="CD150" i="2"/>
  <c r="CD16" i="2"/>
  <c r="CD102" i="2"/>
  <c r="CD89" i="2"/>
  <c r="CD188" i="2"/>
  <c r="CD40" i="2"/>
  <c r="CD78" i="2"/>
  <c r="CD73" i="2"/>
  <c r="CD167" i="2"/>
  <c r="CD146" i="2"/>
  <c r="CD197" i="2"/>
  <c r="CD15" i="2"/>
  <c r="CD11" i="2"/>
  <c r="CD147" i="2"/>
  <c r="CD153" i="2"/>
  <c r="CD96" i="2"/>
  <c r="CD180" i="2"/>
  <c r="CD93" i="2"/>
  <c r="CD65" i="2"/>
  <c r="CD51" i="2"/>
  <c r="CD161" i="2"/>
  <c r="CD74" i="2"/>
  <c r="CD191" i="2"/>
  <c r="CD84" i="2"/>
  <c r="CD164" i="2"/>
  <c r="CD187" i="2"/>
  <c r="CD8" i="2"/>
  <c r="CD53" i="2"/>
  <c r="CD7" i="2"/>
  <c r="CD186" i="2"/>
  <c r="CD42" i="2"/>
  <c r="CD175" i="2"/>
  <c r="CD107" i="2"/>
  <c r="CD92" i="2"/>
  <c r="CD50" i="2"/>
  <c r="CD80" i="2"/>
  <c r="CD127" i="2"/>
  <c r="CD46" i="2"/>
  <c r="CD174" i="2"/>
  <c r="CD28" i="2"/>
  <c r="CD27" i="2"/>
  <c r="CD113" i="2"/>
  <c r="CD91" i="2"/>
  <c r="CD29" i="2"/>
  <c r="CD201" i="2"/>
  <c r="CD90" i="2"/>
  <c r="CD116" i="2"/>
  <c r="CD182" i="2"/>
  <c r="CD148" i="2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<sst xmlns="http://schemas.openxmlformats.org/spreadsheetml/2006/main" count="1178" uniqueCount="324">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</sst>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9" fillId="21" borderId="1" xfId="0" applyNumberFormat="1" applyFont="1" applyFill="1" applyBorder="1" applyAlignment="1" applyProtection="1">
      <alignment horizontal="center"/>
      <protection locked="0" hidden="1"/>
    </xf>
    <xf numFmtId="9" fontId="9" fillId="21" borderId="6" xfId="0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2.8661147719092619</c:v>
                </c:pt>
                <c:pt idx="2">
                  <c:v>3.3869566783474592</c:v>
                </c:pt>
                <c:pt idx="3">
                  <c:v>4.0027949558389642</c:v>
                </c:pt>
                <c:pt idx="4">
                  <c:v>4.7310157115384195</c:v>
                </c:pt>
                <c:pt idx="5">
                  <c:v>5.5921972769812287</c:v>
                </c:pt>
                <c:pt idx="6">
                  <c:v>6.6106980760771501</c:v>
                </c:pt>
                <c:pt idx="7">
                  <c:v>7.8153530509611668</c:v>
                </c:pt>
                <c:pt idx="8">
                  <c:v>9.2402987430684149</c:v>
                </c:pt>
                <c:pt idx="9">
                  <c:v>10.925950856019762</c:v>
                </c:pt>
                <c:pt idx="10">
                  <c:v>12.920162549560215</c:v>
                </c:pt>
                <c:pt idx="11">
                  <c:v>15.279596959070517</c:v>
                </c:pt>
                <c:pt idx="12">
                  <c:v>18.071353656368178</c:v>
                </c:pt>
                <c:pt idx="13">
                  <c:v>21.374896146537353</c:v>
                </c:pt>
                <c:pt idx="14">
                  <c:v>25.284336248251293</c:v>
                </c:pt>
                <c:pt idx="15">
                  <c:v>29.911141587664599</c:v>
                </c:pt>
                <c:pt idx="16">
                  <c:v>35.387344752497143</c:v>
                </c:pt>
                <c:pt idx="17">
                  <c:v>41.869347264257804</c:v>
                </c:pt>
                <c:pt idx="18">
                  <c:v>49.542428860944476</c:v>
                </c:pt>
                <c:pt idx="19">
                  <c:v>58.626093148348055</c:v>
                </c:pt>
                <c:pt idx="20">
                  <c:v>69.380405078654405</c:v>
                </c:pt>
                <c:pt idx="21">
                  <c:v>82.113504666589151</c:v>
                </c:pt>
                <c:pt idx="22">
                  <c:v>97.190515706045403</c:v>
                </c:pt>
                <c:pt idx="23">
                  <c:v>115.04410901318609</c:v>
                </c:pt>
                <c:pt idx="24">
                  <c:v>136.18702809346152</c:v>
                </c:pt>
                <c:pt idx="25">
                  <c:v>161.22694253209136</c:v>
                </c:pt>
                <c:pt idx="26">
                  <c:v>166.18689856434796</c:v>
                </c:pt>
                <c:pt idx="27">
                  <c:v>185.58079903792643</c:v>
                </c:pt>
                <c:pt idx="28">
                  <c:v>204.92736145569242</c:v>
                </c:pt>
                <c:pt idx="29">
                  <c:v>224.23168469882577</c:v>
                </c:pt>
                <c:pt idx="30">
                  <c:v>243.49791694752582</c:v>
                </c:pt>
                <c:pt idx="31">
                  <c:v>206.98294100328442</c:v>
                </c:pt>
                <c:pt idx="32">
                  <c:v>227.92379747513777</c:v>
                </c:pt>
                <c:pt idx="33">
                  <c:v>248.82062471447747</c:v>
                </c:pt>
                <c:pt idx="34">
                  <c:v>269.67763992046633</c:v>
                </c:pt>
                <c:pt idx="35">
                  <c:v>290.49835436027615</c:v>
                </c:pt>
                <c:pt idx="36">
                  <c:v>254.95900460982625</c:v>
                </c:pt>
                <c:pt idx="37">
                  <c:v>276.62175504660763</c:v>
                </c:pt>
                <c:pt idx="38">
                  <c:v>298.24642451478059</c:v>
                </c:pt>
                <c:pt idx="39">
                  <c:v>319.83616118961032</c:v>
                </c:pt>
                <c:pt idx="40">
                  <c:v>341.39365353317521</c:v>
                </c:pt>
                <c:pt idx="41">
                  <c:v>306.39744486740761</c:v>
                </c:pt>
                <c:pt idx="42">
                  <c:v>328.381529431959</c:v>
                </c:pt>
                <c:pt idx="43">
                  <c:v>350.33313623626418</c:v>
                </c:pt>
                <c:pt idx="44">
                  <c:v>372.25458524998089</c:v>
                </c:pt>
                <c:pt idx="45">
                  <c:v>394.14790100388433</c:v>
                </c:pt>
                <c:pt idx="46">
                  <c:v>359.67361293503626</c:v>
                </c:pt>
                <c:pt idx="47">
                  <c:v>381.98831004710274</c:v>
                </c:pt>
                <c:pt idx="48">
                  <c:v>404.27467126938319</c:v>
                </c:pt>
                <c:pt idx="49">
                  <c:v>426.53447718930829</c:v>
                </c:pt>
                <c:pt idx="50">
                  <c:v>448.76930749454436</c:v>
                </c:pt>
                <c:pt idx="51">
                  <c:v>414.39595763230841</c:v>
                </c:pt>
                <c:pt idx="52">
                  <c:v>436.6442259968926</c:v>
                </c:pt>
                <c:pt idx="53">
                  <c:v>458.86817919889199</c:v>
                </c:pt>
                <c:pt idx="54">
                  <c:v>481.06915953635763</c:v>
                </c:pt>
                <c:pt idx="55">
                  <c:v>503.24837540475647</c:v>
                </c:pt>
                <c:pt idx="56">
                  <c:v>468.5586308001503</c:v>
                </c:pt>
                <c:pt idx="57">
                  <c:v>490.34668675751232</c:v>
                </c:pt>
                <c:pt idx="58">
                  <c:v>512.11421609335673</c:v>
                </c:pt>
                <c:pt idx="59">
                  <c:v>533.86221327471185</c:v>
                </c:pt>
                <c:pt idx="60">
                  <c:v>555.59158520777885</c:v>
                </c:pt>
                <c:pt idx="61">
                  <c:v>520.17125719416094</c:v>
                </c:pt>
                <c:pt idx="62">
                  <c:v>541.10736424197205</c:v>
                </c:pt>
                <c:pt idx="63">
                  <c:v>562.02646462929238</c:v>
                </c:pt>
                <c:pt idx="64">
                  <c:v>582.92927986766085</c:v>
                </c:pt>
                <c:pt idx="65">
                  <c:v>603.81647555227914</c:v>
                </c:pt>
                <c:pt idx="66">
                  <c:v>567.65571901573026</c:v>
                </c:pt>
                <c:pt idx="67">
                  <c:v>587.75076511427346</c:v>
                </c:pt>
                <c:pt idx="68">
                  <c:v>607.83150562611115</c:v>
                </c:pt>
                <c:pt idx="69">
                  <c:v>627.8984792525431</c:v>
                </c:pt>
                <c:pt idx="70">
                  <c:v>647.95218748710624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211.80440891545263</c:v>
                </c:pt>
                <c:pt idx="26">
                  <c:v>231.09249649522766</c:v>
                </c:pt>
                <c:pt idx="27">
                  <c:v>250.34379664975143</c:v>
                </c:pt>
                <c:pt idx="28">
                  <c:v>269.56153594682706</c:v>
                </c:pt>
                <c:pt idx="29">
                  <c:v>288.74844312988745</c:v>
                </c:pt>
                <c:pt idx="30">
                  <c:v>307.90685461043876</c:v>
                </c:pt>
                <c:pt idx="31">
                  <c:v>253.92164339965282</c:v>
                </c:pt>
                <c:pt idx="32">
                  <c:v>270.9011288594271</c:v>
                </c:pt>
                <c:pt idx="33">
                  <c:v>287.85667749117118</c:v>
                </c:pt>
                <c:pt idx="34">
                  <c:v>304.78989752582527</c:v>
                </c:pt>
                <c:pt idx="35">
                  <c:v>321.70220388727893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6.6671761608511053</c:v>
                </c:pt>
                <c:pt idx="2">
                  <c:v>13.033663283069531</c:v>
                </c:pt>
                <c:pt idx="3">
                  <c:v>19.303042939455146</c:v>
                </c:pt>
                <c:pt idx="4">
                  <c:v>25.512563294459923</c:v>
                </c:pt>
                <c:pt idx="5">
                  <c:v>31.679106437289075</c:v>
                </c:pt>
                <c:pt idx="6">
                  <c:v>37.812302616472174</c:v>
                </c:pt>
                <c:pt idx="7">
                  <c:v>43.918360080877228</c:v>
                </c:pt>
                <c:pt idx="8">
                  <c:v>50.00160312094232</c:v>
                </c:pt>
                <c:pt idx="9">
                  <c:v>56.06521014514886</c:v>
                </c:pt>
                <c:pt idx="10">
                  <c:v>62.111611813038422</c:v>
                </c:pt>
                <c:pt idx="11">
                  <c:v>68.14272452108996</c:v>
                </c:pt>
                <c:pt idx="12">
                  <c:v>74.160096244932106</c:v>
                </c:pt>
                <c:pt idx="13">
                  <c:v>80.165002252238452</c:v>
                </c:pt>
                <c:pt idx="14">
                  <c:v>86.158510470515978</c:v>
                </c:pt>
                <c:pt idx="15">
                  <c:v>92.141527621369264</c:v>
                </c:pt>
                <c:pt idx="16">
                  <c:v>98.114832690532054</c:v>
                </c:pt>
                <c:pt idx="17">
                  <c:v>104.07910178696937</c:v>
                </c:pt>
                <c:pt idx="18">
                  <c:v>110.03492698401654</c:v>
                </c:pt>
                <c:pt idx="19">
                  <c:v>115.98283085356282</c:v>
                </c:pt>
                <c:pt idx="20">
                  <c:v>121.9232778531174</c:v>
                </c:pt>
                <c:pt idx="21">
                  <c:v>127.85668337074144</c:v>
                </c:pt>
                <c:pt idx="22">
                  <c:v>133.78342099832221</c:v>
                </c:pt>
                <c:pt idx="23">
                  <c:v>139.70382844505221</c:v>
                </c:pt>
                <c:pt idx="24">
                  <c:v>145.61821239345747</c:v>
                </c:pt>
                <c:pt idx="25">
                  <c:v>151.52685252328283</c:v>
                </c:pt>
                <c:pt idx="26">
                  <c:v>157.43000487343213</c:v>
                </c:pt>
                <c:pt idx="27">
                  <c:v>163.32790467213928</c:v>
                </c:pt>
                <c:pt idx="28">
                  <c:v>169.22076873606747</c:v>
                </c:pt>
                <c:pt idx="29">
                  <c:v>175.1087975170492</c:v>
                </c:pt>
                <c:pt idx="30">
                  <c:v>180.99217685858619</c:v>
                </c:pt>
                <c:pt idx="31">
                  <c:v>186.87107951156952</c:v>
                </c:pt>
                <c:pt idx="32">
                  <c:v>192.74566644892982</c:v>
                </c:pt>
                <c:pt idx="33">
                  <c:v>198.6160880113396</c:v>
                </c:pt>
                <c:pt idx="34">
                  <c:v>204.48248491014036</c:v>
                </c:pt>
                <c:pt idx="35">
                  <c:v>210.34498910896306</c:v>
                </c:pt>
                <c:pt idx="36">
                  <c:v>216.20372460175972</c:v>
                </c:pt>
                <c:pt idx="37">
                  <c:v>222.0588081019574</c:v>
                </c:pt>
                <c:pt idx="38">
                  <c:v>227.91034965501251</c:v>
                </c:pt>
                <c:pt idx="39">
                  <c:v>233.75845318467347</c:v>
                </c:pt>
                <c:pt idx="40">
                  <c:v>239.60321698163875</c:v>
                </c:pt>
                <c:pt idx="41">
                  <c:v>245.44473414197429</c:v>
                </c:pt>
                <c:pt idx="42">
                  <c:v>251.28309296155342</c:v>
                </c:pt>
                <c:pt idx="43">
                  <c:v>198.86060062561486</c:v>
                </c:pt>
                <c:pt idx="44">
                  <c:v>204.97117384538126</c:v>
                </c:pt>
                <c:pt idx="45">
                  <c:v>211.07753468579111</c:v>
                </c:pt>
                <c:pt idx="46">
                  <c:v>217.17982241103536</c:v>
                </c:pt>
                <c:pt idx="47">
                  <c:v>223.2781678069521</c:v>
                </c:pt>
                <c:pt idx="48">
                  <c:v>229.37269391991026</c:v>
                </c:pt>
                <c:pt idx="49">
                  <c:v>235.46351671294099</c:v>
                </c:pt>
                <c:pt idx="50">
                  <c:v>241.5507456503326</c:v>
                </c:pt>
                <c:pt idx="51">
                  <c:v>188.82974704850497</c:v>
                </c:pt>
                <c:pt idx="52">
                  <c:v>204.48248491014036</c:v>
                </c:pt>
                <c:pt idx="53">
                  <c:v>220.10751245497329</c:v>
                </c:pt>
                <c:pt idx="54">
                  <c:v>235.70707416481403</c:v>
                </c:pt>
                <c:pt idx="55">
                  <c:v>251.28309296155342</c:v>
                </c:pt>
                <c:pt idx="56">
                  <c:v>266.83723378272913</c:v>
                </c:pt>
                <c:pt idx="57">
                  <c:v>282.37095153600734</c:v>
                </c:pt>
                <c:pt idx="58">
                  <c:v>297.88552793675632</c:v>
                </c:pt>
                <c:pt idx="59">
                  <c:v>238.14233395622293</c:v>
                </c:pt>
                <c:pt idx="60">
                  <c:v>263.92242934902134</c:v>
                </c:pt>
                <c:pt idx="61">
                  <c:v>289.64572013617232</c:v>
                </c:pt>
                <c:pt idx="62">
                  <c:v>315.31795766675845</c:v>
                </c:pt>
                <c:pt idx="63">
                  <c:v>340.94388007064981</c:v>
                </c:pt>
                <c:pt idx="64">
                  <c:v>366.52745512600353</c:v>
                </c:pt>
                <c:pt idx="65">
                  <c:v>392.07205166652261</c:v>
                </c:pt>
                <c:pt idx="66">
                  <c:v>417.58056393601947</c:v>
                </c:pt>
                <c:pt idx="67">
                  <c:v>357.41425304149305</c:v>
                </c:pt>
                <c:pt idx="68">
                  <c:v>372.42158831521664</c:v>
                </c:pt>
                <c:pt idx="69">
                  <c:v>387.41574430451163</c:v>
                </c:pt>
                <c:pt idx="70">
                  <c:v>402.39730284958381</c:v>
                </c:pt>
                <c:pt idx="71">
                  <c:v>417.3667989363999</c:v>
                </c:pt>
                <c:pt idx="72">
                  <c:v>432.32472605000447</c:v>
                </c:pt>
                <c:pt idx="73">
                  <c:v>447.27154074835067</c:v>
                </c:pt>
                <c:pt idx="74">
                  <c:v>462.20766659292093</c:v>
                </c:pt>
                <c:pt idx="75">
                  <c:v>477.13349754486762</c:v>
                </c:pt>
                <c:pt idx="76">
                  <c:v>420.35929476201682</c:v>
                </c:pt>
                <c:pt idx="77">
                  <c:v>434.6742359416869</c:v>
                </c:pt>
                <c:pt idx="78">
                  <c:v>448.97905988950129</c:v>
                </c:pt>
                <c:pt idx="79">
                  <c:v>463.27413429132793</c:v>
                </c:pt>
                <c:pt idx="80">
                  <c:v>477.55980229581428</c:v>
                </c:pt>
                <c:pt idx="81">
                  <c:v>491.83638485220268</c:v>
                </c:pt>
                <c:pt idx="82">
                  <c:v>506.10418276262311</c:v>
                </c:pt>
                <c:pt idx="83">
                  <c:v>520.36347849096194</c:v>
                </c:pt>
                <c:pt idx="84">
                  <c:v>534.61453776319547</c:v>
                </c:pt>
                <c:pt idx="85">
                  <c:v>480.11746111035109</c:v>
                </c:pt>
                <c:pt idx="86">
                  <c:v>494.60544139491168</c:v>
                </c:pt>
                <c:pt idx="87">
                  <c:v>509.08443067942989</c:v>
                </c:pt>
                <c:pt idx="88">
                  <c:v>523.55472061728585</c:v>
                </c:pt>
                <c:pt idx="89">
                  <c:v>538.01658543098438</c:v>
                </c:pt>
                <c:pt idx="90">
                  <c:v>552.4702834042065</c:v>
                </c:pt>
                <c:pt idx="91">
                  <c:v>566.91605820965424</c:v>
                </c:pt>
                <c:pt idx="92">
                  <c:v>581.35414009456781</c:v>
                </c:pt>
                <c:pt idx="93">
                  <c:v>595.7847469423931</c:v>
                </c:pt>
                <c:pt idx="94">
                  <c:v>542.84246565902129</c:v>
                </c:pt>
                <c:pt idx="95">
                  <c:v>556.80483705250037</c:v>
                </c:pt>
                <c:pt idx="96">
                  <c:v>570.75987800979965</c:v>
                </c:pt>
                <c:pt idx="97">
                  <c:v>584.70779293898988</c:v>
                </c:pt>
                <c:pt idx="98">
                  <c:v>598.64877570499334</c:v>
                </c:pt>
                <c:pt idx="99">
                  <c:v>612.5830104113536</c:v>
                </c:pt>
                <c:pt idx="100">
                  <c:v>626.51067210721021</c:v>
                </c:pt>
                <c:pt idx="101">
                  <c:v>640.43192742817189</c:v>
                </c:pt>
                <c:pt idx="102">
                  <c:v>654.34693517859716</c:v>
                </c:pt>
                <c:pt idx="103">
                  <c:v>668.25584686180002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2.0579402107262603</c:v>
                </c:pt>
                <c:pt idx="2">
                  <c:v>2.5010301250022002</c:v>
                </c:pt>
                <c:pt idx="3">
                  <c:v>3.0398855956541007</c:v>
                </c:pt>
                <c:pt idx="4">
                  <c:v>3.6952791043270179</c:v>
                </c:pt>
                <c:pt idx="5">
                  <c:v>4.4925040581011819</c:v>
                </c:pt>
                <c:pt idx="6">
                  <c:v>5.4623618005775647</c:v>
                </c:pt>
                <c:pt idx="7">
                  <c:v>6.642364729476701</c:v>
                </c:pt>
                <c:pt idx="8">
                  <c:v>8.078202962606488</c:v>
                </c:pt>
                <c:pt idx="9">
                  <c:v>9.8255324341210653</c:v>
                </c:pt>
                <c:pt idx="10">
                  <c:v>11.952155045542897</c:v>
                </c:pt>
                <c:pt idx="11">
                  <c:v>14.540677049858084</c:v>
                </c:pt>
                <c:pt idx="12">
                  <c:v>17.691750833561048</c:v>
                </c:pt>
                <c:pt idx="13">
                  <c:v>21.528028439871665</c:v>
                </c:pt>
                <c:pt idx="14">
                  <c:v>26.198983473660078</c:v>
                </c:pt>
                <c:pt idx="15">
                  <c:v>31.886792577507766</c:v>
                </c:pt>
                <c:pt idx="16">
                  <c:v>38.813509852440667</c:v>
                </c:pt>
                <c:pt idx="17">
                  <c:v>47.249819106555286</c:v>
                </c:pt>
                <c:pt idx="18">
                  <c:v>57.525711715213085</c:v>
                </c:pt>
                <c:pt idx="19">
                  <c:v>70.043514690956627</c:v>
                </c:pt>
                <c:pt idx="20">
                  <c:v>85.293787372859256</c:v>
                </c:pt>
                <c:pt idx="21">
                  <c:v>103.87471972088922</c:v>
                </c:pt>
                <c:pt idx="22">
                  <c:v>126.51580514447444</c:v>
                </c:pt>
                <c:pt idx="23">
                  <c:v>154.1067317312866</c:v>
                </c:pt>
                <c:pt idx="24">
                  <c:v>187.73264454706737</c:v>
                </c:pt>
                <c:pt idx="25">
                  <c:v>228.71718675190144</c:v>
                </c:pt>
                <c:pt idx="26">
                  <c:v>224.48055915021379</c:v>
                </c:pt>
                <c:pt idx="27">
                  <c:v>241.41644483936727</c:v>
                </c:pt>
                <c:pt idx="28">
                  <c:v>258.32530103820591</c:v>
                </c:pt>
                <c:pt idx="29">
                  <c:v>275.20914595206563</c:v>
                </c:pt>
                <c:pt idx="30">
                  <c:v>292.06972985560304</c:v>
                </c:pt>
                <c:pt idx="31">
                  <c:v>267.8957662518846</c:v>
                </c:pt>
                <c:pt idx="32">
                  <c:v>283.08021534360483</c:v>
                </c:pt>
                <c:pt idx="33">
                  <c:v>298.24642451478059</c:v>
                </c:pt>
                <c:pt idx="34">
                  <c:v>313.39545190962326</c:v>
                </c:pt>
                <c:pt idx="35">
                  <c:v>328.5282450073625</c:v>
                </c:pt>
                <c:pt idx="36">
                  <c:v>302.45616879398892</c:v>
                </c:pt>
                <c:pt idx="37">
                  <c:v>315.63834998285711</c:v>
                </c:pt>
                <c:pt idx="38">
                  <c:v>328.80833436209502</c:v>
                </c:pt>
                <c:pt idx="39">
                  <c:v>341.96667936306955</c:v>
                </c:pt>
                <c:pt idx="40">
                  <c:v>355.11389600890448</c:v>
                </c:pt>
                <c:pt idx="41">
                  <c:v>327.40783481230591</c:v>
                </c:pt>
                <c:pt idx="42">
                  <c:v>338.88808231320303</c:v>
                </c:pt>
                <c:pt idx="43">
                  <c:v>350.35977394062758</c:v>
                </c:pt>
                <c:pt idx="44">
                  <c:v>361.82322940720064</c:v>
                </c:pt>
                <c:pt idx="45">
                  <c:v>373.27874650728057</c:v>
                </c:pt>
                <c:pt idx="46">
                  <c:v>352.3175238206523</c:v>
                </c:pt>
                <c:pt idx="47">
                  <c:v>362.10272554390014</c:v>
                </c:pt>
                <c:pt idx="48">
                  <c:v>371.88214774985954</c:v>
                </c:pt>
                <c:pt idx="49">
                  <c:v>381.6559639235623</c:v>
                </c:pt>
                <c:pt idx="50">
                  <c:v>391.42433793537322</c:v>
                </c:pt>
                <c:pt idx="51">
                  <c:v>367.69166314382898</c:v>
                </c:pt>
                <c:pt idx="52">
                  <c:v>367.69166314382898</c:v>
                </c:pt>
                <c:pt idx="53">
                  <c:v>367.69166314382898</c:v>
                </c:pt>
                <c:pt idx="54">
                  <c:v>367.69166314382898</c:v>
                </c:pt>
                <c:pt idx="55">
                  <c:v>367.69166314382898</c:v>
                </c:pt>
                <c:pt idx="56">
                  <c:v>367.69166314382898</c:v>
                </c:pt>
                <c:pt idx="57">
                  <c:v>367.69166314382898</c:v>
                </c:pt>
                <c:pt idx="58">
                  <c:v>367.69166314382898</c:v>
                </c:pt>
                <c:pt idx="59">
                  <c:v>367.69166314382898</c:v>
                </c:pt>
                <c:pt idx="60">
                  <c:v>367.69166314382898</c:v>
                </c:pt>
                <c:pt idx="61">
                  <c:v>367.69166314382898</c:v>
                </c:pt>
                <c:pt idx="62">
                  <c:v>367.69166314382898</c:v>
                </c:pt>
                <c:pt idx="63">
                  <c:v>367.69166314382898</c:v>
                </c:pt>
                <c:pt idx="64">
                  <c:v>367.69166314382898</c:v>
                </c:pt>
                <c:pt idx="65">
                  <c:v>367.69166314382898</c:v>
                </c:pt>
                <c:pt idx="66">
                  <c:v>367.69166314382898</c:v>
                </c:pt>
                <c:pt idx="67">
                  <c:v>367.69166314382898</c:v>
                </c:pt>
                <c:pt idx="68">
                  <c:v>367.69166314382898</c:v>
                </c:pt>
                <c:pt idx="69">
                  <c:v>367.69166314382898</c:v>
                </c:pt>
                <c:pt idx="70">
                  <c:v>367.69166314382898</c:v>
                </c:pt>
                <c:pt idx="71">
                  <c:v>367.69166314382898</c:v>
                </c:pt>
                <c:pt idx="72">
                  <c:v>367.69166314382898</c:v>
                </c:pt>
                <c:pt idx="73">
                  <c:v>367.69166314382898</c:v>
                </c:pt>
                <c:pt idx="74">
                  <c:v>367.69166314382898</c:v>
                </c:pt>
                <c:pt idx="75">
                  <c:v>367.69166314382898</c:v>
                </c:pt>
                <c:pt idx="76">
                  <c:v>367.69166314382898</c:v>
                </c:pt>
                <c:pt idx="77">
                  <c:v>367.69166314382898</c:v>
                </c:pt>
                <c:pt idx="78">
                  <c:v>367.69166314382898</c:v>
                </c:pt>
                <c:pt idx="79">
                  <c:v>367.69166314382898</c:v>
                </c:pt>
                <c:pt idx="80">
                  <c:v>367.69166314382898</c:v>
                </c:pt>
                <c:pt idx="81">
                  <c:v>367.69166314382898</c:v>
                </c:pt>
                <c:pt idx="82">
                  <c:v>367.69166314382898</c:v>
                </c:pt>
                <c:pt idx="83">
                  <c:v>367.69166314382898</c:v>
                </c:pt>
                <c:pt idx="84">
                  <c:v>367.69166314382898</c:v>
                </c:pt>
                <c:pt idx="85">
                  <c:v>367.69166314382898</c:v>
                </c:pt>
                <c:pt idx="86">
                  <c:v>367.69166314382898</c:v>
                </c:pt>
                <c:pt idx="87">
                  <c:v>367.69166314382898</c:v>
                </c:pt>
                <c:pt idx="88">
                  <c:v>367.69166314382898</c:v>
                </c:pt>
                <c:pt idx="89">
                  <c:v>367.69166314382898</c:v>
                </c:pt>
                <c:pt idx="90">
                  <c:v>367.69166314382898</c:v>
                </c:pt>
                <c:pt idx="91">
                  <c:v>367.69166314382898</c:v>
                </c:pt>
                <c:pt idx="92">
                  <c:v>367.69166314382898</c:v>
                </c:pt>
                <c:pt idx="93">
                  <c:v>367.69166314382898</c:v>
                </c:pt>
                <c:pt idx="94">
                  <c:v>367.69166314382898</c:v>
                </c:pt>
                <c:pt idx="95">
                  <c:v>367.69166314382898</c:v>
                </c:pt>
                <c:pt idx="96">
                  <c:v>367.69166314382898</c:v>
                </c:pt>
                <c:pt idx="97">
                  <c:v>367.69166314382898</c:v>
                </c:pt>
                <c:pt idx="98">
                  <c:v>367.69166314382898</c:v>
                </c:pt>
                <c:pt idx="99">
                  <c:v>367.69166314382898</c:v>
                </c:pt>
                <c:pt idx="100">
                  <c:v>367.69166314382898</c:v>
                </c:pt>
                <c:pt idx="101">
                  <c:v>367.69166314382898</c:v>
                </c:pt>
                <c:pt idx="102">
                  <c:v>367.69166314382898</c:v>
                </c:pt>
                <c:pt idx="103">
                  <c:v>367.69166314382898</c:v>
                </c:pt>
                <c:pt idx="104">
                  <c:v>367.69166314382898</c:v>
                </c:pt>
                <c:pt idx="105">
                  <c:v>367.69166314382898</c:v>
                </c:pt>
                <c:pt idx="106">
                  <c:v>367.69166314382898</c:v>
                </c:pt>
                <c:pt idx="107">
                  <c:v>367.69166314382898</c:v>
                </c:pt>
                <c:pt idx="108">
                  <c:v>367.69166314382898</c:v>
                </c:pt>
                <c:pt idx="109">
                  <c:v>367.69166314382898</c:v>
                </c:pt>
                <c:pt idx="110">
                  <c:v>367.69166314382898</c:v>
                </c:pt>
                <c:pt idx="111">
                  <c:v>367.69166314382898</c:v>
                </c:pt>
                <c:pt idx="112">
                  <c:v>367.69166314382898</c:v>
                </c:pt>
                <c:pt idx="113">
                  <c:v>367.69166314382898</c:v>
                </c:pt>
                <c:pt idx="114">
                  <c:v>367.69166314382898</c:v>
                </c:pt>
                <c:pt idx="115">
                  <c:v>367.69166314382898</c:v>
                </c:pt>
                <c:pt idx="116">
                  <c:v>367.69166314382898</c:v>
                </c:pt>
                <c:pt idx="117">
                  <c:v>367.69166314382898</c:v>
                </c:pt>
                <c:pt idx="118">
                  <c:v>367.69166314382898</c:v>
                </c:pt>
                <c:pt idx="119">
                  <c:v>367.69166314382898</c:v>
                </c:pt>
                <c:pt idx="120">
                  <c:v>367.69166314382898</c:v>
                </c:pt>
                <c:pt idx="121">
                  <c:v>367.69166314382898</c:v>
                </c:pt>
                <c:pt idx="122">
                  <c:v>367.69166314382898</c:v>
                </c:pt>
                <c:pt idx="123">
                  <c:v>367.69166314382898</c:v>
                </c:pt>
                <c:pt idx="124">
                  <c:v>367.69166314382898</c:v>
                </c:pt>
                <c:pt idx="125">
                  <c:v>367.69166314382898</c:v>
                </c:pt>
                <c:pt idx="126">
                  <c:v>367.69166314382898</c:v>
                </c:pt>
                <c:pt idx="127">
                  <c:v>367.69166314382898</c:v>
                </c:pt>
                <c:pt idx="128">
                  <c:v>367.69166314382898</c:v>
                </c:pt>
                <c:pt idx="129">
                  <c:v>367.69166314382898</c:v>
                </c:pt>
                <c:pt idx="130">
                  <c:v>367.69166314382898</c:v>
                </c:pt>
                <c:pt idx="131">
                  <c:v>367.69166314382898</c:v>
                </c:pt>
                <c:pt idx="132">
                  <c:v>367.69166314382898</c:v>
                </c:pt>
                <c:pt idx="133">
                  <c:v>367.69166314382898</c:v>
                </c:pt>
                <c:pt idx="134">
                  <c:v>367.69166314382898</c:v>
                </c:pt>
                <c:pt idx="135">
                  <c:v>367.69166314382898</c:v>
                </c:pt>
                <c:pt idx="136">
                  <c:v>367.69166314382898</c:v>
                </c:pt>
                <c:pt idx="137">
                  <c:v>367.69166314382898</c:v>
                </c:pt>
                <c:pt idx="138">
                  <c:v>367.69166314382898</c:v>
                </c:pt>
                <c:pt idx="139">
                  <c:v>367.69166314382898</c:v>
                </c:pt>
                <c:pt idx="140">
                  <c:v>367.69166314382898</c:v>
                </c:pt>
                <c:pt idx="141">
                  <c:v>367.69166314382898</c:v>
                </c:pt>
                <c:pt idx="142">
                  <c:v>367.69166314382898</c:v>
                </c:pt>
                <c:pt idx="143">
                  <c:v>367.69166314382898</c:v>
                </c:pt>
                <c:pt idx="144">
                  <c:v>367.69166314382898</c:v>
                </c:pt>
                <c:pt idx="145">
                  <c:v>367.69166314382898</c:v>
                </c:pt>
                <c:pt idx="146">
                  <c:v>367.69166314382898</c:v>
                </c:pt>
                <c:pt idx="147">
                  <c:v>367.69166314382898</c:v>
                </c:pt>
                <c:pt idx="148">
                  <c:v>367.69166314382898</c:v>
                </c:pt>
                <c:pt idx="149">
                  <c:v>367.69166314382898</c:v>
                </c:pt>
                <c:pt idx="150">
                  <c:v>367.69166314382898</c:v>
                </c:pt>
                <c:pt idx="151">
                  <c:v>367.69166314382898</c:v>
                </c:pt>
                <c:pt idx="152">
                  <c:v>367.69166314382898</c:v>
                </c:pt>
                <c:pt idx="153">
                  <c:v>367.69166314382898</c:v>
                </c:pt>
                <c:pt idx="154">
                  <c:v>367.69166314382898</c:v>
                </c:pt>
                <c:pt idx="155">
                  <c:v>367.69166314382898</c:v>
                </c:pt>
                <c:pt idx="156">
                  <c:v>367.69166314382898</c:v>
                </c:pt>
                <c:pt idx="157">
                  <c:v>367.69166314382898</c:v>
                </c:pt>
                <c:pt idx="158">
                  <c:v>367.69166314382898</c:v>
                </c:pt>
                <c:pt idx="159">
                  <c:v>367.69166314382898</c:v>
                </c:pt>
                <c:pt idx="160">
                  <c:v>367.69166314382898</c:v>
                </c:pt>
                <c:pt idx="161">
                  <c:v>367.69166314382898</c:v>
                </c:pt>
                <c:pt idx="162">
                  <c:v>367.69166314382898</c:v>
                </c:pt>
                <c:pt idx="163">
                  <c:v>367.69166314382898</c:v>
                </c:pt>
                <c:pt idx="164">
                  <c:v>367.69166314382898</c:v>
                </c:pt>
                <c:pt idx="165">
                  <c:v>367.69166314382898</c:v>
                </c:pt>
                <c:pt idx="166">
                  <c:v>367.69166314382898</c:v>
                </c:pt>
                <c:pt idx="167">
                  <c:v>367.69166314382898</c:v>
                </c:pt>
                <c:pt idx="168">
                  <c:v>367.69166314382898</c:v>
                </c:pt>
                <c:pt idx="169">
                  <c:v>367.69166314382898</c:v>
                </c:pt>
                <c:pt idx="170">
                  <c:v>367.69166314382898</c:v>
                </c:pt>
                <c:pt idx="171">
                  <c:v>367.69166314382898</c:v>
                </c:pt>
                <c:pt idx="172">
                  <c:v>367.69166314382898</c:v>
                </c:pt>
                <c:pt idx="173">
                  <c:v>367.69166314382898</c:v>
                </c:pt>
                <c:pt idx="174">
                  <c:v>367.69166314382898</c:v>
                </c:pt>
                <c:pt idx="175">
                  <c:v>367.69166314382898</c:v>
                </c:pt>
                <c:pt idx="176">
                  <c:v>367.69166314382898</c:v>
                </c:pt>
                <c:pt idx="177">
                  <c:v>367.69166314382898</c:v>
                </c:pt>
                <c:pt idx="178">
                  <c:v>367.69166314382898</c:v>
                </c:pt>
                <c:pt idx="179">
                  <c:v>367.69166314382898</c:v>
                </c:pt>
                <c:pt idx="180">
                  <c:v>367.69166314382898</c:v>
                </c:pt>
                <c:pt idx="181">
                  <c:v>367.69166314382898</c:v>
                </c:pt>
                <c:pt idx="182">
                  <c:v>367.69166314382898</c:v>
                </c:pt>
                <c:pt idx="183">
                  <c:v>367.69166314382898</c:v>
                </c:pt>
                <c:pt idx="184">
                  <c:v>367.69166314382898</c:v>
                </c:pt>
                <c:pt idx="185">
                  <c:v>367.69166314382898</c:v>
                </c:pt>
                <c:pt idx="186">
                  <c:v>367.69166314382898</c:v>
                </c:pt>
                <c:pt idx="187">
                  <c:v>367.69166314382898</c:v>
                </c:pt>
                <c:pt idx="188">
                  <c:v>367.69166314382898</c:v>
                </c:pt>
                <c:pt idx="189">
                  <c:v>367.69166314382898</c:v>
                </c:pt>
                <c:pt idx="190">
                  <c:v>367.69166314382898</c:v>
                </c:pt>
                <c:pt idx="191">
                  <c:v>367.69166314382898</c:v>
                </c:pt>
                <c:pt idx="192">
                  <c:v>367.69166314382898</c:v>
                </c:pt>
                <c:pt idx="193">
                  <c:v>367.69166314382898</c:v>
                </c:pt>
                <c:pt idx="194">
                  <c:v>367.69166314382898</c:v>
                </c:pt>
                <c:pt idx="195">
                  <c:v>367.69166314382898</c:v>
                </c:pt>
                <c:pt idx="196">
                  <c:v>367.69166314382898</c:v>
                </c:pt>
                <c:pt idx="197">
                  <c:v>367.69166314382898</c:v>
                </c:pt>
                <c:pt idx="198">
                  <c:v>367.69166314382898</c:v>
                </c:pt>
                <c:pt idx="199">
                  <c:v>367.69166314382898</c:v>
                </c:pt>
                <c:pt idx="200">
                  <c:v>367.69166314382898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7.4431958650460386</c:v>
                </c:pt>
                <c:pt idx="2">
                  <c:v>14.553852518063183</c:v>
                </c:pt>
                <c:pt idx="3">
                  <c:v>21.557115698019228</c:v>
                </c:pt>
                <c:pt idx="4">
                  <c:v>28.494179042409929</c:v>
                </c:pt>
                <c:pt idx="5">
                  <c:v>35.383712858165119</c:v>
                </c:pt>
                <c:pt idx="6">
                  <c:v>42.236367467864618</c:v>
                </c:pt>
                <c:pt idx="7">
                  <c:v>49.059008722674939</c:v>
                </c:pt>
                <c:pt idx="8">
                  <c:v>55.85641895899721</c:v>
                </c:pt>
                <c:pt idx="9">
                  <c:v>62.632113254922452</c:v>
                </c:pt>
                <c:pt idx="10">
                  <c:v>69.388779735073783</c:v>
                </c:pt>
                <c:pt idx="11">
                  <c:v>76.128537788232251</c:v>
                </c:pt>
                <c:pt idx="12">
                  <c:v>82.853099357733484</c:v>
                </c:pt>
                <c:pt idx="13">
                  <c:v>89.563874792651845</c:v>
                </c:pt>
                <c:pt idx="14">
                  <c:v>96.262045139603686</c:v>
                </c:pt>
                <c:pt idx="15">
                  <c:v>102.94861316373577</c:v>
                </c:pt>
                <c:pt idx="16">
                  <c:v>109.62444036403467</c:v>
                </c:pt>
                <c:pt idx="17">
                  <c:v>116.29027446560372</c:v>
                </c:pt>
                <c:pt idx="18">
                  <c:v>122.94677025652992</c:v>
                </c:pt>
                <c:pt idx="19">
                  <c:v>129.59450566158588</c:v>
                </c:pt>
                <c:pt idx="20">
                  <c:v>136.23399433545893</c:v>
                </c:pt>
                <c:pt idx="21">
                  <c:v>142.86569566575824</c:v>
                </c:pt>
                <c:pt idx="22">
                  <c:v>149.49002281670286</c:v>
                </c:pt>
                <c:pt idx="23">
                  <c:v>156.10734926897979</c:v>
                </c:pt>
                <c:pt idx="24">
                  <c:v>162.7180141901425</c:v>
                </c:pt>
                <c:pt idx="25">
                  <c:v>169.32232688472163</c:v>
                </c:pt>
                <c:pt idx="26">
                  <c:v>175.92057051227542</c:v>
                </c:pt>
                <c:pt idx="27">
                  <c:v>182.51300521734345</c:v>
                </c:pt>
                <c:pt idx="28">
                  <c:v>189.09987078266829</c:v>
                </c:pt>
                <c:pt idx="29">
                  <c:v>195.68138889273428</c:v>
                </c:pt>
                <c:pt idx="30">
                  <c:v>202.25776507632233</c:v>
                </c:pt>
                <c:pt idx="31">
                  <c:v>208.829190382782</c:v>
                </c:pt>
                <c:pt idx="32">
                  <c:v>215.3958428359341</c:v>
                </c:pt>
                <c:pt idx="33">
                  <c:v>221.95788870113014</c:v>
                </c:pt>
                <c:pt idx="34">
                  <c:v>228.51548359441404</c:v>
                </c:pt>
                <c:pt idx="35">
                  <c:v>235.06877345752704</c:v>
                </c:pt>
                <c:pt idx="36">
                  <c:v>241.61789541835174</c:v>
                </c:pt>
                <c:pt idx="37">
                  <c:v>248.16297855306297</c:v>
                </c:pt>
                <c:pt idx="38">
                  <c:v>254.70414456356778</c:v>
                </c:pt>
                <c:pt idx="39">
                  <c:v>261.24150838162944</c:v>
                </c:pt>
                <c:pt idx="40">
                  <c:v>267.77517870928631</c:v>
                </c:pt>
                <c:pt idx="41">
                  <c:v>274.3052585037081</c:v>
                </c:pt>
                <c:pt idx="42">
                  <c:v>280.83184541341694</c:v>
                </c:pt>
                <c:pt idx="43">
                  <c:v>222.23120964328052</c:v>
                </c:pt>
                <c:pt idx="44">
                  <c:v>229.06175356388658</c:v>
                </c:pt>
                <c:pt idx="45">
                  <c:v>235.88763891323802</c:v>
                </c:pt>
                <c:pt idx="46">
                  <c:v>242.70901970693987</c:v>
                </c:pt>
                <c:pt idx="47">
                  <c:v>249.5260405841843</c:v>
                </c:pt>
                <c:pt idx="48">
                  <c:v>256.3388376248987</c:v>
                </c:pt>
                <c:pt idx="49">
                  <c:v>263.14753907537755</c:v>
                </c:pt>
                <c:pt idx="50">
                  <c:v>269.95226599479992</c:v>
                </c:pt>
                <c:pt idx="51">
                  <c:v>211.01859640956005</c:v>
                </c:pt>
                <c:pt idx="52">
                  <c:v>228.51548359441404</c:v>
                </c:pt>
                <c:pt idx="53">
                  <c:v>245.98172527600511</c:v>
                </c:pt>
                <c:pt idx="54">
                  <c:v>263.41980368054266</c:v>
                </c:pt>
                <c:pt idx="55">
                  <c:v>280.83184541341694</c:v>
                </c:pt>
                <c:pt idx="56">
                  <c:v>298.21969176894135</c:v>
                </c:pt>
                <c:pt idx="57">
                  <c:v>315.58495176436173</c:v>
                </c:pt>
                <c:pt idx="58">
                  <c:v>332.92904287941269</c:v>
                </c:pt>
                <c:pt idx="59">
                  <c:v>266.14210166770823</c:v>
                </c:pt>
                <c:pt idx="60">
                  <c:v>294.96123670495587</c:v>
                </c:pt>
                <c:pt idx="61">
                  <c:v>323.71755016783703</c:v>
                </c:pt>
                <c:pt idx="62">
                  <c:v>352.41740261109879</c:v>
                </c:pt>
                <c:pt idx="63">
                  <c:v>381.06603404608524</c:v>
                </c:pt>
                <c:pt idx="64">
                  <c:v>409.66783253372438</c:v>
                </c:pt>
                <c:pt idx="65">
                  <c:v>438.2265237479221</c:v>
                </c:pt>
                <c:pt idx="66">
                  <c:v>466.74530850225375</c:v>
                </c:pt>
                <c:pt idx="67">
                  <c:v>399.47944417486082</c:v>
                </c:pt>
                <c:pt idx="68">
                  <c:v>416.25739435899715</c:v>
                </c:pt>
                <c:pt idx="69">
                  <c:v>433.02076925672151</c:v>
                </c:pt>
                <c:pt idx="70">
                  <c:v>449.77021233905822</c:v>
                </c:pt>
                <c:pt idx="71">
                  <c:v>466.50631525980481</c:v>
                </c:pt>
                <c:pt idx="72">
                  <c:v>483.22962377589596</c:v>
                </c:pt>
                <c:pt idx="73">
                  <c:v>499.94064280571092</c:v>
                </c:pt>
                <c:pt idx="74">
                  <c:v>516.63984077604061</c:v>
                </c:pt>
                <c:pt idx="75">
                  <c:v>533.32765337796297</c:v>
                </c:pt>
                <c:pt idx="76">
                  <c:v>469.85198379939806</c:v>
                </c:pt>
                <c:pt idx="77">
                  <c:v>485.85644254252929</c:v>
                </c:pt>
                <c:pt idx="78">
                  <c:v>501.84971239655255</c:v>
                </c:pt>
                <c:pt idx="79">
                  <c:v>517.83219999407856</c:v>
                </c:pt>
                <c:pt idx="80">
                  <c:v>533.80428483141839</c:v>
                </c:pt>
                <c:pt idx="81">
                  <c:v>549.76632185402843</c:v>
                </c:pt>
                <c:pt idx="82">
                  <c:v>565.71864372619154</c:v>
                </c:pt>
                <c:pt idx="83">
                  <c:v>581.66156283148678</c:v>
                </c:pt>
                <c:pt idx="84">
                  <c:v>597.5953730426379</c:v>
                </c:pt>
                <c:pt idx="85">
                  <c:v>536.66388588665029</c:v>
                </c:pt>
                <c:pt idx="86">
                  <c:v>552.8622981294983</c:v>
                </c:pt>
                <c:pt idx="87">
                  <c:v>569.05076700998416</c:v>
                </c:pt>
                <c:pt idx="88">
                  <c:v>585.22961507456887</c:v>
                </c:pt>
                <c:pt idx="89">
                  <c:v>601.39914559248984</c:v>
                </c:pt>
                <c:pt idx="90">
                  <c:v>617.55964420585906</c:v>
                </c:pt>
                <c:pt idx="91">
                  <c:v>633.71138039815605</c:v>
                </c:pt>
                <c:pt idx="92">
                  <c:v>649.85460880531878</c:v>
                </c:pt>
                <c:pt idx="93">
                  <c:v>665.9895703898718</c:v>
                </c:pt>
                <c:pt idx="94">
                  <c:v>606.79489091641051</c:v>
                </c:pt>
                <c:pt idx="95">
                  <c:v>622.4060732556685</c:v>
                </c:pt>
                <c:pt idx="96">
                  <c:v>638.00914868992481</c:v>
                </c:pt>
                <c:pt idx="97">
                  <c:v>653.60434327896337</c:v>
                </c:pt>
                <c:pt idx="98">
                  <c:v>669.19187142264593</c:v>
                </c:pt>
                <c:pt idx="99">
                  <c:v>684.77193672549231</c:v>
                </c:pt>
                <c:pt idx="100">
                  <c:v>700.34473277854011</c:v>
                </c:pt>
                <c:pt idx="101">
                  <c:v>715.91044386810142</c:v>
                </c:pt>
                <c:pt idx="102">
                  <c:v>731.46924561972082</c:v>
                </c:pt>
                <c:pt idx="103">
                  <c:v>747.02130558454337</c:v>
                </c:pt>
                <c:pt idx="104">
                  <c:v>1.708394296311803E-12</c:v>
                </c:pt>
                <c:pt idx="105">
                  <c:v>1.708394296311803E-12</c:v>
                </c:pt>
                <c:pt idx="106">
                  <c:v>1.708394296311803E-12</c:v>
                </c:pt>
                <c:pt idx="107">
                  <c:v>1.708394296311803E-12</c:v>
                </c:pt>
                <c:pt idx="108">
                  <c:v>1.708394296311803E-12</c:v>
                </c:pt>
                <c:pt idx="109">
                  <c:v>1.708394296311803E-12</c:v>
                </c:pt>
                <c:pt idx="110">
                  <c:v>1.708394296311803E-12</c:v>
                </c:pt>
                <c:pt idx="111">
                  <c:v>1.708394296311803E-12</c:v>
                </c:pt>
                <c:pt idx="112">
                  <c:v>1.708394296311803E-12</c:v>
                </c:pt>
                <c:pt idx="113">
                  <c:v>1.708394296311803E-12</c:v>
                </c:pt>
                <c:pt idx="114">
                  <c:v>1.708394296311803E-12</c:v>
                </c:pt>
                <c:pt idx="115">
                  <c:v>1.708394296311803E-12</c:v>
                </c:pt>
                <c:pt idx="116">
                  <c:v>1.708394296311803E-12</c:v>
                </c:pt>
                <c:pt idx="117">
                  <c:v>1.708394296311803E-12</c:v>
                </c:pt>
                <c:pt idx="118">
                  <c:v>1.708394296311803E-12</c:v>
                </c:pt>
                <c:pt idx="119">
                  <c:v>1.708394296311803E-12</c:v>
                </c:pt>
                <c:pt idx="120">
                  <c:v>1.708394296311803E-12</c:v>
                </c:pt>
                <c:pt idx="121">
                  <c:v>1.708394296311803E-12</c:v>
                </c:pt>
                <c:pt idx="122">
                  <c:v>1.708394296311803E-12</c:v>
                </c:pt>
                <c:pt idx="123">
                  <c:v>1.708394296311803E-12</c:v>
                </c:pt>
                <c:pt idx="124">
                  <c:v>1.708394296311803E-12</c:v>
                </c:pt>
                <c:pt idx="125">
                  <c:v>1.708394296311803E-12</c:v>
                </c:pt>
                <c:pt idx="126">
                  <c:v>1.708394296311803E-12</c:v>
                </c:pt>
                <c:pt idx="127">
                  <c:v>1.708394296311803E-12</c:v>
                </c:pt>
                <c:pt idx="128">
                  <c:v>1.708394296311803E-12</c:v>
                </c:pt>
                <c:pt idx="129">
                  <c:v>1.708394296311803E-12</c:v>
                </c:pt>
                <c:pt idx="130">
                  <c:v>1.708394296311803E-12</c:v>
                </c:pt>
                <c:pt idx="131">
                  <c:v>1.708394296311803E-12</c:v>
                </c:pt>
                <c:pt idx="132">
                  <c:v>1.708394296311803E-12</c:v>
                </c:pt>
                <c:pt idx="133">
                  <c:v>1.708394296311803E-12</c:v>
                </c:pt>
                <c:pt idx="134">
                  <c:v>1.708394296311803E-12</c:v>
                </c:pt>
                <c:pt idx="135">
                  <c:v>1.708394296311803E-12</c:v>
                </c:pt>
                <c:pt idx="136">
                  <c:v>1.708394296311803E-12</c:v>
                </c:pt>
                <c:pt idx="137">
                  <c:v>1.708394296311803E-12</c:v>
                </c:pt>
                <c:pt idx="138">
                  <c:v>1.708394296311803E-12</c:v>
                </c:pt>
                <c:pt idx="139">
                  <c:v>1.708394296311803E-12</c:v>
                </c:pt>
                <c:pt idx="140">
                  <c:v>1.708394296311803E-12</c:v>
                </c:pt>
                <c:pt idx="141">
                  <c:v>1.708394296311803E-12</c:v>
                </c:pt>
                <c:pt idx="142">
                  <c:v>1.708394296311803E-12</c:v>
                </c:pt>
                <c:pt idx="143">
                  <c:v>1.708394296311803E-12</c:v>
                </c:pt>
                <c:pt idx="144">
                  <c:v>1.708394296311803E-12</c:v>
                </c:pt>
                <c:pt idx="145">
                  <c:v>1.708394296311803E-12</c:v>
                </c:pt>
                <c:pt idx="146">
                  <c:v>1.708394296311803E-12</c:v>
                </c:pt>
                <c:pt idx="147">
                  <c:v>1.708394296311803E-12</c:v>
                </c:pt>
                <c:pt idx="148">
                  <c:v>1.708394296311803E-12</c:v>
                </c:pt>
                <c:pt idx="149">
                  <c:v>1.708394296311803E-12</c:v>
                </c:pt>
                <c:pt idx="150">
                  <c:v>1.708394296311803E-12</c:v>
                </c:pt>
                <c:pt idx="151">
                  <c:v>1.708394296311803E-12</c:v>
                </c:pt>
                <c:pt idx="152">
                  <c:v>1.708394296311803E-12</c:v>
                </c:pt>
                <c:pt idx="153">
                  <c:v>1.708394296311803E-12</c:v>
                </c:pt>
                <c:pt idx="154">
                  <c:v>1.708394296311803E-12</c:v>
                </c:pt>
                <c:pt idx="155">
                  <c:v>1.708394296311803E-12</c:v>
                </c:pt>
                <c:pt idx="156">
                  <c:v>1.708394296311803E-12</c:v>
                </c:pt>
                <c:pt idx="157">
                  <c:v>1.708394296311803E-12</c:v>
                </c:pt>
                <c:pt idx="158">
                  <c:v>1.708394296311803E-12</c:v>
                </c:pt>
                <c:pt idx="159">
                  <c:v>1.708394296311803E-12</c:v>
                </c:pt>
                <c:pt idx="160">
                  <c:v>1.708394296311803E-12</c:v>
                </c:pt>
                <c:pt idx="161">
                  <c:v>1.708394296311803E-12</c:v>
                </c:pt>
                <c:pt idx="162">
                  <c:v>1.708394296311803E-12</c:v>
                </c:pt>
                <c:pt idx="163">
                  <c:v>1.708394296311803E-12</c:v>
                </c:pt>
                <c:pt idx="164">
                  <c:v>1.708394296311803E-12</c:v>
                </c:pt>
                <c:pt idx="165">
                  <c:v>1.708394296311803E-12</c:v>
                </c:pt>
                <c:pt idx="166">
                  <c:v>1.708394296311803E-12</c:v>
                </c:pt>
                <c:pt idx="167">
                  <c:v>1.708394296311803E-12</c:v>
                </c:pt>
                <c:pt idx="168">
                  <c:v>1.708394296311803E-12</c:v>
                </c:pt>
                <c:pt idx="169">
                  <c:v>1.708394296311803E-12</c:v>
                </c:pt>
                <c:pt idx="170">
                  <c:v>1.708394296311803E-12</c:v>
                </c:pt>
                <c:pt idx="171">
                  <c:v>1.708394296311803E-12</c:v>
                </c:pt>
                <c:pt idx="172">
                  <c:v>1.708394296311803E-12</c:v>
                </c:pt>
                <c:pt idx="173">
                  <c:v>1.708394296311803E-12</c:v>
                </c:pt>
                <c:pt idx="174">
                  <c:v>1.708394296311803E-12</c:v>
                </c:pt>
                <c:pt idx="175">
                  <c:v>1.708394296311803E-12</c:v>
                </c:pt>
                <c:pt idx="176">
                  <c:v>1.708394296311803E-12</c:v>
                </c:pt>
                <c:pt idx="177">
                  <c:v>1.708394296311803E-12</c:v>
                </c:pt>
                <c:pt idx="178">
                  <c:v>1.708394296311803E-12</c:v>
                </c:pt>
                <c:pt idx="179">
                  <c:v>1.708394296311803E-12</c:v>
                </c:pt>
                <c:pt idx="180">
                  <c:v>1.708394296311803E-12</c:v>
                </c:pt>
                <c:pt idx="181">
                  <c:v>1.708394296311803E-12</c:v>
                </c:pt>
                <c:pt idx="182">
                  <c:v>1.708394296311803E-12</c:v>
                </c:pt>
                <c:pt idx="183">
                  <c:v>1.708394296311803E-12</c:v>
                </c:pt>
                <c:pt idx="184">
                  <c:v>1.708394296311803E-12</c:v>
                </c:pt>
                <c:pt idx="185">
                  <c:v>1.708394296311803E-12</c:v>
                </c:pt>
                <c:pt idx="186">
                  <c:v>1.708394296311803E-12</c:v>
                </c:pt>
                <c:pt idx="187">
                  <c:v>1.708394296311803E-12</c:v>
                </c:pt>
                <c:pt idx="188">
                  <c:v>1.708394296311803E-12</c:v>
                </c:pt>
                <c:pt idx="189">
                  <c:v>1.708394296311803E-12</c:v>
                </c:pt>
                <c:pt idx="190">
                  <c:v>1.708394296311803E-12</c:v>
                </c:pt>
                <c:pt idx="191">
                  <c:v>1.708394296311803E-12</c:v>
                </c:pt>
                <c:pt idx="192">
                  <c:v>1.708394296311803E-12</c:v>
                </c:pt>
                <c:pt idx="193">
                  <c:v>1.708394296311803E-12</c:v>
                </c:pt>
                <c:pt idx="194">
                  <c:v>1.708394296311803E-12</c:v>
                </c:pt>
                <c:pt idx="195">
                  <c:v>1.708394296311803E-12</c:v>
                </c:pt>
                <c:pt idx="196">
                  <c:v>1.708394296311803E-12</c:v>
                </c:pt>
                <c:pt idx="197">
                  <c:v>1.708394296311803E-12</c:v>
                </c:pt>
                <c:pt idx="198">
                  <c:v>1.708394296311803E-12</c:v>
                </c:pt>
                <c:pt idx="199">
                  <c:v>1.708394296311803E-12</c:v>
                </c:pt>
                <c:pt idx="200">
                  <c:v>1.708394296311803E-12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2.593989336816577</c:v>
                </c:pt>
                <c:pt idx="2">
                  <c:v>3.0652197553224139</c:v>
                </c:pt>
                <c:pt idx="3">
                  <c:v>3.6223704015646927</c:v>
                </c:pt>
                <c:pt idx="4">
                  <c:v>4.2811615619696477</c:v>
                </c:pt>
                <c:pt idx="5">
                  <c:v>5.0601990833794659</c:v>
                </c:pt>
                <c:pt idx="6">
                  <c:v>5.9815056295813074</c:v>
                </c:pt>
                <c:pt idx="7">
                  <c:v>7.0711500182745013</c:v>
                </c:pt>
                <c:pt idx="8">
                  <c:v>8.3599927921993835</c:v>
                </c:pt>
                <c:pt idx="9">
                  <c:v>9.8845695460451353</c:v>
                </c:pt>
                <c:pt idx="10">
                  <c:v>11.688137524783633</c:v>
                </c:pt>
                <c:pt idx="11">
                  <c:v>13.821915745871536</c:v>
                </c:pt>
                <c:pt idx="12">
                  <c:v>16.34655451571577</c:v>
                </c:pt>
                <c:pt idx="13">
                  <c:v>19.333876874128119</c:v>
                </c:pt>
                <c:pt idx="14">
                  <c:v>22.868942404081093</c:v>
                </c:pt>
                <c:pt idx="15">
                  <c:v>27.05249321918517</c:v>
                </c:pt>
                <c:pt idx="16">
                  <c:v>32.003853062396061</c:v>
                </c:pt>
                <c:pt idx="17">
                  <c:v>37.864363642261203</c:v>
                </c:pt>
                <c:pt idx="18">
                  <c:v>44.80145798412218</c:v>
                </c:pt>
                <c:pt idx="19">
                  <c:v>53.013489141951169</c:v>
                </c:pt>
                <c:pt idx="20">
                  <c:v>62.735454646537619</c:v>
                </c:pt>
                <c:pt idx="21">
                  <c:v>74.245783204008049</c:v>
                </c:pt>
                <c:pt idx="22">
                  <c:v>87.874381172505764</c:v>
                </c:pt>
                <c:pt idx="23">
                  <c:v>104.01217314516242</c:v>
                </c:pt>
                <c:pt idx="24">
                  <c:v>123.12241463555988</c:v>
                </c:pt>
                <c:pt idx="25">
                  <c:v>145.75410668135342</c:v>
                </c:pt>
                <c:pt idx="26">
                  <c:v>150.23693675874819</c:v>
                </c:pt>
                <c:pt idx="27">
                  <c:v>167.76494354361139</c:v>
                </c:pt>
                <c:pt idx="28">
                  <c:v>185.24975095506525</c:v>
                </c:pt>
                <c:pt idx="29">
                  <c:v>202.69601208813617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230.46511069348855</c:v>
                </c:pt>
                <c:pt idx="37">
                  <c:v>250.04186301596886</c:v>
                </c:pt>
                <c:pt idx="38">
                  <c:v>269.58386372150017</c:v>
                </c:pt>
                <c:pt idx="39">
                  <c:v>289.09398574595843</c:v>
                </c:pt>
                <c:pt idx="40">
                  <c:v>308.5746825039426</c:v>
                </c:pt>
                <c:pt idx="41">
                  <c:v>276.94977849512787</c:v>
                </c:pt>
                <c:pt idx="42">
                  <c:v>296.81614745645362</c:v>
                </c:pt>
                <c:pt idx="43">
                  <c:v>316.65287813060667</c:v>
                </c:pt>
                <c:pt idx="44">
                  <c:v>336.462087656405</c:v>
                </c:pt>
                <c:pt idx="45">
                  <c:v>356.24562356348309</c:v>
                </c:pt>
                <c:pt idx="46">
                  <c:v>325.09338574282282</c:v>
                </c:pt>
                <c:pt idx="47">
                  <c:v>345.25783856692919</c:v>
                </c:pt>
                <c:pt idx="48">
                  <c:v>365.39643285792204</c:v>
                </c:pt>
                <c:pt idx="49">
                  <c:v>385.51079352962597</c:v>
                </c:pt>
                <c:pt idx="50">
                  <c:v>405.60236216041108</c:v>
                </c:pt>
                <c:pt idx="51">
                  <c:v>374.5422376976797</c:v>
                </c:pt>
                <c:pt idx="52">
                  <c:v>394.64606952207777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454.82920658695622</c:v>
                </c:pt>
                <c:pt idx="56">
                  <c:v>423.48397302905909</c:v>
                </c:pt>
                <c:pt idx="57">
                  <c:v>443.17145181723475</c:v>
                </c:pt>
                <c:pt idx="58">
                  <c:v>462.84019859006776</c:v>
                </c:pt>
                <c:pt idx="59">
                  <c:v>482.49112087009524</c:v>
                </c:pt>
                <c:pt idx="60">
                  <c:v>502.12504627431446</c:v>
                </c:pt>
                <c:pt idx="61">
                  <c:v>470.12035055146072</c:v>
                </c:pt>
                <c:pt idx="62">
                  <c:v>489.03761244496371</c:v>
                </c:pt>
                <c:pt idx="63">
                  <c:v>507.93935454019061</c:v>
                </c:pt>
                <c:pt idx="64">
                  <c:v>526.82623526820407</c:v>
                </c:pt>
                <c:pt idx="65">
                  <c:v>545.69886203239605</c:v>
                </c:pt>
                <c:pt idx="66">
                  <c:v>513.02571977154446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585.57724715974564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2.2295732502049668</c:v>
                </c:pt>
                <c:pt idx="2">
                  <c:v>2.634393324733677</c:v>
                </c:pt>
                <c:pt idx="3">
                  <c:v>3.1129888181635406</c:v>
                </c:pt>
                <c:pt idx="4">
                  <c:v>3.6788517633207305</c:v>
                </c:pt>
                <c:pt idx="5">
                  <c:v>4.3479496840046048</c:v>
                </c:pt>
                <c:pt idx="6">
                  <c:v>5.1391811737030455</c:v>
                </c:pt>
                <c:pt idx="7">
                  <c:v>6.0749155524581626</c:v>
                </c:pt>
                <c:pt idx="8">
                  <c:v>7.1816321587232217</c:v>
                </c:pt>
                <c:pt idx="9">
                  <c:v>8.490677718291213</c:v>
                </c:pt>
                <c:pt idx="10">
                  <c:v>10.039163653871084</c:v>
                </c:pt>
                <c:pt idx="11">
                  <c:v>11.871029256502112</c:v>
                </c:pt>
                <c:pt idx="12">
                  <c:v>14.038301452222683</c:v>
                </c:pt>
                <c:pt idx="13">
                  <c:v>16.602587604849063</c:v>
                </c:pt>
                <c:pt idx="14">
                  <c:v>19.636844565216929</c:v>
                </c:pt>
                <c:pt idx="15">
                  <c:v>23.227475206785641</c:v>
                </c:pt>
                <c:pt idx="16">
                  <c:v>27.47681321206386</c:v>
                </c:pt>
                <c:pt idx="17">
                  <c:v>32.506068172734111</c:v>
                </c:pt>
                <c:pt idx="18">
                  <c:v>38.4588164695705</c:v>
                </c:pt>
                <c:pt idx="19">
                  <c:v>45.505139299038682</c:v>
                </c:pt>
                <c:pt idx="20">
                  <c:v>53.846528078025962</c:v>
                </c:pt>
                <c:pt idx="21">
                  <c:v>63.721699839809681</c:v>
                </c:pt>
                <c:pt idx="22">
                  <c:v>75.413491789930291</c:v>
                </c:pt>
                <c:pt idx="23">
                  <c:v>89.257035699725392</c:v>
                </c:pt>
                <c:pt idx="24">
                  <c:v>105.64945020336525</c:v>
                </c:pt>
                <c:pt idx="25">
                  <c:v>125.0613334299279</c:v>
                </c:pt>
                <c:pt idx="26">
                  <c:v>128.9062596499173</c:v>
                </c:pt>
                <c:pt idx="27">
                  <c:v>143.93966677446886</c:v>
                </c:pt>
                <c:pt idx="28">
                  <c:v>158.93547642720696</c:v>
                </c:pt>
                <c:pt idx="29">
                  <c:v>173.89773831059935</c:v>
                </c:pt>
                <c:pt idx="30">
                  <c:v>188.82974704850506</c:v>
                </c:pt>
                <c:pt idx="31">
                  <c:v>160.52873780727222</c:v>
                </c:pt>
                <c:pt idx="32">
                  <c:v>176.75931019759398</c:v>
                </c:pt>
                <c:pt idx="33">
                  <c:v>192.95491309455588</c:v>
                </c:pt>
                <c:pt idx="34">
                  <c:v>209.11889593919321</c:v>
                </c:pt>
                <c:pt idx="35">
                  <c:v>225.25404749767401</c:v>
                </c:pt>
                <c:pt idx="36">
                  <c:v>197.71217376629156</c:v>
                </c:pt>
                <c:pt idx="37">
                  <c:v>214.50035901921697</c:v>
                </c:pt>
                <c:pt idx="38">
                  <c:v>231.25829908950217</c:v>
                </c:pt>
                <c:pt idx="39">
                  <c:v>247.98849436354362</c:v>
                </c:pt>
                <c:pt idx="40">
                  <c:v>264.69308010810488</c:v>
                </c:pt>
                <c:pt idx="41">
                  <c:v>237.57471747544562</c:v>
                </c:pt>
                <c:pt idx="42">
                  <c:v>254.61024730171846</c:v>
                </c:pt>
                <c:pt idx="43">
                  <c:v>271.619982201384</c:v>
                </c:pt>
                <c:pt idx="44">
                  <c:v>288.60576477216426</c:v>
                </c:pt>
                <c:pt idx="45">
                  <c:v>305.56920296431122</c:v>
                </c:pt>
                <c:pt idx="46">
                  <c:v>278.85749740718308</c:v>
                </c:pt>
                <c:pt idx="47">
                  <c:v>296.14774103899623</c:v>
                </c:pt>
                <c:pt idx="48">
                  <c:v>313.41547935665466</c:v>
                </c:pt>
                <c:pt idx="49">
                  <c:v>330.662126562423</c:v>
                </c:pt>
                <c:pt idx="50">
                  <c:v>347.88893729723395</c:v>
                </c:pt>
                <c:pt idx="51">
                  <c:v>321.2574002496246</c:v>
                </c:pt>
                <c:pt idx="52">
                  <c:v>338.49488394193031</c:v>
                </c:pt>
                <c:pt idx="53">
                  <c:v>355.7130557164939</c:v>
                </c:pt>
                <c:pt idx="54">
                  <c:v>372.91298167145311</c:v>
                </c:pt>
                <c:pt idx="55">
                  <c:v>390.09562155502164</c:v>
                </c:pt>
                <c:pt idx="56">
                  <c:v>363.2206629596339</c:v>
                </c:pt>
                <c:pt idx="57">
                  <c:v>380.10050029057862</c:v>
                </c:pt>
                <c:pt idx="58">
                  <c:v>396.96403469017804</c:v>
                </c:pt>
                <c:pt idx="59">
                  <c:v>413.8120559975041</c:v>
                </c:pt>
                <c:pt idx="60">
                  <c:v>430.64528450788248</c:v>
                </c:pt>
                <c:pt idx="61">
                  <c:v>2.3728589156891171E-12</c:v>
                </c:pt>
                <c:pt idx="62">
                  <c:v>2.3728589156891171E-12</c:v>
                </c:pt>
                <c:pt idx="63">
                  <c:v>2.3728589156891171E-12</c:v>
                </c:pt>
                <c:pt idx="64">
                  <c:v>2.3728589156891171E-12</c:v>
                </c:pt>
                <c:pt idx="65">
                  <c:v>2.3728589156891171E-12</c:v>
                </c:pt>
                <c:pt idx="66">
                  <c:v>2.3728589156891171E-12</c:v>
                </c:pt>
                <c:pt idx="67">
                  <c:v>2.3728589156891171E-12</c:v>
                </c:pt>
                <c:pt idx="68">
                  <c:v>2.3728589156891171E-12</c:v>
                </c:pt>
                <c:pt idx="69">
                  <c:v>2.3728589156891171E-12</c:v>
                </c:pt>
                <c:pt idx="70">
                  <c:v>2.3728589156891171E-12</c:v>
                </c:pt>
                <c:pt idx="71">
                  <c:v>2.3728589156891171E-12</c:v>
                </c:pt>
                <c:pt idx="72">
                  <c:v>2.3728589156891171E-12</c:v>
                </c:pt>
                <c:pt idx="73">
                  <c:v>2.3728589156891171E-12</c:v>
                </c:pt>
                <c:pt idx="74">
                  <c:v>2.3728589156891171E-12</c:v>
                </c:pt>
                <c:pt idx="75">
                  <c:v>2.3728589156891171E-12</c:v>
                </c:pt>
                <c:pt idx="76">
                  <c:v>2.3728589156891171E-12</c:v>
                </c:pt>
                <c:pt idx="77">
                  <c:v>2.3728589156891171E-12</c:v>
                </c:pt>
                <c:pt idx="78">
                  <c:v>2.3728589156891171E-12</c:v>
                </c:pt>
                <c:pt idx="79">
                  <c:v>2.3728589156891171E-12</c:v>
                </c:pt>
                <c:pt idx="80">
                  <c:v>2.3728589156891171E-12</c:v>
                </c:pt>
                <c:pt idx="81">
                  <c:v>2.3728589156891171E-12</c:v>
                </c:pt>
                <c:pt idx="82">
                  <c:v>2.3728589156891171E-12</c:v>
                </c:pt>
                <c:pt idx="83">
                  <c:v>2.3728589156891171E-12</c:v>
                </c:pt>
                <c:pt idx="84">
                  <c:v>2.3728589156891171E-12</c:v>
                </c:pt>
                <c:pt idx="85">
                  <c:v>2.3728589156891171E-12</c:v>
                </c:pt>
                <c:pt idx="86">
                  <c:v>2.3728589156891171E-12</c:v>
                </c:pt>
                <c:pt idx="87">
                  <c:v>2.3728589156891171E-12</c:v>
                </c:pt>
                <c:pt idx="88">
                  <c:v>2.3728589156891171E-12</c:v>
                </c:pt>
                <c:pt idx="89">
                  <c:v>2.3728589156891171E-12</c:v>
                </c:pt>
                <c:pt idx="90">
                  <c:v>2.3728589156891171E-12</c:v>
                </c:pt>
                <c:pt idx="91">
                  <c:v>2.3728589156891171E-12</c:v>
                </c:pt>
                <c:pt idx="92">
                  <c:v>2.3728589156891171E-12</c:v>
                </c:pt>
                <c:pt idx="93">
                  <c:v>2.3728589156891171E-12</c:v>
                </c:pt>
                <c:pt idx="94">
                  <c:v>2.3728589156891171E-12</c:v>
                </c:pt>
                <c:pt idx="95">
                  <c:v>2.3728589156891171E-12</c:v>
                </c:pt>
                <c:pt idx="96">
                  <c:v>2.3728589156891171E-12</c:v>
                </c:pt>
                <c:pt idx="97">
                  <c:v>2.3728589156891171E-12</c:v>
                </c:pt>
                <c:pt idx="98">
                  <c:v>2.3728589156891171E-12</c:v>
                </c:pt>
                <c:pt idx="99">
                  <c:v>2.3728589156891171E-12</c:v>
                </c:pt>
                <c:pt idx="100">
                  <c:v>2.3728589156891171E-12</c:v>
                </c:pt>
                <c:pt idx="101">
                  <c:v>2.3728589156891171E-12</c:v>
                </c:pt>
                <c:pt idx="102">
                  <c:v>2.3728589156891171E-12</c:v>
                </c:pt>
                <c:pt idx="103">
                  <c:v>2.3728589156891171E-12</c:v>
                </c:pt>
                <c:pt idx="104">
                  <c:v>2.3728589156891171E-12</c:v>
                </c:pt>
                <c:pt idx="105">
                  <c:v>2.3728589156891171E-12</c:v>
                </c:pt>
                <c:pt idx="106">
                  <c:v>2.3728589156891171E-12</c:v>
                </c:pt>
                <c:pt idx="107">
                  <c:v>2.3728589156891171E-12</c:v>
                </c:pt>
                <c:pt idx="108">
                  <c:v>2.3728589156891171E-12</c:v>
                </c:pt>
                <c:pt idx="109">
                  <c:v>2.3728589156891171E-12</c:v>
                </c:pt>
                <c:pt idx="110">
                  <c:v>2.3728589156891171E-12</c:v>
                </c:pt>
                <c:pt idx="111">
                  <c:v>2.3728589156891171E-12</c:v>
                </c:pt>
                <c:pt idx="112">
                  <c:v>2.3728589156891171E-12</c:v>
                </c:pt>
                <c:pt idx="113">
                  <c:v>2.3728589156891171E-12</c:v>
                </c:pt>
                <c:pt idx="114">
                  <c:v>2.3728589156891171E-12</c:v>
                </c:pt>
                <c:pt idx="115">
                  <c:v>2.3728589156891171E-12</c:v>
                </c:pt>
                <c:pt idx="116">
                  <c:v>2.3728589156891171E-12</c:v>
                </c:pt>
                <c:pt idx="117">
                  <c:v>2.3728589156891171E-12</c:v>
                </c:pt>
                <c:pt idx="118">
                  <c:v>2.3728589156891171E-12</c:v>
                </c:pt>
                <c:pt idx="119">
                  <c:v>2.3728589156891171E-12</c:v>
                </c:pt>
                <c:pt idx="120">
                  <c:v>2.3728589156891171E-12</c:v>
                </c:pt>
                <c:pt idx="121">
                  <c:v>2.3728589156891171E-12</c:v>
                </c:pt>
                <c:pt idx="122">
                  <c:v>2.3728589156891171E-12</c:v>
                </c:pt>
                <c:pt idx="123">
                  <c:v>2.3728589156891171E-12</c:v>
                </c:pt>
                <c:pt idx="124">
                  <c:v>2.3728589156891171E-12</c:v>
                </c:pt>
                <c:pt idx="125">
                  <c:v>2.3728589156891171E-12</c:v>
                </c:pt>
                <c:pt idx="126">
                  <c:v>2.3728589156891171E-12</c:v>
                </c:pt>
                <c:pt idx="127">
                  <c:v>2.3728589156891171E-12</c:v>
                </c:pt>
                <c:pt idx="128">
                  <c:v>2.3728589156891171E-12</c:v>
                </c:pt>
                <c:pt idx="129">
                  <c:v>2.3728589156891171E-12</c:v>
                </c:pt>
                <c:pt idx="130">
                  <c:v>2.3728589156891171E-12</c:v>
                </c:pt>
                <c:pt idx="131">
                  <c:v>2.3728589156891171E-12</c:v>
                </c:pt>
                <c:pt idx="132">
                  <c:v>2.3728589156891171E-12</c:v>
                </c:pt>
                <c:pt idx="133">
                  <c:v>2.3728589156891171E-12</c:v>
                </c:pt>
                <c:pt idx="134">
                  <c:v>2.3728589156891171E-12</c:v>
                </c:pt>
                <c:pt idx="135">
                  <c:v>2.3728589156891171E-12</c:v>
                </c:pt>
                <c:pt idx="136">
                  <c:v>2.3728589156891171E-12</c:v>
                </c:pt>
                <c:pt idx="137">
                  <c:v>2.3728589156891171E-12</c:v>
                </c:pt>
                <c:pt idx="138">
                  <c:v>2.3728589156891171E-12</c:v>
                </c:pt>
                <c:pt idx="139">
                  <c:v>2.3728589156891171E-12</c:v>
                </c:pt>
                <c:pt idx="140">
                  <c:v>2.3728589156891171E-12</c:v>
                </c:pt>
                <c:pt idx="141">
                  <c:v>2.3728589156891171E-12</c:v>
                </c:pt>
                <c:pt idx="142">
                  <c:v>2.3728589156891171E-12</c:v>
                </c:pt>
                <c:pt idx="143">
                  <c:v>2.3728589156891171E-12</c:v>
                </c:pt>
                <c:pt idx="144">
                  <c:v>2.3728589156891171E-12</c:v>
                </c:pt>
                <c:pt idx="145">
                  <c:v>2.3728589156891171E-12</c:v>
                </c:pt>
                <c:pt idx="146">
                  <c:v>2.3728589156891171E-12</c:v>
                </c:pt>
                <c:pt idx="147">
                  <c:v>2.3728589156891171E-12</c:v>
                </c:pt>
                <c:pt idx="148">
                  <c:v>2.3728589156891171E-12</c:v>
                </c:pt>
                <c:pt idx="149">
                  <c:v>2.3728589156891171E-12</c:v>
                </c:pt>
                <c:pt idx="150">
                  <c:v>2.3728589156891171E-12</c:v>
                </c:pt>
                <c:pt idx="151">
                  <c:v>2.3728589156891171E-12</c:v>
                </c:pt>
                <c:pt idx="152">
                  <c:v>2.3728589156891171E-12</c:v>
                </c:pt>
                <c:pt idx="153">
                  <c:v>2.3728589156891171E-12</c:v>
                </c:pt>
                <c:pt idx="154">
                  <c:v>2.3728589156891171E-12</c:v>
                </c:pt>
                <c:pt idx="155">
                  <c:v>2.3728589156891171E-12</c:v>
                </c:pt>
                <c:pt idx="156">
                  <c:v>2.3728589156891171E-12</c:v>
                </c:pt>
                <c:pt idx="157">
                  <c:v>2.3728589156891171E-12</c:v>
                </c:pt>
                <c:pt idx="158">
                  <c:v>2.3728589156891171E-12</c:v>
                </c:pt>
                <c:pt idx="159">
                  <c:v>2.3728589156891171E-12</c:v>
                </c:pt>
                <c:pt idx="160">
                  <c:v>2.3728589156891171E-12</c:v>
                </c:pt>
                <c:pt idx="161">
                  <c:v>2.3728589156891171E-12</c:v>
                </c:pt>
                <c:pt idx="162">
                  <c:v>2.3728589156891171E-12</c:v>
                </c:pt>
                <c:pt idx="163">
                  <c:v>2.3728589156891171E-12</c:v>
                </c:pt>
                <c:pt idx="164">
                  <c:v>2.3728589156891171E-12</c:v>
                </c:pt>
                <c:pt idx="165">
                  <c:v>2.3728589156891171E-12</c:v>
                </c:pt>
                <c:pt idx="166">
                  <c:v>2.3728589156891171E-12</c:v>
                </c:pt>
                <c:pt idx="167">
                  <c:v>2.3728589156891171E-12</c:v>
                </c:pt>
                <c:pt idx="168">
                  <c:v>2.3728589156891171E-12</c:v>
                </c:pt>
                <c:pt idx="169">
                  <c:v>2.3728589156891171E-12</c:v>
                </c:pt>
                <c:pt idx="170">
                  <c:v>2.3728589156891171E-12</c:v>
                </c:pt>
                <c:pt idx="171">
                  <c:v>2.3728589156891171E-12</c:v>
                </c:pt>
                <c:pt idx="172">
                  <c:v>2.3728589156891171E-12</c:v>
                </c:pt>
                <c:pt idx="173">
                  <c:v>2.3728589156891171E-12</c:v>
                </c:pt>
                <c:pt idx="174">
                  <c:v>2.3728589156891171E-12</c:v>
                </c:pt>
                <c:pt idx="175">
                  <c:v>2.3728589156891171E-12</c:v>
                </c:pt>
                <c:pt idx="176">
                  <c:v>2.3728589156891171E-12</c:v>
                </c:pt>
                <c:pt idx="177">
                  <c:v>2.3728589156891171E-12</c:v>
                </c:pt>
                <c:pt idx="178">
                  <c:v>2.3728589156891171E-12</c:v>
                </c:pt>
                <c:pt idx="179">
                  <c:v>2.3728589156891171E-12</c:v>
                </c:pt>
                <c:pt idx="180">
                  <c:v>2.3728589156891171E-12</c:v>
                </c:pt>
                <c:pt idx="181">
                  <c:v>2.3728589156891171E-12</c:v>
                </c:pt>
                <c:pt idx="182">
                  <c:v>2.3728589156891171E-12</c:v>
                </c:pt>
                <c:pt idx="183">
                  <c:v>2.3728589156891171E-12</c:v>
                </c:pt>
                <c:pt idx="184">
                  <c:v>2.3728589156891171E-12</c:v>
                </c:pt>
                <c:pt idx="185">
                  <c:v>2.3728589156891171E-12</c:v>
                </c:pt>
                <c:pt idx="186">
                  <c:v>2.3728589156891171E-12</c:v>
                </c:pt>
                <c:pt idx="187">
                  <c:v>2.3728589156891171E-12</c:v>
                </c:pt>
                <c:pt idx="188">
                  <c:v>2.3728589156891171E-12</c:v>
                </c:pt>
                <c:pt idx="189">
                  <c:v>2.3728589156891171E-12</c:v>
                </c:pt>
                <c:pt idx="190">
                  <c:v>2.3728589156891171E-12</c:v>
                </c:pt>
                <c:pt idx="191">
                  <c:v>2.3728589156891171E-12</c:v>
                </c:pt>
                <c:pt idx="192">
                  <c:v>2.3728589156891171E-12</c:v>
                </c:pt>
                <c:pt idx="193">
                  <c:v>2.3728589156891171E-12</c:v>
                </c:pt>
                <c:pt idx="194">
                  <c:v>2.3728589156891171E-12</c:v>
                </c:pt>
                <c:pt idx="195">
                  <c:v>2.3728589156891171E-12</c:v>
                </c:pt>
                <c:pt idx="196">
                  <c:v>2.3728589156891171E-12</c:v>
                </c:pt>
                <c:pt idx="197">
                  <c:v>2.3728589156891171E-12</c:v>
                </c:pt>
                <c:pt idx="198">
                  <c:v>2.3728589156891171E-12</c:v>
                </c:pt>
                <c:pt idx="199">
                  <c:v>2.3728589156891171E-12</c:v>
                </c:pt>
                <c:pt idx="200">
                  <c:v>2.3728589156891171E-12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2.4810006764680845</c:v>
                </c:pt>
                <c:pt idx="2">
                  <c:v>3.0155258703041565</c:v>
                </c:pt>
                <c:pt idx="3">
                  <c:v>3.665649560854471</c:v>
                </c:pt>
                <c:pt idx="4">
                  <c:v>4.4564606201699286</c:v>
                </c:pt>
                <c:pt idx="5">
                  <c:v>5.4185111918751945</c:v>
                </c:pt>
                <c:pt idx="6">
                  <c:v>6.5890100271940684</c:v>
                </c:pt>
                <c:pt idx="7">
                  <c:v>8.0132772215607719</c:v>
                </c:pt>
                <c:pt idx="8">
                  <c:v>9.7465177610104199</c:v>
                </c:pt>
                <c:pt idx="9">
                  <c:v>11.85598392581772</c:v>
                </c:pt>
                <c:pt idx="10">
                  <c:v>14.423612025370206</c:v>
                </c:pt>
                <c:pt idx="11">
                  <c:v>17.54923776935934</c:v>
                </c:pt>
                <c:pt idx="12">
                  <c:v>21.354517568867987</c:v>
                </c:pt>
                <c:pt idx="13">
                  <c:v>25.987711126393666</c:v>
                </c:pt>
                <c:pt idx="14">
                  <c:v>31.629514939582602</c:v>
                </c:pt>
                <c:pt idx="15">
                  <c:v>38.500178181720848</c:v>
                </c:pt>
                <c:pt idx="16">
                  <c:v>46.868183509302604</c:v>
                </c:pt>
                <c:pt idx="17">
                  <c:v>57.06083773148135</c:v>
                </c:pt>
                <c:pt idx="18">
                  <c:v>69.477193460408614</c:v>
                </c:pt>
                <c:pt idx="19">
                  <c:v>84.603815903069531</c:v>
                </c:pt>
                <c:pt idx="20">
                  <c:v>103.0340225904647</c:v>
                </c:pt>
                <c:pt idx="21">
                  <c:v>125.49136263440583</c:v>
                </c:pt>
                <c:pt idx="22">
                  <c:v>152.8582716349604</c:v>
                </c:pt>
                <c:pt idx="23">
                  <c:v>186.21104545084839</c:v>
                </c:pt>
                <c:pt idx="24">
                  <c:v>226.86252902346121</c:v>
                </c:pt>
                <c:pt idx="25">
                  <c:v>276.41422549651458</c:v>
                </c:pt>
                <c:pt idx="26">
                  <c:v>271.29181534136131</c:v>
                </c:pt>
                <c:pt idx="27">
                  <c:v>291.76884281866916</c:v>
                </c:pt>
                <c:pt idx="28">
                  <c:v>312.21378221159426</c:v>
                </c:pt>
                <c:pt idx="29">
                  <c:v>332.6290294344642</c:v>
                </c:pt>
                <c:pt idx="30">
                  <c:v>353.01666232745418</c:v>
                </c:pt>
                <c:pt idx="31">
                  <c:v>323.78592807498882</c:v>
                </c:pt>
                <c:pt idx="32">
                  <c:v>342.14657846410142</c:v>
                </c:pt>
                <c:pt idx="33">
                  <c:v>360.48557531469942</c:v>
                </c:pt>
                <c:pt idx="34">
                  <c:v>378.80417480366003</c:v>
                </c:pt>
                <c:pt idx="35">
                  <c:v>397.1035017318257</c:v>
                </c:pt>
                <c:pt idx="36">
                  <c:v>365.57607090875064</c:v>
                </c:pt>
                <c:pt idx="37">
                  <c:v>381.51637667477121</c:v>
                </c:pt>
                <c:pt idx="38">
                  <c:v>397.44220298697866</c:v>
                </c:pt>
                <c:pt idx="39">
                  <c:v>413.35421160053392</c:v>
                </c:pt>
                <c:pt idx="40">
                  <c:v>429.25300917701105</c:v>
                </c:pt>
                <c:pt idx="41">
                  <c:v>395.7486340579876</c:v>
                </c:pt>
                <c:pt idx="42">
                  <c:v>409.63133016048567</c:v>
                </c:pt>
                <c:pt idx="43">
                  <c:v>423.50386914989144</c:v>
                </c:pt>
                <c:pt idx="44">
                  <c:v>437.36663057333823</c:v>
                </c:pt>
                <c:pt idx="45">
                  <c:v>451.2199679576733</c:v>
                </c:pt>
                <c:pt idx="46">
                  <c:v>425.87136416108183</c:v>
                </c:pt>
                <c:pt idx="47">
                  <c:v>437.70462758915534</c:v>
                </c:pt>
                <c:pt idx="48">
                  <c:v>449.53102985794379</c:v>
                </c:pt>
                <c:pt idx="49">
                  <c:v>461.35077692036288</c:v>
                </c:pt>
                <c:pt idx="50">
                  <c:v>473.16406331526747</c:v>
                </c:pt>
                <c:pt idx="51">
                  <c:v>454.93515661064197</c:v>
                </c:pt>
                <c:pt idx="52">
                  <c:v>465.40176486435286</c:v>
                </c:pt>
                <c:pt idx="53">
                  <c:v>475.86335532783232</c:v>
                </c:pt>
                <c:pt idx="54">
                  <c:v>486.32005387922612</c:v>
                </c:pt>
                <c:pt idx="55">
                  <c:v>496.77198054139427</c:v>
                </c:pt>
                <c:pt idx="56">
                  <c:v>483.62201257744277</c:v>
                </c:pt>
                <c:pt idx="57">
                  <c:v>492.38948802194841</c:v>
                </c:pt>
                <c:pt idx="58">
                  <c:v>501.15365409160626</c:v>
                </c:pt>
                <c:pt idx="59">
                  <c:v>509.9145768356903</c:v>
                </c:pt>
                <c:pt idx="60">
                  <c:v>518.67231984823604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B1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2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2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2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2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2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2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2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2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2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2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2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2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2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2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2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2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2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2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108" zoomScaleNormal="75" workbookViewId="0">
      <selection activeCell="E248" sqref="E248:H25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70" t="s">
        <v>231</v>
      </c>
      <c r="B5" s="270"/>
      <c r="C5" s="24">
        <v>2.4464000000000001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0.22</v>
      </c>
      <c r="D9" s="33">
        <f t="shared" ref="D9:D18" si="0">C9*$C$5</f>
        <v>0.53820800000000002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6</v>
      </c>
      <c r="C10" s="32">
        <v>0.20620000000000002</v>
      </c>
      <c r="D10" s="33">
        <f t="shared" si="0"/>
        <v>0.50444768000000006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27</v>
      </c>
      <c r="C11" s="32">
        <v>3.3000000000000002E-2</v>
      </c>
      <c r="D11" s="33">
        <f t="shared" si="0"/>
        <v>8.0731200000000003E-2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14</v>
      </c>
      <c r="C12" s="32">
        <v>0.25569999999999998</v>
      </c>
      <c r="D12" s="33">
        <f t="shared" si="0"/>
        <v>0.62554447999999996</v>
      </c>
      <c r="E12" s="34">
        <v>103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4</v>
      </c>
      <c r="C13" s="32">
        <v>0.16489999999999999</v>
      </c>
      <c r="D13" s="33">
        <f t="shared" si="0"/>
        <v>0.40341136</v>
      </c>
      <c r="E13" s="34">
        <v>50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12</v>
      </c>
      <c r="C14" s="32">
        <v>1.6500000000000001E-2</v>
      </c>
      <c r="D14" s="33">
        <f t="shared" si="0"/>
        <v>4.0365600000000001E-2</v>
      </c>
      <c r="E14" s="34">
        <v>103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25</v>
      </c>
      <c r="C15" s="32">
        <v>3.73E-2</v>
      </c>
      <c r="D15" s="33">
        <f t="shared" si="0"/>
        <v>9.1250720000000007E-2</v>
      </c>
      <c r="E15" s="34">
        <v>70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8</v>
      </c>
      <c r="C16" s="32">
        <v>2.7099999999999999E-2</v>
      </c>
      <c r="D16" s="33">
        <f t="shared" si="0"/>
        <v>6.6297439999999999E-2</v>
      </c>
      <c r="E16" s="34">
        <v>60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23</v>
      </c>
      <c r="C17" s="32">
        <v>3.7999999999999999E-2</v>
      </c>
      <c r="D17" s="33">
        <f t="shared" si="0"/>
        <v>9.2963199999999996E-2</v>
      </c>
      <c r="E17" s="34">
        <v>60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0.99870000000000014</v>
      </c>
      <c r="D19" s="38">
        <f>SUM(D9:D18)</f>
        <v>2.4432196799999999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0.1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19</v>
      </c>
      <c r="B36" s="60">
        <v>162</v>
      </c>
      <c r="C36" s="60"/>
      <c r="D36" s="60"/>
      <c r="E36" s="51"/>
      <c r="F36" s="51"/>
      <c r="G36" s="51"/>
      <c r="H36" s="51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25</v>
      </c>
      <c r="B37" s="60">
        <v>335</v>
      </c>
      <c r="C37" s="60">
        <v>1</v>
      </c>
      <c r="D37" s="60">
        <v>54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30</v>
      </c>
      <c r="B38" s="60">
        <f>475-D37</f>
        <v>421</v>
      </c>
      <c r="C38" s="60">
        <v>2</v>
      </c>
      <c r="D38" s="60">
        <v>54</v>
      </c>
      <c r="E38" s="51"/>
      <c r="F38" s="51">
        <v>0.62</v>
      </c>
      <c r="G38" s="51">
        <v>0.375</v>
      </c>
      <c r="H38" s="51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35</v>
      </c>
      <c r="B39" s="60">
        <f>613-D38-D37</f>
        <v>505</v>
      </c>
      <c r="C39" s="60">
        <v>3</v>
      </c>
      <c r="D39" s="60">
        <v>69</v>
      </c>
      <c r="E39" s="51"/>
      <c r="F39" s="51">
        <v>0.67210000000000003</v>
      </c>
      <c r="G39" s="51">
        <v>0.33</v>
      </c>
      <c r="H39" s="51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40</v>
      </c>
      <c r="B40" s="60">
        <f>741-D39-D38-D37</f>
        <v>564</v>
      </c>
      <c r="C40" s="60">
        <v>4</v>
      </c>
      <c r="D40" s="60">
        <v>72</v>
      </c>
      <c r="E40" s="51"/>
      <c r="F40" s="51">
        <v>0.375</v>
      </c>
      <c r="G40" s="51">
        <v>0.31</v>
      </c>
      <c r="H40" s="51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45</v>
      </c>
      <c r="B41" s="60">
        <f>855-D40-D39-D38-D37</f>
        <v>606</v>
      </c>
      <c r="C41" s="60">
        <v>5</v>
      </c>
      <c r="D41" s="60">
        <f>B41</f>
        <v>606</v>
      </c>
      <c r="E41" s="51">
        <v>0.7</v>
      </c>
      <c r="F41" s="257">
        <v>0.2</v>
      </c>
      <c r="G41" s="258">
        <v>0.1</v>
      </c>
      <c r="H41" s="51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Charme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60">
        <v>25</v>
      </c>
      <c r="B62" s="60">
        <v>76</v>
      </c>
      <c r="C62" s="60">
        <v>1</v>
      </c>
      <c r="D62" s="60">
        <v>7</v>
      </c>
      <c r="E62" s="51"/>
      <c r="F62" s="51"/>
      <c r="G62" s="51"/>
      <c r="H62" s="51"/>
      <c r="I62" s="53">
        <f>IFERROR(B62/A62,"")</f>
        <v>3.04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60">
        <v>30</v>
      </c>
      <c r="B63" s="60">
        <v>116</v>
      </c>
      <c r="C63" s="60">
        <v>2</v>
      </c>
      <c r="D63" s="60">
        <v>28</v>
      </c>
      <c r="E63" s="51"/>
      <c r="F63" s="51"/>
      <c r="G63" s="51"/>
      <c r="H63" s="51">
        <v>1</v>
      </c>
      <c r="I63" s="49">
        <f>IF(A63&lt;&gt;0,(B63-(B62-D62))/(A63-A62),"")</f>
        <v>9.4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60">
        <v>35</v>
      </c>
      <c r="B64" s="60">
        <v>139</v>
      </c>
      <c r="C64" s="60">
        <v>3</v>
      </c>
      <c r="D64" s="60">
        <v>28</v>
      </c>
      <c r="E64" s="51"/>
      <c r="F64" s="51"/>
      <c r="G64" s="51"/>
      <c r="H64" s="51">
        <v>1</v>
      </c>
      <c r="I64" s="49">
        <f>IF(A64&lt;&gt;0,(B64-(B63-D63))/(A64-A63),"")</f>
        <v>10.199999999999999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60">
        <v>40</v>
      </c>
      <c r="B65" s="60">
        <v>164</v>
      </c>
      <c r="C65" s="60">
        <v>4</v>
      </c>
      <c r="D65" s="60">
        <v>28</v>
      </c>
      <c r="E65" s="51"/>
      <c r="F65" s="51"/>
      <c r="G65" s="51"/>
      <c r="H65" s="51">
        <v>1</v>
      </c>
      <c r="I65" s="49">
        <f>IF(A65&lt;&gt;0,(B65-(B64-D64))/(A65-A64),"")</f>
        <v>10.6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60">
        <v>45</v>
      </c>
      <c r="B66" s="60">
        <v>190</v>
      </c>
      <c r="C66" s="60">
        <v>5</v>
      </c>
      <c r="D66" s="60">
        <v>28</v>
      </c>
      <c r="E66" s="51"/>
      <c r="F66" s="51"/>
      <c r="G66" s="51"/>
      <c r="H66" s="51">
        <v>1</v>
      </c>
      <c r="I66" s="49">
        <f t="shared" ref="I66:I81" si="2">IF(A66&lt;&gt;0,(B66-(B65-D65))/(A66-A65),"")</f>
        <v>10.8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60">
        <v>50</v>
      </c>
      <c r="B67" s="50">
        <v>217</v>
      </c>
      <c r="C67" s="60">
        <v>6</v>
      </c>
      <c r="D67" s="50">
        <v>28</v>
      </c>
      <c r="E67" s="51"/>
      <c r="F67" s="51">
        <v>0.5</v>
      </c>
      <c r="G67" s="51"/>
      <c r="H67" s="51">
        <v>0.5</v>
      </c>
      <c r="I67" s="49">
        <f t="shared" si="2"/>
        <v>11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60">
        <v>55</v>
      </c>
      <c r="B68" s="50">
        <v>244</v>
      </c>
      <c r="C68" s="60">
        <v>7</v>
      </c>
      <c r="D68" s="50">
        <v>28</v>
      </c>
      <c r="E68" s="51"/>
      <c r="F68" s="51">
        <v>0.5</v>
      </c>
      <c r="G68" s="51"/>
      <c r="H68" s="51">
        <v>0.5</v>
      </c>
      <c r="I68" s="49">
        <f t="shared" si="2"/>
        <v>11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60">
        <v>60</v>
      </c>
      <c r="B69" s="50">
        <v>270</v>
      </c>
      <c r="C69" s="60">
        <v>8</v>
      </c>
      <c r="D69" s="50">
        <v>28</v>
      </c>
      <c r="E69" s="51"/>
      <c r="F69" s="51">
        <v>0.5</v>
      </c>
      <c r="G69" s="51"/>
      <c r="H69" s="51">
        <v>0.5</v>
      </c>
      <c r="I69" s="49">
        <f t="shared" si="2"/>
        <v>10.8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60">
        <v>65</v>
      </c>
      <c r="B70" s="50">
        <v>294</v>
      </c>
      <c r="C70" s="60">
        <v>9</v>
      </c>
      <c r="D70" s="50">
        <v>28</v>
      </c>
      <c r="E70" s="51"/>
      <c r="F70" s="51">
        <v>0.5</v>
      </c>
      <c r="G70" s="51"/>
      <c r="H70" s="51">
        <v>0.5</v>
      </c>
      <c r="I70" s="49">
        <f t="shared" si="2"/>
        <v>10.4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70</v>
      </c>
      <c r="B71" s="50">
        <v>316</v>
      </c>
      <c r="C71" s="50">
        <v>10</v>
      </c>
      <c r="D71" s="50">
        <v>316</v>
      </c>
      <c r="E71" s="51"/>
      <c r="F71" s="51">
        <v>0.5</v>
      </c>
      <c r="G71" s="51"/>
      <c r="H71" s="51">
        <v>0.5</v>
      </c>
      <c r="I71" s="49">
        <f t="shared" si="2"/>
        <v>10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18</v>
      </c>
      <c r="B88" s="50">
        <v>112</v>
      </c>
      <c r="C88" s="50">
        <v>1</v>
      </c>
      <c r="D88" s="50">
        <v>20</v>
      </c>
      <c r="E88" s="51"/>
      <c r="F88" s="51">
        <v>0.5</v>
      </c>
      <c r="G88" s="51">
        <v>0.5</v>
      </c>
      <c r="H88" s="51"/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21</v>
      </c>
      <c r="B89" s="50">
        <v>146</v>
      </c>
      <c r="C89" s="50">
        <v>2</v>
      </c>
      <c r="D89" s="50">
        <v>26</v>
      </c>
      <c r="E89" s="51"/>
      <c r="F89" s="51">
        <v>0.62</v>
      </c>
      <c r="G89" s="51">
        <v>0.375</v>
      </c>
      <c r="H89" s="51"/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24</v>
      </c>
      <c r="B90" s="50">
        <v>168</v>
      </c>
      <c r="C90" s="50">
        <v>3</v>
      </c>
      <c r="D90" s="50">
        <v>29</v>
      </c>
      <c r="E90" s="51"/>
      <c r="F90" s="51">
        <v>0.67210000000000003</v>
      </c>
      <c r="G90" s="51">
        <v>0.33</v>
      </c>
      <c r="H90" s="51"/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50">
        <v>225</v>
      </c>
      <c r="C91" s="50">
        <v>4</v>
      </c>
      <c r="D91" s="50">
        <v>53</v>
      </c>
      <c r="E91" s="51"/>
      <c r="F91" s="51">
        <v>0.375</v>
      </c>
      <c r="G91" s="51">
        <v>0.31</v>
      </c>
      <c r="H91" s="51"/>
      <c r="I91" s="53">
        <f t="shared" si="3"/>
        <v>14.333333333333334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36</v>
      </c>
      <c r="B92" s="50">
        <v>248</v>
      </c>
      <c r="C92" s="50">
        <v>5</v>
      </c>
      <c r="D92" s="50">
        <v>62</v>
      </c>
      <c r="E92" s="51">
        <v>0.6</v>
      </c>
      <c r="F92" s="257">
        <v>0.2</v>
      </c>
      <c r="G92" s="258">
        <v>0.2</v>
      </c>
      <c r="H92" s="51"/>
      <c r="I92" s="53">
        <f t="shared" si="3"/>
        <v>12.666666666666666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42</v>
      </c>
      <c r="B93" s="50">
        <v>255</v>
      </c>
      <c r="C93" s="50">
        <v>6</v>
      </c>
      <c r="D93" s="50">
        <v>67</v>
      </c>
      <c r="E93" s="51">
        <v>0.6</v>
      </c>
      <c r="F93" s="257">
        <v>0.2</v>
      </c>
      <c r="G93" s="258">
        <v>0.2</v>
      </c>
      <c r="H93" s="51"/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48</v>
      </c>
      <c r="B94" s="50">
        <v>252</v>
      </c>
      <c r="C94" s="50">
        <v>7</v>
      </c>
      <c r="D94" s="50">
        <v>65</v>
      </c>
      <c r="E94" s="51">
        <v>0.6</v>
      </c>
      <c r="F94" s="257">
        <v>0.2</v>
      </c>
      <c r="G94" s="258">
        <v>0.2</v>
      </c>
      <c r="H94" s="51"/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50">
        <v>60</v>
      </c>
      <c r="B95" s="50">
        <v>304</v>
      </c>
      <c r="C95" s="50">
        <v>8</v>
      </c>
      <c r="D95" s="50">
        <v>304</v>
      </c>
      <c r="E95" s="51">
        <v>0.7</v>
      </c>
      <c r="F95" s="51">
        <v>0.2</v>
      </c>
      <c r="G95" s="51">
        <v>0.1</v>
      </c>
      <c r="H95" s="51"/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60">
        <v>42</v>
      </c>
      <c r="B114" s="60">
        <v>126</v>
      </c>
      <c r="C114" s="60">
        <v>1</v>
      </c>
      <c r="D114" s="60">
        <v>30</v>
      </c>
      <c r="E114" s="87">
        <v>0.2</v>
      </c>
      <c r="F114" s="87">
        <v>0.2</v>
      </c>
      <c r="G114" s="87"/>
      <c r="H114" s="87">
        <v>0.6</v>
      </c>
      <c r="I114" s="53">
        <f>IFERROR(B114/A114,"")</f>
        <v>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60">
        <v>50</v>
      </c>
      <c r="B115" s="60">
        <f>151-D114</f>
        <v>121</v>
      </c>
      <c r="C115" s="60">
        <v>2</v>
      </c>
      <c r="D115" s="60">
        <v>35</v>
      </c>
      <c r="E115" s="87">
        <v>0.2</v>
      </c>
      <c r="F115" s="87">
        <v>0.2</v>
      </c>
      <c r="G115" s="87"/>
      <c r="H115" s="87">
        <v>0.6</v>
      </c>
      <c r="I115" s="53">
        <f t="shared" ref="I115:I133" si="4">IF(A115&lt;&gt;0,(B115-(B114-D114))/(A115-A114),"")</f>
        <v>3.125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60">
        <v>58</v>
      </c>
      <c r="B116" s="60">
        <f>215-D115-D114</f>
        <v>150</v>
      </c>
      <c r="C116" s="60">
        <v>3</v>
      </c>
      <c r="D116" s="60">
        <v>44</v>
      </c>
      <c r="E116" s="87">
        <v>0.3</v>
      </c>
      <c r="F116" s="87">
        <v>0.4</v>
      </c>
      <c r="G116" s="87"/>
      <c r="H116" s="87">
        <v>0.3</v>
      </c>
      <c r="I116" s="53">
        <f t="shared" si="4"/>
        <v>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60">
        <v>66</v>
      </c>
      <c r="B117" s="60">
        <f>321-D116-D115-D114</f>
        <v>212</v>
      </c>
      <c r="C117" s="60">
        <v>4</v>
      </c>
      <c r="D117" s="60">
        <v>39</v>
      </c>
      <c r="E117" s="87">
        <v>0.3</v>
      </c>
      <c r="F117" s="87">
        <v>0.4</v>
      </c>
      <c r="G117" s="87"/>
      <c r="H117" s="87">
        <v>0.3</v>
      </c>
      <c r="I117" s="53">
        <f t="shared" si="4"/>
        <v>13.25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60">
        <v>75</v>
      </c>
      <c r="B118" s="60">
        <f>391-D117-D116-D115-D114</f>
        <v>243</v>
      </c>
      <c r="C118" s="60">
        <v>5</v>
      </c>
      <c r="D118" s="60">
        <v>37</v>
      </c>
      <c r="E118" s="87">
        <v>0.4</v>
      </c>
      <c r="F118" s="87">
        <v>0.5</v>
      </c>
      <c r="G118" s="87"/>
      <c r="H118" s="87">
        <v>0.1</v>
      </c>
      <c r="I118" s="53">
        <f t="shared" si="4"/>
        <v>7.7777777777777777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60">
        <v>84</v>
      </c>
      <c r="B119" s="60">
        <f>458-D118-D117-D116-D115-D114</f>
        <v>273</v>
      </c>
      <c r="C119" s="60">
        <v>6</v>
      </c>
      <c r="D119" s="60">
        <v>36</v>
      </c>
      <c r="E119" s="87">
        <v>0.5</v>
      </c>
      <c r="F119" s="87">
        <v>0.4</v>
      </c>
      <c r="G119" s="87"/>
      <c r="H119" s="87">
        <v>0.1</v>
      </c>
      <c r="I119" s="53">
        <f t="shared" si="4"/>
        <v>7.4444444444444446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93</v>
      </c>
      <c r="B120" s="60">
        <f>526-D119-D118-D117-D116-D115-D114</f>
        <v>305</v>
      </c>
      <c r="C120" s="60">
        <v>7</v>
      </c>
      <c r="D120" s="60">
        <v>35</v>
      </c>
      <c r="E120" s="87">
        <v>0.5</v>
      </c>
      <c r="F120" s="87">
        <v>0.4</v>
      </c>
      <c r="G120" s="87"/>
      <c r="H120" s="87">
        <v>0.1</v>
      </c>
      <c r="I120" s="53">
        <f t="shared" si="4"/>
        <v>7.5555555555555554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103</v>
      </c>
      <c r="B121" s="60">
        <f>599-D120-D119-D118-D117-D116-D115-D114</f>
        <v>343</v>
      </c>
      <c r="C121" s="60">
        <v>8</v>
      </c>
      <c r="D121" s="60">
        <v>343</v>
      </c>
      <c r="E121" s="87">
        <v>0.5</v>
      </c>
      <c r="F121" s="87">
        <v>0.4</v>
      </c>
      <c r="G121" s="87"/>
      <c r="H121" s="87">
        <v>0.1</v>
      </c>
      <c r="I121" s="53">
        <f t="shared" si="4"/>
        <v>7.3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Aulne glutineux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>
        <v>25</v>
      </c>
      <c r="B140" s="60">
        <v>158</v>
      </c>
      <c r="C140" s="50">
        <v>1</v>
      </c>
      <c r="D140" s="60">
        <v>15</v>
      </c>
      <c r="E140" s="51"/>
      <c r="F140" s="51"/>
      <c r="G140" s="51">
        <v>1</v>
      </c>
      <c r="H140" s="51"/>
      <c r="I140" s="57">
        <f>IFERROR(B140/A140,"")</f>
        <v>6.32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>
        <v>30</v>
      </c>
      <c r="B141" s="60">
        <f>218-D140</f>
        <v>203</v>
      </c>
      <c r="C141" s="50">
        <v>2</v>
      </c>
      <c r="D141" s="60">
        <v>28</v>
      </c>
      <c r="E141" s="51"/>
      <c r="F141" s="51"/>
      <c r="G141" s="51">
        <v>0.5</v>
      </c>
      <c r="H141" s="51">
        <v>0.5</v>
      </c>
      <c r="I141" s="57">
        <f t="shared" ref="I141:I159" si="5">IF(A141&lt;&gt;0,(B141-(B140-D140))/(A141-A140),"")</f>
        <v>12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>
        <v>35</v>
      </c>
      <c r="B142" s="60">
        <v>229</v>
      </c>
      <c r="C142" s="50">
        <v>3</v>
      </c>
      <c r="D142" s="60">
        <v>28</v>
      </c>
      <c r="E142" s="51"/>
      <c r="F142" s="51"/>
      <c r="G142" s="51"/>
      <c r="H142" s="51">
        <v>1</v>
      </c>
      <c r="I142" s="57">
        <f t="shared" si="5"/>
        <v>10.8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>
        <v>40</v>
      </c>
      <c r="B143" s="60">
        <v>248</v>
      </c>
      <c r="C143" s="50">
        <v>4</v>
      </c>
      <c r="D143" s="60">
        <v>28</v>
      </c>
      <c r="E143" s="51"/>
      <c r="F143" s="51"/>
      <c r="G143" s="51"/>
      <c r="H143" s="51">
        <v>1</v>
      </c>
      <c r="I143" s="57">
        <f t="shared" si="5"/>
        <v>9.4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>
        <v>45</v>
      </c>
      <c r="B144" s="60">
        <v>261</v>
      </c>
      <c r="C144" s="50">
        <v>5</v>
      </c>
      <c r="D144" s="60">
        <v>22</v>
      </c>
      <c r="E144" s="51"/>
      <c r="F144" s="51"/>
      <c r="G144" s="51"/>
      <c r="H144" s="51">
        <v>1</v>
      </c>
      <c r="I144" s="57">
        <f t="shared" si="5"/>
        <v>8.1999999999999993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>
        <v>50</v>
      </c>
      <c r="B145" s="60">
        <v>274</v>
      </c>
      <c r="C145" s="50">
        <v>6</v>
      </c>
      <c r="D145" s="60">
        <v>17</v>
      </c>
      <c r="E145" s="51"/>
      <c r="F145" s="51"/>
      <c r="G145" s="51"/>
      <c r="H145" s="51">
        <v>1</v>
      </c>
      <c r="I145" s="57">
        <f t="shared" si="5"/>
        <v>7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60">
        <v>42</v>
      </c>
      <c r="B166" s="60">
        <v>126</v>
      </c>
      <c r="C166" s="60">
        <v>1</v>
      </c>
      <c r="D166" s="60">
        <v>30</v>
      </c>
      <c r="E166" s="87">
        <v>0.2</v>
      </c>
      <c r="F166" s="87">
        <v>0.2</v>
      </c>
      <c r="G166" s="87"/>
      <c r="H166" s="87">
        <v>0.6</v>
      </c>
      <c r="I166" s="49">
        <f>IFERROR(B166/A166,"")</f>
        <v>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60">
        <v>50</v>
      </c>
      <c r="B167" s="60">
        <f>151-D166</f>
        <v>121</v>
      </c>
      <c r="C167" s="60">
        <v>2</v>
      </c>
      <c r="D167" s="60">
        <v>35</v>
      </c>
      <c r="E167" s="87">
        <v>0.2</v>
      </c>
      <c r="F167" s="87">
        <v>0.2</v>
      </c>
      <c r="G167" s="87"/>
      <c r="H167" s="87">
        <v>0.6</v>
      </c>
      <c r="I167" s="49">
        <f t="shared" ref="I167:I185" si="6">IF(A167&lt;&gt;0,(B167-(B166-D166))/(A167-A166),"")</f>
        <v>3.125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60">
        <v>58</v>
      </c>
      <c r="B168" s="60">
        <f>215-D167-D166</f>
        <v>150</v>
      </c>
      <c r="C168" s="60">
        <v>3</v>
      </c>
      <c r="D168" s="60">
        <v>44</v>
      </c>
      <c r="E168" s="87">
        <v>0.3</v>
      </c>
      <c r="F168" s="87">
        <v>0.4</v>
      </c>
      <c r="G168" s="87"/>
      <c r="H168" s="87">
        <v>0.3</v>
      </c>
      <c r="I168" s="49">
        <f t="shared" si="6"/>
        <v>8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60">
        <v>66</v>
      </c>
      <c r="B169" s="60">
        <f>321-D168-D167-D166</f>
        <v>212</v>
      </c>
      <c r="C169" s="60">
        <v>4</v>
      </c>
      <c r="D169" s="60">
        <v>39</v>
      </c>
      <c r="E169" s="87">
        <v>0.3</v>
      </c>
      <c r="F169" s="87">
        <v>0.4</v>
      </c>
      <c r="G169" s="87"/>
      <c r="H169" s="87">
        <v>0.3</v>
      </c>
      <c r="I169" s="49">
        <f t="shared" si="6"/>
        <v>13.25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60">
        <v>75</v>
      </c>
      <c r="B170" s="60">
        <f>391-D169-D168-D167-D166</f>
        <v>243</v>
      </c>
      <c r="C170" s="60">
        <v>5</v>
      </c>
      <c r="D170" s="60">
        <v>37</v>
      </c>
      <c r="E170" s="87">
        <v>0.4</v>
      </c>
      <c r="F170" s="87">
        <v>0.5</v>
      </c>
      <c r="G170" s="87"/>
      <c r="H170" s="87">
        <v>0.1</v>
      </c>
      <c r="I170" s="49">
        <f t="shared" si="6"/>
        <v>7.7777777777777777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60">
        <v>84</v>
      </c>
      <c r="B171" s="60">
        <f>458-D170-D169-D168-D167-D166</f>
        <v>273</v>
      </c>
      <c r="C171" s="60">
        <v>6</v>
      </c>
      <c r="D171" s="60">
        <v>36</v>
      </c>
      <c r="E171" s="87">
        <v>0.5</v>
      </c>
      <c r="F171" s="87">
        <v>0.4</v>
      </c>
      <c r="G171" s="87"/>
      <c r="H171" s="87">
        <v>0.1</v>
      </c>
      <c r="I171" s="49">
        <f t="shared" si="6"/>
        <v>7.4444444444444446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60">
        <v>93</v>
      </c>
      <c r="B172" s="60">
        <f>526-D171-D170-D169-D168-D167-D166</f>
        <v>305</v>
      </c>
      <c r="C172" s="60">
        <v>7</v>
      </c>
      <c r="D172" s="60">
        <v>35</v>
      </c>
      <c r="E172" s="87">
        <v>0.5</v>
      </c>
      <c r="F172" s="87">
        <v>0.4</v>
      </c>
      <c r="G172" s="87"/>
      <c r="H172" s="87">
        <v>0.1</v>
      </c>
      <c r="I172" s="49">
        <f t="shared" si="6"/>
        <v>7.5555555555555554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60">
        <v>103</v>
      </c>
      <c r="B173" s="60">
        <f>599-D172-D171-D170-D169-D168-D167-D166</f>
        <v>343</v>
      </c>
      <c r="C173" s="60">
        <v>8</v>
      </c>
      <c r="D173" s="60">
        <v>343</v>
      </c>
      <c r="E173" s="87">
        <v>0.5</v>
      </c>
      <c r="F173" s="87">
        <v>0.4</v>
      </c>
      <c r="G173" s="87"/>
      <c r="H173" s="87">
        <v>0.1</v>
      </c>
      <c r="I173" s="49">
        <f t="shared" si="6"/>
        <v>7.3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Hêtre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25</v>
      </c>
      <c r="B192" s="50">
        <v>76</v>
      </c>
      <c r="C192" s="50">
        <v>1</v>
      </c>
      <c r="D192" s="50">
        <v>7</v>
      </c>
      <c r="E192" s="63"/>
      <c r="F192" s="63"/>
      <c r="G192" s="63"/>
      <c r="H192" s="63">
        <v>1</v>
      </c>
      <c r="I192" s="49">
        <f>IFERROR(B192/A192,"")</f>
        <v>3.04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30</v>
      </c>
      <c r="B193" s="50">
        <v>116</v>
      </c>
      <c r="C193" s="50">
        <v>2</v>
      </c>
      <c r="D193" s="50">
        <v>28</v>
      </c>
      <c r="E193" s="63"/>
      <c r="F193" s="63"/>
      <c r="G193" s="63"/>
      <c r="H193" s="63">
        <v>1</v>
      </c>
      <c r="I193" s="49">
        <f t="shared" ref="I193:I211" si="7">IF(A193&lt;&gt;0,(B193-(B192-D192))/(A193-A192),"")</f>
        <v>9.4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35</v>
      </c>
      <c r="B194" s="50">
        <v>139</v>
      </c>
      <c r="C194" s="50">
        <v>3</v>
      </c>
      <c r="D194" s="50">
        <v>28</v>
      </c>
      <c r="E194" s="63"/>
      <c r="F194" s="63"/>
      <c r="G194" s="63"/>
      <c r="H194" s="63">
        <v>1</v>
      </c>
      <c r="I194" s="49">
        <f t="shared" si="7"/>
        <v>10.199999999999999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40</v>
      </c>
      <c r="B195" s="50">
        <v>164</v>
      </c>
      <c r="C195" s="50">
        <v>4</v>
      </c>
      <c r="D195" s="50">
        <v>28</v>
      </c>
      <c r="E195" s="63">
        <v>0.6</v>
      </c>
      <c r="F195" s="63"/>
      <c r="G195" s="63"/>
      <c r="H195" s="63">
        <v>0.4</v>
      </c>
      <c r="I195" s="49">
        <f t="shared" si="7"/>
        <v>10.6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45</v>
      </c>
      <c r="B196" s="50">
        <v>190</v>
      </c>
      <c r="C196" s="50">
        <v>5</v>
      </c>
      <c r="D196" s="50">
        <v>28</v>
      </c>
      <c r="E196" s="63">
        <v>0.8</v>
      </c>
      <c r="F196" s="63"/>
      <c r="G196" s="63"/>
      <c r="H196" s="63">
        <v>0.2</v>
      </c>
      <c r="I196" s="49">
        <f t="shared" si="7"/>
        <v>10.8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50</v>
      </c>
      <c r="B197" s="50">
        <v>217</v>
      </c>
      <c r="C197" s="50">
        <v>6</v>
      </c>
      <c r="D197" s="50">
        <v>28</v>
      </c>
      <c r="E197" s="63">
        <v>0.8</v>
      </c>
      <c r="F197" s="63"/>
      <c r="G197" s="63"/>
      <c r="H197" s="63">
        <v>0.2</v>
      </c>
      <c r="I197" s="49">
        <f t="shared" si="7"/>
        <v>11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55</v>
      </c>
      <c r="B198" s="50">
        <v>244</v>
      </c>
      <c r="C198" s="50">
        <v>7</v>
      </c>
      <c r="D198" s="50">
        <v>28</v>
      </c>
      <c r="E198" s="63">
        <v>0.8</v>
      </c>
      <c r="F198" s="63"/>
      <c r="G198" s="63"/>
      <c r="H198" s="63">
        <v>0.2</v>
      </c>
      <c r="I198" s="49">
        <f t="shared" si="7"/>
        <v>11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60</v>
      </c>
      <c r="B199" s="50">
        <v>270</v>
      </c>
      <c r="C199" s="50">
        <v>8</v>
      </c>
      <c r="D199" s="50">
        <v>28</v>
      </c>
      <c r="E199" s="63">
        <v>0.8</v>
      </c>
      <c r="F199" s="63"/>
      <c r="G199" s="63"/>
      <c r="H199" s="63">
        <v>0.2</v>
      </c>
      <c r="I199" s="49">
        <f t="shared" si="7"/>
        <v>10.8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65</v>
      </c>
      <c r="B200" s="50">
        <v>294</v>
      </c>
      <c r="C200" s="50">
        <v>9</v>
      </c>
      <c r="D200" s="50">
        <v>28</v>
      </c>
      <c r="E200" s="63">
        <v>0.8</v>
      </c>
      <c r="F200" s="63"/>
      <c r="G200" s="63"/>
      <c r="H200" s="63">
        <v>0.2</v>
      </c>
      <c r="I200" s="49">
        <f t="shared" si="7"/>
        <v>10.4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70</v>
      </c>
      <c r="B201" s="50">
        <v>316</v>
      </c>
      <c r="C201" s="50">
        <v>10</v>
      </c>
      <c r="D201" s="50">
        <v>316</v>
      </c>
      <c r="E201" s="63">
        <v>0.8</v>
      </c>
      <c r="F201" s="63"/>
      <c r="G201" s="63"/>
      <c r="H201" s="63">
        <v>0.2</v>
      </c>
      <c r="I201" s="49">
        <f t="shared" si="7"/>
        <v>10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Châtaignier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5">
        <v>25</v>
      </c>
      <c r="B218" s="55">
        <v>76</v>
      </c>
      <c r="C218" s="55">
        <v>1</v>
      </c>
      <c r="D218" s="55">
        <v>7</v>
      </c>
      <c r="E218" s="63"/>
      <c r="F218" s="63"/>
      <c r="G218" s="63"/>
      <c r="H218" s="63">
        <v>1</v>
      </c>
      <c r="I218" s="53">
        <f>IFERROR(B218/A218,"")</f>
        <v>3.04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5">
        <v>30</v>
      </c>
      <c r="B219" s="55">
        <v>116</v>
      </c>
      <c r="C219" s="55">
        <v>2</v>
      </c>
      <c r="D219" s="55">
        <v>28</v>
      </c>
      <c r="E219" s="63"/>
      <c r="F219" s="63"/>
      <c r="G219" s="63"/>
      <c r="H219" s="63">
        <v>1</v>
      </c>
      <c r="I219" s="53">
        <f t="shared" ref="I219:I237" si="8">IF(A219&lt;&gt;0,(B219-(B218-D218))/(A219-A218),"")</f>
        <v>9.4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5">
        <v>35</v>
      </c>
      <c r="B220" s="55">
        <v>139</v>
      </c>
      <c r="C220" s="55">
        <v>3</v>
      </c>
      <c r="D220" s="55">
        <v>28</v>
      </c>
      <c r="E220" s="63"/>
      <c r="F220" s="63"/>
      <c r="G220" s="63"/>
      <c r="H220" s="63">
        <v>1</v>
      </c>
      <c r="I220" s="53">
        <f t="shared" si="8"/>
        <v>10.199999999999999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40</v>
      </c>
      <c r="B221" s="55">
        <v>164</v>
      </c>
      <c r="C221" s="55">
        <v>4</v>
      </c>
      <c r="D221" s="55">
        <v>28</v>
      </c>
      <c r="E221" s="63">
        <v>0.6</v>
      </c>
      <c r="F221" s="63"/>
      <c r="G221" s="63"/>
      <c r="H221" s="63">
        <v>0.4</v>
      </c>
      <c r="I221" s="53">
        <f t="shared" si="8"/>
        <v>10.6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45</v>
      </c>
      <c r="B222" s="55">
        <v>190</v>
      </c>
      <c r="C222" s="55">
        <v>5</v>
      </c>
      <c r="D222" s="55">
        <v>28</v>
      </c>
      <c r="E222" s="63">
        <v>0.8</v>
      </c>
      <c r="F222" s="63"/>
      <c r="G222" s="63"/>
      <c r="H222" s="63">
        <v>0.2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50</v>
      </c>
      <c r="B223" s="55">
        <v>217</v>
      </c>
      <c r="C223" s="55">
        <v>6</v>
      </c>
      <c r="D223" s="55">
        <v>28</v>
      </c>
      <c r="E223" s="63">
        <v>0.8</v>
      </c>
      <c r="F223" s="63"/>
      <c r="G223" s="63"/>
      <c r="H223" s="63">
        <v>0.2</v>
      </c>
      <c r="I223" s="53">
        <f t="shared" si="8"/>
        <v>11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55</v>
      </c>
      <c r="B224" s="55">
        <v>244</v>
      </c>
      <c r="C224" s="55">
        <v>7</v>
      </c>
      <c r="D224" s="55">
        <v>28</v>
      </c>
      <c r="E224" s="63">
        <v>0.8</v>
      </c>
      <c r="F224" s="63"/>
      <c r="G224" s="63"/>
      <c r="H224" s="63">
        <v>0.2</v>
      </c>
      <c r="I224" s="53">
        <f t="shared" si="8"/>
        <v>11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60</v>
      </c>
      <c r="B225" s="55">
        <v>270</v>
      </c>
      <c r="C225" s="55">
        <v>8</v>
      </c>
      <c r="D225" s="55">
        <v>270</v>
      </c>
      <c r="E225" s="63">
        <v>0.8</v>
      </c>
      <c r="F225" s="63"/>
      <c r="G225" s="63"/>
      <c r="H225" s="63">
        <v>0.2</v>
      </c>
      <c r="I225" s="53">
        <f t="shared" si="8"/>
        <v>10.8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Erable sycomore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25</v>
      </c>
      <c r="B244" s="60">
        <v>158</v>
      </c>
      <c r="C244" s="55">
        <v>1</v>
      </c>
      <c r="D244" s="55">
        <v>15</v>
      </c>
      <c r="E244" s="51"/>
      <c r="F244" s="51"/>
      <c r="G244" s="51"/>
      <c r="H244" s="51">
        <v>1</v>
      </c>
      <c r="I244" s="53">
        <f>IFERROR(B244/A244,"")</f>
        <v>6.32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30</v>
      </c>
      <c r="B245" s="60">
        <f>218-D244</f>
        <v>203</v>
      </c>
      <c r="C245" s="55">
        <v>2</v>
      </c>
      <c r="D245" s="55">
        <v>28</v>
      </c>
      <c r="E245" s="51"/>
      <c r="F245" s="51"/>
      <c r="G245" s="51"/>
      <c r="H245" s="51">
        <v>1</v>
      </c>
      <c r="I245" s="53">
        <f>IF(A245&lt;&gt;0,(B245-(B244-D244))/(A245-A244),"")</f>
        <v>12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35</v>
      </c>
      <c r="B246" s="55">
        <f>272-D245-D244</f>
        <v>229</v>
      </c>
      <c r="C246" s="55">
        <v>3</v>
      </c>
      <c r="D246" s="55">
        <v>28</v>
      </c>
      <c r="E246" s="51">
        <v>0.4</v>
      </c>
      <c r="F246" s="51"/>
      <c r="G246" s="51"/>
      <c r="H246" s="51">
        <v>0.6</v>
      </c>
      <c r="I246" s="53">
        <f>IF(A246&lt;&gt;0,(B246-(B245-D245))/(A246-A245),"")</f>
        <v>10.8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40</v>
      </c>
      <c r="B247" s="55">
        <f>319-D246-D245-D244</f>
        <v>248</v>
      </c>
      <c r="C247" s="55">
        <v>4</v>
      </c>
      <c r="D247" s="55">
        <v>28</v>
      </c>
      <c r="E247" s="51">
        <v>0.6</v>
      </c>
      <c r="F247" s="51"/>
      <c r="G247" s="51"/>
      <c r="H247" s="51">
        <v>0.4</v>
      </c>
      <c r="I247" s="53">
        <f t="shared" ref="I247:I263" si="9">IF(A247&lt;&gt;0,(B247-(B246-D246))/(A247-A246),"")</f>
        <v>9.4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45</v>
      </c>
      <c r="B248" s="55">
        <f>360-D247-D246-D245-D244</f>
        <v>261</v>
      </c>
      <c r="C248" s="55">
        <v>5</v>
      </c>
      <c r="D248" s="55">
        <v>22</v>
      </c>
      <c r="E248" s="51">
        <v>0.8</v>
      </c>
      <c r="F248" s="51"/>
      <c r="G248" s="51"/>
      <c r="H248" s="51">
        <v>0.2</v>
      </c>
      <c r="I248" s="53">
        <f t="shared" si="9"/>
        <v>8.1999999999999993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50</v>
      </c>
      <c r="B249" s="55">
        <f>395-D248-D247-D246-D245-D244</f>
        <v>274</v>
      </c>
      <c r="C249" s="55">
        <v>6</v>
      </c>
      <c r="D249" s="55">
        <v>17</v>
      </c>
      <c r="E249" s="63">
        <v>0.8</v>
      </c>
      <c r="F249" s="63"/>
      <c r="G249" s="63"/>
      <c r="H249" s="63">
        <v>0.2</v>
      </c>
      <c r="I249" s="53">
        <f t="shared" si="9"/>
        <v>7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55</v>
      </c>
      <c r="B250" s="55">
        <f>426-D249-D248-D246-D247-D245-D244</f>
        <v>288</v>
      </c>
      <c r="C250" s="55">
        <v>7</v>
      </c>
      <c r="D250" s="55">
        <v>13</v>
      </c>
      <c r="E250" s="63">
        <v>0.8</v>
      </c>
      <c r="F250" s="63"/>
      <c r="G250" s="63"/>
      <c r="H250" s="63">
        <v>0.2</v>
      </c>
      <c r="I250" s="53">
        <f t="shared" si="9"/>
        <v>6.2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0">
        <v>60</v>
      </c>
      <c r="B251" s="55">
        <f>452-D250-D249-D248-D247-D246-D245-D244</f>
        <v>301</v>
      </c>
      <c r="C251" s="55">
        <v>8</v>
      </c>
      <c r="D251" s="55">
        <v>301</v>
      </c>
      <c r="E251" s="63">
        <v>0.8</v>
      </c>
      <c r="F251" s="63"/>
      <c r="G251" s="63"/>
      <c r="H251" s="63">
        <v>0.2</v>
      </c>
      <c r="I251" s="53">
        <f t="shared" si="9"/>
        <v>5.2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0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0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50"/>
      <c r="C270" s="50"/>
      <c r="D270" s="5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50"/>
      <c r="C271" s="50"/>
      <c r="D271" s="5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50"/>
      <c r="C272" s="50"/>
      <c r="D272" s="5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50"/>
      <c r="C273" s="50"/>
      <c r="D273" s="5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50"/>
      <c r="C274" s="50"/>
      <c r="D274" s="5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55"/>
      <c r="C275" s="50"/>
      <c r="D275" s="55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55"/>
      <c r="C276" s="50"/>
      <c r="D276" s="55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0"/>
      <c r="B277" s="55"/>
      <c r="C277" s="50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0"/>
      <c r="B278" s="55"/>
      <c r="C278" s="50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0"/>
      <c r="B279" s="55"/>
      <c r="C279" s="50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1" sqref="F21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Douglas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Charme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Mélèze d'Europe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Chêne sessile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Aulne glutineux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>Chêne pubescent</v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>Hêtre</v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>Châtaignier</v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>Erable sycomore</v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342.84342155097613</v>
      </c>
      <c r="T3" s="59">
        <f>IF('Données projet'!E9&gt;30,$R$33-$H$33,LOOKUP('Données projet'!$E$9,$A$3:$A$203,R3:R203)-LOOKUP('Données projet'!$E$9,$A$3:$A$203,$H$3:$H$203))</f>
        <v>565.68976940602215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320.33056209214476</v>
      </c>
      <c r="AO3" s="59">
        <f>IF('Données projet'!E10&gt;30,$AM$33-$H$33,LOOKUP('Données projet'!$E$10,$A$3:$A$203,AM3:AM203)-LOOKUP('Données projet'!$E$10,$A$3:$A$203,$H$3:$H$203))</f>
        <v>299.27200854723446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256.85706398254547</v>
      </c>
      <c r="BJ3" s="59">
        <f>IF('Données projet'!E11&gt;30,$BH$33-$H$33,LOOKUP('Données projet'!$E$11,$A$3:$A$203,BH3:BH203)-LOOKUP('Données projet'!$E$11,$A$3:$A$203,$H$3:$H$203))</f>
        <v>363.68094621014734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357.68828740212223</v>
      </c>
      <c r="CE3" s="59">
        <f>IF('Données projet'!E12&gt;30,$CC$33-$H$33,LOOKUP('Données projet'!$E$12,$A$3:$A$203,CC3:CC203)-LOOKUP('Données projet'!$E$12,$A$3:$A$203,$H$3:$H$203))</f>
        <v>236.76626845829483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220.18342986563667</v>
      </c>
      <c r="CZ3" s="59">
        <f>IF('Données projet'!E13&gt;30,$CX$33-$H$33,LOOKUP('Données projet'!$E$13,$A$3:$A$203,CX3:CX203)-LOOKUP('Données projet'!$E$13,$A$3:$A$203,$H$3:$H$203))</f>
        <v>347.84382145531163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392.49465607243178</v>
      </c>
      <c r="DU3" s="59">
        <f>IF('Données projet'!E14&gt;30,$DS$33-$H$33,LOOKUP('Données projet'!$E$14,$A$3:$A$203,DS3:DS203)-LOOKUP('Données projet'!$E$14,$A$3:$A$203,$H$3:$H$203))</f>
        <v>258.031856676031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294.24530606293143</v>
      </c>
      <c r="EP3" s="59">
        <f>IF('Données projet'!E15&gt;30,$EN$33-$H$33,LOOKUP('Données projet'!$E$15,$A$3:$A$203,EN3:EN203)-LOOKUP('Données projet'!$E$15,$A$3:$A$203,$H$3:$H$203))</f>
        <v>275.88160405468193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165</v>
      </c>
      <c r="FJ3" s="59">
        <f ca="1">AVERAGE(OFFSET($FI$3,0,0,'Données projet'!$E$16+1,1))-AVERAGE(OFFSET($H$3,0,0,'Données projet'!$E$16+1,1))</f>
        <v>214.31585175697521</v>
      </c>
      <c r="FK3" s="59">
        <f>IF('Données projet'!E16&gt;30,$FI$33-$H$33,LOOKUP('Données projet'!$E$16,$A$3:$A$203,FI3:FI203)-LOOKUP('Données projet'!$E$16,$A$3:$A$203,$H$3:$H$203))</f>
        <v>244.60383864821372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165</v>
      </c>
      <c r="GE3" s="59">
        <f ca="1">AVERAGE(OFFSET($GD$3,0,0,'Données projet'!$E$17+1,1))-AVERAGE(OFFSET($H$3,0,0,'Données projet'!$E$17+1,1))</f>
        <v>308.33954512886351</v>
      </c>
      <c r="GF3" s="59">
        <f>IF('Données projet'!E17&gt;30,$GD$33-$H$33,LOOKUP('Données projet'!$E$17,$A$3:$A$203,GD3:GD203)-LOOKUP('Données projet'!$E$17,$A$3:$A$203,$H$3:$H$203))</f>
        <v>408.79075392716277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169.69321425806925</v>
      </c>
      <c r="S4" s="59">
        <f ca="1">AVERAGE(OFFSET($R$3,0,0,'Données projet'!$E$9+1,1))-AVERAGE(OFFSET($H$3,0,0,'Données projet'!$E$9+1,1))</f>
        <v>342.84342155097613</v>
      </c>
      <c r="T4" s="59">
        <f>$T$3</f>
        <v>565.68976940602215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3.04</v>
      </c>
      <c r="AI4" s="13">
        <f>IF('Données projet'!$A$62&gt;35,AI3+AH4-AQ3,IF(A4&lt;'Données projet'!$A$62,$AF$205^A4,IF(A4='Données projet'!$A$62,'Données projet'!$B$62,AI3+AH4-AQ3)))</f>
        <v>1.1891387833073912</v>
      </c>
      <c r="AJ4" s="13">
        <f>AI4*VLOOKUP('Données projet'!$B$10,Paramètres!$A$1:$I$89,3,0)*VLOOKUP('Données projet'!$B$10,Paramètres!$A$1:$I$89,5,0)</f>
        <v>1.1315844661953136</v>
      </c>
      <c r="AK4" s="13">
        <f>EXP(-1.0587+0.8836*LN(AJ4)+0.284)</f>
        <v>0.51403167078608114</v>
      </c>
      <c r="AL4" s="20">
        <f t="shared" ref="AL4:AL67" si="4">(AJ4+AK4)*0.475*44/12</f>
        <v>2.8661147719092619</v>
      </c>
      <c r="AM4" s="59">
        <f t="shared" ref="AM4:AM67" si="5">AL4+(AD4+AE4)*44/12</f>
        <v>170.67854872483309</v>
      </c>
      <c r="AN4" s="59">
        <f ca="1">AVERAGE(OFFSET($AM$3,0,0,'Données projet'!$E$10+1,1))-AVERAGE(OFFSET($H$3,0,0,'Données projet'!$E$10+1,1))</f>
        <v>320.33056209214476</v>
      </c>
      <c r="AO4" s="59">
        <f>$AO$3</f>
        <v>299.27200854723446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169.89197116198318</v>
      </c>
      <c r="BI4" s="59">
        <f ca="1">AVERAGE(OFFSET($BH$3,0,0,'Données projet'!$E$11+1,1))-AVERAGE(OFFSET($H$3,0,0,'Données projet'!$E$11+1,1))</f>
        <v>256.85706398254547</v>
      </c>
      <c r="BJ4" s="59">
        <f>$BJ$3</f>
        <v>363.68094621014734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</v>
      </c>
      <c r="BY4" s="12">
        <f>IF('Données projet'!$A$114&gt;35,BY3+BX4-CG3,IF(A4&lt;'Données projet'!$A$114,$BV$205^A4,IF(A4='Données projet'!$A$114,'Données projet'!$B$114,BY3+BX4-CG3)))</f>
        <v>3</v>
      </c>
      <c r="BZ4" s="13">
        <f>BY4*VLOOKUP('Données projet'!$B$12,Paramètres!$A$1:$I$89,3,0)*VLOOKUP('Données projet'!$B$12,Paramètres!$A$1:$I$89,5,0)</f>
        <v>2.7143999999999999</v>
      </c>
      <c r="CA4" s="13">
        <f>EXP(-1.0587+0.8836*LN(BZ4)+0.284)</f>
        <v>1.1136437287183383</v>
      </c>
      <c r="CB4" s="20">
        <f t="shared" ref="CB4:CB67" si="10">(BZ4+CA4)*0.475*44/12</f>
        <v>6.6671761608511053</v>
      </c>
      <c r="CC4" s="59">
        <f t="shared" ref="CC4:CC67" si="11">CB4+(BT4+BU4)*44/12</f>
        <v>174.47961011377495</v>
      </c>
      <c r="CD4" s="59">
        <f ca="1">AVERAGE(OFFSET($CC$3,0,0,'Données projet'!$E$12+1,1))-AVERAGE(OFFSET($H$3,0,0,'Données projet'!$E$12+1,1))</f>
        <v>357.68828740212223</v>
      </c>
      <c r="CE4" s="59">
        <f>$CE$3</f>
        <v>236.76626845829483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6.32</v>
      </c>
      <c r="CT4" s="12">
        <f>IF('Données projet'!$A$140&gt;35,CT3+CS4-DB3,IF(A4&lt;'Données projet'!$A$140,$CQ$205^A4,IF(A4='Données projet'!$A$140,'Données projet'!$B$140,CT3+CS4-DB3)))</f>
        <v>1.2244647396966932</v>
      </c>
      <c r="CU4" s="17">
        <f>CT4*VLOOKUP('Données projet'!$B$13,Paramètres!$A$1:$I$89,3,0)*VLOOKUP('Données projet'!$B$13,Paramètres!$A$1:$I$89,5,0)</f>
        <v>0.80226929744927344</v>
      </c>
      <c r="CV4" s="13">
        <f>EXP(-1.0587+0.8836*LN(CU4)+0.284)</f>
        <v>0.37932316803948857</v>
      </c>
      <c r="CW4" s="20">
        <f t="shared" ref="CW4:CW67" si="13">(CU4+CV4)*0.475*44/12</f>
        <v>2.0579402107262603</v>
      </c>
      <c r="CX4" s="59">
        <f t="shared" ref="CX4:CX67" si="14">CW4+(CO4+CP4)*44/12</f>
        <v>169.8703741636501</v>
      </c>
      <c r="CY4" s="59">
        <f ca="1">AVERAGE(OFFSET($CX$3,0,0,'Données projet'!$E$13+1,1))-AVERAGE(OFFSET($H$3,0,0,'Données projet'!$E$13+1,1))</f>
        <v>220.18342986563667</v>
      </c>
      <c r="CZ4" s="59">
        <f>$CZ$3</f>
        <v>347.84382145531163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</v>
      </c>
      <c r="DO4" s="12">
        <f>IF('Données projet'!$A$166&gt;35,DO3+DN4-DW3,IF(A4&lt;'Données projet'!$A$166,$DL$205^A4,IF(A4='Données projet'!$A$166,'Données projet'!$B$166,DO3+DN4-DW3)))</f>
        <v>3</v>
      </c>
      <c r="DP4" s="17">
        <f>DO4*VLOOKUP('Données projet'!$B$14,Paramètres!$A$1:$I$89,3,0)*VLOOKUP('Données projet'!$B$14,Paramètres!$A$1:$I$89,5,0)</f>
        <v>3.0420000000000003</v>
      </c>
      <c r="DQ4" s="13">
        <f>EXP(-1.0587+0.8836*LN(DP4)+0.284)</f>
        <v>1.2316052813661467</v>
      </c>
      <c r="DR4" s="20">
        <f t="shared" ref="DR4:DR67" si="16">(DP4+DQ4)*0.475*44/12</f>
        <v>7.4431958650460386</v>
      </c>
      <c r="DS4" s="59">
        <f t="shared" ref="DS4:DS67" si="17">DR4+(DJ4+DK4)*44/12</f>
        <v>175.25562981796989</v>
      </c>
      <c r="DT4" s="59">
        <f ca="1">AVERAGE(OFFSET($DS$3,0,0,'Données projet'!$E$14+1,1))-AVERAGE(OFFSET($H$3,0,0,'Données projet'!$E$14+1,1))</f>
        <v>392.49465607243178</v>
      </c>
      <c r="DU4" s="59">
        <f>$DU$3</f>
        <v>258.031856676031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3.04</v>
      </c>
      <c r="EJ4" s="12">
        <f>IF('Données projet'!$A$192&gt;35,EJ3+EI4-ER3,IF(A4&lt;'Données projet'!$A$192,$EG$205^A4,IF(A4='Données projet'!$A$192,'Données projet'!$B$192,EJ3+EI4-ER3)))</f>
        <v>1.1891387833073912</v>
      </c>
      <c r="EK4" s="17">
        <f>EJ4*VLOOKUP('Données projet'!$B$15,Paramètres!$A$1:$I$89,3,0)*VLOOKUP('Données projet'!$B$15,Paramètres!$A$1:$I$89,5,0)</f>
        <v>1.0202810760777419</v>
      </c>
      <c r="EL4" s="13">
        <f>EXP(-1.0587+0.8836*LN(EK4)+0.284)</f>
        <v>0.46909079195091474</v>
      </c>
      <c r="EM4" s="20">
        <f t="shared" ref="EM4:EM67" si="19">(EK4+EL4)*0.475*44/12</f>
        <v>2.593989336816577</v>
      </c>
      <c r="EN4" s="59">
        <f t="shared" ref="EN4:EN67" si="20">EM4+(EE4+EF4)*44/12</f>
        <v>170.40642328974042</v>
      </c>
      <c r="EO4" s="59">
        <f ca="1">AVERAGE(OFFSET($EN$3,0,0,'Données projet'!$E$15+1,1))-AVERAGE(OFFSET($H$3,0,0,'Données projet'!$E$15+1,1))</f>
        <v>294.24530606293143</v>
      </c>
      <c r="EP4" s="59">
        <f>$EP$3</f>
        <v>275.88160405468193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3.04</v>
      </c>
      <c r="FE4" s="12">
        <f>IF('Données projet'!$A$218&gt;35,FE3+FD4-FM3,IF(A4&lt;'Données projet'!$A$218,$FB$205^A4,IF(A4='Données projet'!$A$218,'Données projet'!$B$218,FE3+FD4-FM3)))</f>
        <v>1.1891387833073912</v>
      </c>
      <c r="FF4" s="17">
        <f>FE4*VLOOKUP('Données projet'!$B$16,Paramètres!$A$1:$I$89,3,0)*VLOOKUP('Données projet'!$B$16,Paramètres!$A$1:$I$89,5,0)</f>
        <v>0.87187655592097912</v>
      </c>
      <c r="FG4" s="13">
        <f>EXP(-1.0587+0.8836*LN(FF4)+0.284)</f>
        <v>0.40826119539287742</v>
      </c>
      <c r="FH4" s="20">
        <f t="shared" ref="FH4:FH67" si="22">(FF4+FG4)*0.475*44/12</f>
        <v>2.2295732502049668</v>
      </c>
      <c r="FI4" s="59">
        <f t="shared" ref="FI4:FI67" si="23">FH4+(EZ4+FA4)*44/12</f>
        <v>170.0420072031288</v>
      </c>
      <c r="FJ4" s="59">
        <f ca="1">AVERAGE(OFFSET($FI$3,0,0,'Données projet'!$E$16+1,1))-AVERAGE(OFFSET($H$3,0,0,'Données projet'!$E$16+1,1))</f>
        <v>214.31585175697521</v>
      </c>
      <c r="FK4" s="59">
        <f>$FK$3</f>
        <v>244.60383864821372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6.32</v>
      </c>
      <c r="FZ4" s="12">
        <f>IF('Données projet'!$A$244&gt;35,FZ3+FY4-GH3,IF(A4&lt;'Données projet'!$A$244,$FW$205^A4,IF(A4='Données projet'!$A$244,'Données projet'!$B$244,FZ3+FY4-GH3)))</f>
        <v>1.2244647396966932</v>
      </c>
      <c r="GA4" s="17">
        <f>FZ4*VLOOKUP('Données projet'!$B$17,Paramètres!$A$1:$I$89,3,0)*VLOOKUP('Données projet'!$B$17,Paramètres!$A$1:$I$89,5,0)</f>
        <v>0.97418414690268917</v>
      </c>
      <c r="GB4" s="13">
        <f>EXP(-1.0587+0.8836*LN(GA4)+0.284)</f>
        <v>0.45031384915554107</v>
      </c>
      <c r="GC4" s="20">
        <f t="shared" ref="GC4:GC67" si="25">(GA4+GB4)*0.475*44/12</f>
        <v>2.4810006764680845</v>
      </c>
      <c r="GD4" s="59">
        <f t="shared" ref="GD4:GD67" si="26">GC4+(FU4+FV4)*44/12</f>
        <v>170.29343462939192</v>
      </c>
      <c r="GE4" s="59">
        <f ca="1">AVERAGE(OFFSET($GD$3,0,0,'Données projet'!$E$17+1,1))-AVERAGE(OFFSET($H$3,0,0,'Données projet'!$E$17+1,1))</f>
        <v>308.33954512886351</v>
      </c>
      <c r="GF4" s="59">
        <f>$GF$3</f>
        <v>408.79075392716277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173.03114724053935</v>
      </c>
      <c r="S5" s="59">
        <f ca="1">AVERAGE(OFFSET($R$3,0,0,'Données projet'!$E$9+1,1))-AVERAGE(OFFSET($H$3,0,0,'Données projet'!$E$9+1,1))</f>
        <v>342.84342155097613</v>
      </c>
      <c r="T5" s="59">
        <f t="shared" ref="T5:T68" si="34">$T$3</f>
        <v>565.68976940602215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3.04</v>
      </c>
      <c r="AI5" s="13">
        <f>IF('Données projet'!$A$62&gt;35,AI4+AH5-AQ4,IF(A5&lt;'Données projet'!$A$62,$AF$205^A5,IF(A5='Données projet'!$A$62,'Données projet'!$B$62,AI4+AH5-AQ4)))</f>
        <v>1.4140510459657827</v>
      </c>
      <c r="AJ5" s="13">
        <f>AI5*VLOOKUP('Données projet'!$B$10,Paramètres!$A$1:$I$89,3,0)*VLOOKUP('Données projet'!$B$10,Paramètres!$A$1:$I$89,5,0)</f>
        <v>1.3456109753410388</v>
      </c>
      <c r="AK5" s="13">
        <f t="shared" ref="AK5:AK68" si="35">EXP(-1.0587+0.8836*LN(AJ5)+0.284)</f>
        <v>0.5990531461981724</v>
      </c>
      <c r="AL5" s="20">
        <f t="shared" si="4"/>
        <v>3.3869566783474592</v>
      </c>
      <c r="AM5" s="59">
        <f t="shared" si="5"/>
        <v>173.98423796584828</v>
      </c>
      <c r="AN5" s="59">
        <f ca="1">AVERAGE(OFFSET($AM$3,0,0,'Données projet'!$E$10+1,1))-AVERAGE(OFFSET($H$3,0,0,'Données projet'!$E$10+1,1))</f>
        <v>320.33056209214476</v>
      </c>
      <c r="AO5" s="59">
        <f t="shared" ref="AO5:AO68" si="36">$AO$3</f>
        <v>299.27200854723446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173.27401733104034</v>
      </c>
      <c r="BI5" s="59">
        <f ca="1">AVERAGE(OFFSET($BH$3,0,0,'Données projet'!$E$11+1,1))-AVERAGE(OFFSET($H$3,0,0,'Données projet'!$E$11+1,1))</f>
        <v>256.85706398254547</v>
      </c>
      <c r="BJ5" s="59">
        <f t="shared" ref="BJ5:BJ68" si="38">$BJ$3</f>
        <v>363.68094621014734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</v>
      </c>
      <c r="BY5" s="12">
        <f>IF('Données projet'!$A$114&gt;35,BY4+BX5-CG4,IF(A5&lt;'Données projet'!$A$114,$BV$205^A5,IF(A5='Données projet'!$A$114,'Données projet'!$B$114,BY4+BX5-CG4)))</f>
        <v>6</v>
      </c>
      <c r="BZ5" s="13">
        <f>BY5*VLOOKUP('Données projet'!$B$12,Paramètres!$A$1:$I$89,3,0)*VLOOKUP('Données projet'!$B$12,Paramètres!$A$1:$I$89,5,0)</f>
        <v>5.4287999999999998</v>
      </c>
      <c r="CA5" s="13">
        <f t="shared" ref="CA5:CA68" si="39">EXP(-1.0587+0.8836*LN(BZ5)+0.284)</f>
        <v>2.0546430333413586</v>
      </c>
      <c r="CB5" s="20">
        <f t="shared" si="10"/>
        <v>13.033663283069531</v>
      </c>
      <c r="CC5" s="59">
        <f t="shared" si="11"/>
        <v>183.63094457057036</v>
      </c>
      <c r="CD5" s="59">
        <f ca="1">AVERAGE(OFFSET($CC$3,0,0,'Données projet'!$E$12+1,1))-AVERAGE(OFFSET($H$3,0,0,'Données projet'!$E$12+1,1))</f>
        <v>357.68828740212223</v>
      </c>
      <c r="CE5" s="59">
        <f t="shared" ref="CE5:CE68" si="40">$CE$3</f>
        <v>236.76626845829483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6.32</v>
      </c>
      <c r="CT5" s="12">
        <f>IF('Données projet'!$A$140&gt;35,CT4+CS5-DB4,IF(A5&lt;'Données projet'!$A$140,$CQ$205^A5,IF(A5='Données projet'!$A$140,'Données projet'!$B$140,CT4+CS5-DB4)))</f>
        <v>1.4993138987604906</v>
      </c>
      <c r="CU5" s="17">
        <f>CT5*VLOOKUP('Données projet'!$B$13,Paramètres!$A$1:$I$89,3,0)*VLOOKUP('Données projet'!$B$13,Paramètres!$A$1:$I$89,5,0)</f>
        <v>0.9823504664678735</v>
      </c>
      <c r="CV5" s="13">
        <f t="shared" ref="CV5:CV68" si="41">EXP(-1.0587+0.8836*LN(CU5)+0.284)</f>
        <v>0.45364769142812633</v>
      </c>
      <c r="CW5" s="20">
        <f t="shared" si="13"/>
        <v>2.5010301250022002</v>
      </c>
      <c r="CX5" s="59">
        <f t="shared" si="14"/>
        <v>173.09831141250302</v>
      </c>
      <c r="CY5" s="59">
        <f ca="1">AVERAGE(OFFSET($CX$3,0,0,'Données projet'!$E$13+1,1))-AVERAGE(OFFSET($H$3,0,0,'Données projet'!$E$13+1,1))</f>
        <v>220.18342986563667</v>
      </c>
      <c r="CZ5" s="59">
        <f t="shared" ref="CZ5:CZ68" si="42">$CZ$3</f>
        <v>347.84382145531163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</v>
      </c>
      <c r="DO5" s="12">
        <f>IF('Données projet'!$A$166&gt;35,DO4+DN5-DW4,IF(A5&lt;'Données projet'!$A$166,$DL$205^A5,IF(A5='Données projet'!$A$166,'Données projet'!$B$166,DO4+DN5-DW4)))</f>
        <v>6</v>
      </c>
      <c r="DP5" s="17">
        <f>DO5*VLOOKUP('Données projet'!$B$14,Paramètres!$A$1:$I$89,3,0)*VLOOKUP('Données projet'!$B$14,Paramètres!$A$1:$I$89,5,0)</f>
        <v>6.0840000000000005</v>
      </c>
      <c r="DQ5" s="13">
        <f t="shared" ref="DQ5:DQ68" si="43">EXP(-1.0587+0.8836*LN(DP5)+0.284)</f>
        <v>2.2722789577396267</v>
      </c>
      <c r="DR5" s="20">
        <f t="shared" si="16"/>
        <v>14.553852518063183</v>
      </c>
      <c r="DS5" s="59">
        <f t="shared" si="17"/>
        <v>185.15113380556403</v>
      </c>
      <c r="DT5" s="59">
        <f ca="1">AVERAGE(OFFSET($DS$3,0,0,'Données projet'!$E$14+1,1))-AVERAGE(OFFSET($H$3,0,0,'Données projet'!$E$14+1,1))</f>
        <v>392.49465607243178</v>
      </c>
      <c r="DU5" s="59">
        <f t="shared" ref="DU5:DU68" si="44">$DU$3</f>
        <v>258.031856676031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3.04</v>
      </c>
      <c r="EJ5" s="12">
        <f>IF('Données projet'!$A$192&gt;35,EJ4+EI5-ER4,IF(A5&lt;'Données projet'!$A$192,$EG$205^A5,IF(A5='Données projet'!$A$192,'Données projet'!$B$192,EJ4+EI5-ER4)))</f>
        <v>1.4140510459657827</v>
      </c>
      <c r="EK5" s="17">
        <f>EJ5*VLOOKUP('Données projet'!$B$15,Paramètres!$A$1:$I$89,3,0)*VLOOKUP('Données projet'!$B$15,Paramètres!$A$1:$I$89,5,0)</f>
        <v>1.2132557974386415</v>
      </c>
      <c r="EL5" s="13">
        <f t="shared" ref="EL5:EL68" si="45">EXP(-1.0587+0.8836*LN(EK5)+0.284)</f>
        <v>0.54667899030628542</v>
      </c>
      <c r="EM5" s="20">
        <f t="shared" si="19"/>
        <v>3.0652197553224139</v>
      </c>
      <c r="EN5" s="59">
        <f t="shared" si="20"/>
        <v>173.66250104282324</v>
      </c>
      <c r="EO5" s="59">
        <f ca="1">AVERAGE(OFFSET($EN$3,0,0,'Données projet'!$E$15+1,1))-AVERAGE(OFFSET($H$3,0,0,'Données projet'!$E$15+1,1))</f>
        <v>294.24530606293143</v>
      </c>
      <c r="EP5" s="59">
        <f t="shared" ref="EP5:EP68" si="46">$EP$3</f>
        <v>275.88160405468193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3.04</v>
      </c>
      <c r="FE5" s="12">
        <f>IF('Données projet'!$A$218&gt;35,FE4+FD5-FM4,IF(A5&lt;'Données projet'!$A$218,$FB$205^A5,IF(A5='Données projet'!$A$218,'Données projet'!$B$218,FE4+FD5-FM4)))</f>
        <v>1.4140510459657827</v>
      </c>
      <c r="FF5" s="17">
        <f>FE5*VLOOKUP('Données projet'!$B$16,Paramètres!$A$1:$I$89,3,0)*VLOOKUP('Données projet'!$B$16,Paramètres!$A$1:$I$89,5,0)</f>
        <v>1.0367822269021119</v>
      </c>
      <c r="FG5" s="13">
        <f t="shared" ref="FG5:FG68" si="47">EXP(-1.0587+0.8836*LN(FF5)+0.284)</f>
        <v>0.47578810308851593</v>
      </c>
      <c r="FH5" s="20">
        <f t="shared" si="22"/>
        <v>2.634393324733677</v>
      </c>
      <c r="FI5" s="59">
        <f t="shared" si="23"/>
        <v>173.23167461223451</v>
      </c>
      <c r="FJ5" s="59">
        <f ca="1">AVERAGE(OFFSET($FI$3,0,0,'Données projet'!$E$16+1,1))-AVERAGE(OFFSET($H$3,0,0,'Données projet'!$E$16+1,1))</f>
        <v>214.31585175697521</v>
      </c>
      <c r="FK5" s="59">
        <f t="shared" ref="FK5:FK68" si="48">$FK$3</f>
        <v>244.60383864821372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6.32</v>
      </c>
      <c r="FZ5" s="12">
        <f>IF('Données projet'!$A$244&gt;35,FZ4+FY5-GH4,IF(A5&lt;'Données projet'!$A$244,$FW$205^A5,IF(A5='Données projet'!$A$244,'Données projet'!$B$244,FZ4+FY5-GH4)))</f>
        <v>1.4993138987604906</v>
      </c>
      <c r="GA5" s="17">
        <f>FZ5*VLOOKUP('Données projet'!$B$17,Paramètres!$A$1:$I$89,3,0)*VLOOKUP('Données projet'!$B$17,Paramètres!$A$1:$I$89,5,0)</f>
        <v>1.1928541378538464</v>
      </c>
      <c r="GB5" s="13">
        <f t="shared" ref="GB5:GB68" si="49">EXP(-1.0587+0.8836*LN(GA5)+0.284)</f>
        <v>0.5385482757179183</v>
      </c>
      <c r="GC5" s="20">
        <f t="shared" si="25"/>
        <v>3.0155258703041565</v>
      </c>
      <c r="GD5" s="59">
        <f t="shared" si="26"/>
        <v>173.61280715780498</v>
      </c>
      <c r="GE5" s="59">
        <f ca="1">AVERAGE(OFFSET($GD$3,0,0,'Données projet'!$E$17+1,1))-AVERAGE(OFFSET($H$3,0,0,'Données projet'!$E$17+1,1))</f>
        <v>308.33954512886351</v>
      </c>
      <c r="GF5" s="59">
        <f t="shared" ref="GF5:GF68" si="50">$GF$3</f>
        <v>408.79075392716277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176.50528150491647</v>
      </c>
      <c r="S6" s="59">
        <f ca="1">AVERAGE(OFFSET($R$3,0,0,'Données projet'!$E$9+1,1))-AVERAGE(OFFSET($H$3,0,0,'Données projet'!$E$9+1,1))</f>
        <v>342.84342155097613</v>
      </c>
      <c r="T6" s="59">
        <f t="shared" si="34"/>
        <v>565.68976940602215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3.04</v>
      </c>
      <c r="AI6" s="13">
        <f>IF('Données projet'!$A$62&gt;35,AI5+AH6-AQ5,IF(A6&lt;'Données projet'!$A$62,$AF$205^A6,IF(A6='Données projet'!$A$62,'Données projet'!$B$62,AI5+AH6-AQ5)))</f>
        <v>1.6815029403342947</v>
      </c>
      <c r="AJ6" s="13">
        <f>AI6*VLOOKUP('Données projet'!$B$10,Paramètres!$A$1:$I$89,3,0)*VLOOKUP('Données projet'!$B$10,Paramètres!$A$1:$I$89,5,0)</f>
        <v>1.6001181980221149</v>
      </c>
      <c r="AK6" s="13">
        <f t="shared" si="35"/>
        <v>0.69813727901461076</v>
      </c>
      <c r="AL6" s="20">
        <f t="shared" si="4"/>
        <v>4.0027949558389642</v>
      </c>
      <c r="AM6" s="59">
        <f t="shared" si="5"/>
        <v>177.35781552572385</v>
      </c>
      <c r="AN6" s="59">
        <f ca="1">AVERAGE(OFFSET($AM$3,0,0,'Données projet'!$E$10+1,1))-AVERAGE(OFFSET($H$3,0,0,'Données projet'!$E$10+1,1))</f>
        <v>320.33056209214476</v>
      </c>
      <c r="AO6" s="59">
        <f t="shared" si="36"/>
        <v>299.27200854723446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176.80114944865826</v>
      </c>
      <c r="BI6" s="59">
        <f ca="1">AVERAGE(OFFSET($BH$3,0,0,'Données projet'!$E$11+1,1))-AVERAGE(OFFSET($H$3,0,0,'Données projet'!$E$11+1,1))</f>
        <v>256.85706398254547</v>
      </c>
      <c r="BJ6" s="59">
        <f t="shared" si="38"/>
        <v>363.68094621014734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</v>
      </c>
      <c r="BY6" s="12">
        <f>IF('Données projet'!$A$114&gt;35,BY5+BX6-CG5,IF(A6&lt;'Données projet'!$A$114,$BV$205^A6,IF(A6='Données projet'!$A$114,'Données projet'!$B$114,BY5+BX6-CG5)))</f>
        <v>9</v>
      </c>
      <c r="BZ6" s="13">
        <f>BY6*VLOOKUP('Données projet'!$B$12,Paramètres!$A$1:$I$89,3,0)*VLOOKUP('Données projet'!$B$12,Paramètres!$A$1:$I$89,5,0)</f>
        <v>8.1432000000000002</v>
      </c>
      <c r="CA6" s="13">
        <f t="shared" si="39"/>
        <v>2.9398868551895574</v>
      </c>
      <c r="CB6" s="20">
        <f t="shared" si="10"/>
        <v>19.303042939455146</v>
      </c>
      <c r="CC6" s="59">
        <f t="shared" si="11"/>
        <v>192.65806350934002</v>
      </c>
      <c r="CD6" s="59">
        <f ca="1">AVERAGE(OFFSET($CC$3,0,0,'Données projet'!$E$12+1,1))-AVERAGE(OFFSET($H$3,0,0,'Données projet'!$E$12+1,1))</f>
        <v>357.68828740212223</v>
      </c>
      <c r="CE6" s="59">
        <f t="shared" si="40"/>
        <v>236.76626845829483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6.32</v>
      </c>
      <c r="CT6" s="12">
        <f>IF('Données projet'!$A$140&gt;35,CT5+CS6-DB5,IF(A6&lt;'Données projet'!$A$140,$CQ$205^A6,IF(A6='Données projet'!$A$140,'Données projet'!$B$140,CT5+CS6-DB5)))</f>
        <v>1.8358570027693983</v>
      </c>
      <c r="CU6" s="17">
        <f>CT6*VLOOKUP('Données projet'!$B$13,Paramètres!$A$1:$I$89,3,0)*VLOOKUP('Données projet'!$B$13,Paramètres!$A$1:$I$89,5,0)</f>
        <v>1.2028535082145098</v>
      </c>
      <c r="CV6" s="13">
        <f t="shared" si="41"/>
        <v>0.54253535053425628</v>
      </c>
      <c r="CW6" s="20">
        <f t="shared" si="13"/>
        <v>3.0398855956541007</v>
      </c>
      <c r="CX6" s="59">
        <f t="shared" si="14"/>
        <v>176.394906165539</v>
      </c>
      <c r="CY6" s="59">
        <f ca="1">AVERAGE(OFFSET($CX$3,0,0,'Données projet'!$E$13+1,1))-AVERAGE(OFFSET($H$3,0,0,'Données projet'!$E$13+1,1))</f>
        <v>220.18342986563667</v>
      </c>
      <c r="CZ6" s="59">
        <f t="shared" si="42"/>
        <v>347.84382145531163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</v>
      </c>
      <c r="DO6" s="12">
        <f>IF('Données projet'!$A$166&gt;35,DO5+DN6-DW5,IF(A6&lt;'Données projet'!$A$166,$DL$205^A6,IF(A6='Données projet'!$A$166,'Données projet'!$B$166,DO5+DN6-DW5)))</f>
        <v>9</v>
      </c>
      <c r="DP6" s="17">
        <f>DO6*VLOOKUP('Données projet'!$B$14,Paramètres!$A$1:$I$89,3,0)*VLOOKUP('Données projet'!$B$14,Paramètres!$A$1:$I$89,5,0)</f>
        <v>9.1260000000000012</v>
      </c>
      <c r="DQ6" s="13">
        <f t="shared" si="43"/>
        <v>3.2512913098674976</v>
      </c>
      <c r="DR6" s="20">
        <f t="shared" si="16"/>
        <v>21.557115698019228</v>
      </c>
      <c r="DS6" s="59">
        <f t="shared" si="17"/>
        <v>194.91213626790412</v>
      </c>
      <c r="DT6" s="59">
        <f ca="1">AVERAGE(OFFSET($DS$3,0,0,'Données projet'!$E$14+1,1))-AVERAGE(OFFSET($H$3,0,0,'Données projet'!$E$14+1,1))</f>
        <v>392.49465607243178</v>
      </c>
      <c r="DU6" s="59">
        <f t="shared" si="44"/>
        <v>258.031856676031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3.04</v>
      </c>
      <c r="EJ6" s="12">
        <f>IF('Données projet'!$A$192&gt;35,EJ5+EI6-ER5,IF(A6&lt;'Données projet'!$A$192,$EG$205^A6,IF(A6='Données projet'!$A$192,'Données projet'!$B$192,EJ5+EI6-ER5)))</f>
        <v>1.6815029403342947</v>
      </c>
      <c r="EK6" s="17">
        <f>EJ6*VLOOKUP('Données projet'!$B$15,Paramètres!$A$1:$I$89,3,0)*VLOOKUP('Données projet'!$B$15,Paramètres!$A$1:$I$89,5,0)</f>
        <v>1.4427295228068251</v>
      </c>
      <c r="EL6" s="13">
        <f t="shared" si="45"/>
        <v>0.63710037282840559</v>
      </c>
      <c r="EM6" s="20">
        <f t="shared" si="19"/>
        <v>3.6223704015646927</v>
      </c>
      <c r="EN6" s="59">
        <f t="shared" si="20"/>
        <v>176.97739097144958</v>
      </c>
      <c r="EO6" s="59">
        <f ca="1">AVERAGE(OFFSET($EN$3,0,0,'Données projet'!$E$15+1,1))-AVERAGE(OFFSET($H$3,0,0,'Données projet'!$E$15+1,1))</f>
        <v>294.24530606293143</v>
      </c>
      <c r="EP6" s="59">
        <f t="shared" si="46"/>
        <v>275.88160405468193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3.04</v>
      </c>
      <c r="FE6" s="12">
        <f>IF('Données projet'!$A$218&gt;35,FE5+FD6-FM5,IF(A6&lt;'Données projet'!$A$218,$FB$205^A6,IF(A6='Données projet'!$A$218,'Données projet'!$B$218,FE5+FD6-FM5)))</f>
        <v>1.6815029403342947</v>
      </c>
      <c r="FF6" s="17">
        <f>FE6*VLOOKUP('Données projet'!$B$16,Paramètres!$A$1:$I$89,3,0)*VLOOKUP('Données projet'!$B$16,Paramètres!$A$1:$I$89,5,0)</f>
        <v>1.2328779558531049</v>
      </c>
      <c r="FG6" s="13">
        <f t="shared" si="47"/>
        <v>0.55448404500634441</v>
      </c>
      <c r="FH6" s="20">
        <f t="shared" si="22"/>
        <v>3.1129888181635406</v>
      </c>
      <c r="FI6" s="59">
        <f t="shared" si="23"/>
        <v>176.46800938804842</v>
      </c>
      <c r="FJ6" s="59">
        <f ca="1">AVERAGE(OFFSET($FI$3,0,0,'Données projet'!$E$16+1,1))-AVERAGE(OFFSET($H$3,0,0,'Données projet'!$E$16+1,1))</f>
        <v>214.31585175697521</v>
      </c>
      <c r="FK6" s="59">
        <f t="shared" si="48"/>
        <v>244.60383864821372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6.32</v>
      </c>
      <c r="FZ6" s="12">
        <f>IF('Données projet'!$A$244&gt;35,FZ5+FY6-GH5,IF(A6&lt;'Données projet'!$A$244,$FW$205^A6,IF(A6='Données projet'!$A$244,'Données projet'!$B$244,FZ5+FY6-GH5)))</f>
        <v>1.8358570027693983</v>
      </c>
      <c r="GA6" s="17">
        <f>FZ6*VLOOKUP('Données projet'!$B$17,Paramètres!$A$1:$I$89,3,0)*VLOOKUP('Données projet'!$B$17,Paramètres!$A$1:$I$89,5,0)</f>
        <v>1.4606078314033335</v>
      </c>
      <c r="GB6" s="13">
        <f t="shared" si="49"/>
        <v>0.64407134229301355</v>
      </c>
      <c r="GC6" s="20">
        <f t="shared" si="25"/>
        <v>3.665649560854471</v>
      </c>
      <c r="GD6" s="59">
        <f t="shared" si="26"/>
        <v>177.02067013073935</v>
      </c>
      <c r="GE6" s="59">
        <f ca="1">AVERAGE(OFFSET($GD$3,0,0,'Données projet'!$E$17+1,1))-AVERAGE(OFFSET($H$3,0,0,'Données projet'!$E$17+1,1))</f>
        <v>308.33954512886351</v>
      </c>
      <c r="GF6" s="59">
        <f t="shared" si="50"/>
        <v>408.79075392716277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180.164492114388</v>
      </c>
      <c r="S7" s="59">
        <f ca="1">AVERAGE(OFFSET($R$3,0,0,'Données projet'!$E$9+1,1))-AVERAGE(OFFSET($H$3,0,0,'Données projet'!$E$9+1,1))</f>
        <v>342.84342155097613</v>
      </c>
      <c r="T7" s="59">
        <f t="shared" si="34"/>
        <v>565.68976940602215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3.04</v>
      </c>
      <c r="AI7" s="13">
        <f>IF('Données projet'!$A$62&gt;35,AI6+AH7-AQ6,IF(A7&lt;'Données projet'!$A$62,$AF$205^A7,IF(A7='Données projet'!$A$62,'Données projet'!$B$62,AI6+AH7-AQ6)))</f>
        <v>1.999540360596924</v>
      </c>
      <c r="AJ7" s="13">
        <f>AI7*VLOOKUP('Données projet'!$B$10,Paramètres!$A$1:$I$89,3,0)*VLOOKUP('Données projet'!$B$10,Paramètres!$A$1:$I$89,5,0)</f>
        <v>1.9027626071440329</v>
      </c>
      <c r="AK7" s="13">
        <f t="shared" si="35"/>
        <v>0.81361005019860044</v>
      </c>
      <c r="AL7" s="20">
        <f t="shared" si="4"/>
        <v>4.7310157115384195</v>
      </c>
      <c r="AM7" s="59">
        <f t="shared" si="5"/>
        <v>180.81713777571537</v>
      </c>
      <c r="AN7" s="59">
        <f ca="1">AVERAGE(OFFSET($AM$3,0,0,'Données projet'!$E$10+1,1))-AVERAGE(OFFSET($H$3,0,0,'Données projet'!$E$10+1,1))</f>
        <v>320.33056209214476</v>
      </c>
      <c r="AO7" s="59">
        <f t="shared" si="36"/>
        <v>299.27200854723446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180.52367555113923</v>
      </c>
      <c r="BI7" s="59">
        <f ca="1">AVERAGE(OFFSET($BH$3,0,0,'Données projet'!$E$11+1,1))-AVERAGE(OFFSET($H$3,0,0,'Données projet'!$E$11+1,1))</f>
        <v>256.85706398254547</v>
      </c>
      <c r="BJ7" s="59">
        <f t="shared" si="38"/>
        <v>363.68094621014734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</v>
      </c>
      <c r="BY7" s="12">
        <f>IF('Données projet'!$A$114&gt;35,BY6+BX7-CG6,IF(A7&lt;'Données projet'!$A$114,$BV$205^A7,IF(A7='Données projet'!$A$114,'Données projet'!$B$114,BY6+BX7-CG6)))</f>
        <v>12</v>
      </c>
      <c r="BZ7" s="13">
        <f>BY7*VLOOKUP('Données projet'!$B$12,Paramètres!$A$1:$I$89,3,0)*VLOOKUP('Données projet'!$B$12,Paramètres!$A$1:$I$89,5,0)</f>
        <v>10.8576</v>
      </c>
      <c r="CA7" s="13">
        <f t="shared" si="39"/>
        <v>3.7907617001683773</v>
      </c>
      <c r="CB7" s="20">
        <f t="shared" si="10"/>
        <v>25.512563294459923</v>
      </c>
      <c r="CC7" s="59">
        <f t="shared" si="11"/>
        <v>201.59868535863689</v>
      </c>
      <c r="CD7" s="59">
        <f ca="1">AVERAGE(OFFSET($CC$3,0,0,'Données projet'!$E$12+1,1))-AVERAGE(OFFSET($H$3,0,0,'Données projet'!$E$12+1,1))</f>
        <v>357.68828740212223</v>
      </c>
      <c r="CE7" s="59">
        <f t="shared" si="40"/>
        <v>236.76626845829483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6.32</v>
      </c>
      <c r="CT7" s="12">
        <f>IF('Données projet'!$A$140&gt;35,CT6+CS7-DB6,IF(A7&lt;'Données projet'!$A$140,$CQ$205^A7,IF(A7='Données projet'!$A$140,'Données projet'!$B$140,CT6+CS7-DB6)))</f>
        <v>2.2479421670163826</v>
      </c>
      <c r="CU7" s="17">
        <f>CT7*VLOOKUP('Données projet'!$B$13,Paramètres!$A$1:$I$89,3,0)*VLOOKUP('Données projet'!$B$13,Paramètres!$A$1:$I$89,5,0)</f>
        <v>1.4728517078291339</v>
      </c>
      <c r="CV7" s="13">
        <f t="shared" si="41"/>
        <v>0.64883964393757498</v>
      </c>
      <c r="CW7" s="20">
        <f t="shared" si="13"/>
        <v>3.6952791043270179</v>
      </c>
      <c r="CX7" s="59">
        <f t="shared" si="14"/>
        <v>179.78140116850398</v>
      </c>
      <c r="CY7" s="59">
        <f ca="1">AVERAGE(OFFSET($CX$3,0,0,'Données projet'!$E$13+1,1))-AVERAGE(OFFSET($H$3,0,0,'Données projet'!$E$13+1,1))</f>
        <v>220.18342986563667</v>
      </c>
      <c r="CZ7" s="59">
        <f t="shared" si="42"/>
        <v>347.84382145531163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</v>
      </c>
      <c r="DO7" s="12">
        <f>IF('Données projet'!$A$166&gt;35,DO6+DN7-DW6,IF(A7&lt;'Données projet'!$A$166,$DL$205^A7,IF(A7='Données projet'!$A$166,'Données projet'!$B$166,DO6+DN7-DW6)))</f>
        <v>12</v>
      </c>
      <c r="DP7" s="17">
        <f>DO7*VLOOKUP('Données projet'!$B$14,Paramètres!$A$1:$I$89,3,0)*VLOOKUP('Données projet'!$B$14,Paramètres!$A$1:$I$89,5,0)</f>
        <v>12.168000000000001</v>
      </c>
      <c r="DQ7" s="13">
        <f t="shared" si="43"/>
        <v>4.192294187029626</v>
      </c>
      <c r="DR7" s="20">
        <f t="shared" si="16"/>
        <v>28.494179042409929</v>
      </c>
      <c r="DS7" s="59">
        <f t="shared" si="17"/>
        <v>204.58030110658689</v>
      </c>
      <c r="DT7" s="59">
        <f ca="1">AVERAGE(OFFSET($DS$3,0,0,'Données projet'!$E$14+1,1))-AVERAGE(OFFSET($H$3,0,0,'Données projet'!$E$14+1,1))</f>
        <v>392.49465607243178</v>
      </c>
      <c r="DU7" s="59">
        <f t="shared" si="44"/>
        <v>258.031856676031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3.04</v>
      </c>
      <c r="EJ7" s="12">
        <f>IF('Données projet'!$A$192&gt;35,EJ6+EI7-ER6,IF(A7&lt;'Données projet'!$A$192,$EG$205^A7,IF(A7='Données projet'!$A$192,'Données projet'!$B$192,EJ6+EI7-ER6)))</f>
        <v>1.999540360596924</v>
      </c>
      <c r="EK7" s="17">
        <f>EJ7*VLOOKUP('Données projet'!$B$15,Paramètres!$A$1:$I$89,3,0)*VLOOKUP('Données projet'!$B$15,Paramètres!$A$1:$I$89,5,0)</f>
        <v>1.7156056293921609</v>
      </c>
      <c r="EL7" s="13">
        <f t="shared" si="45"/>
        <v>0.74247756408323506</v>
      </c>
      <c r="EM7" s="20">
        <f t="shared" si="19"/>
        <v>4.2811615619696477</v>
      </c>
      <c r="EN7" s="59">
        <f t="shared" si="20"/>
        <v>180.36728362614659</v>
      </c>
      <c r="EO7" s="59">
        <f ca="1">AVERAGE(OFFSET($EN$3,0,0,'Données projet'!$E$15+1,1))-AVERAGE(OFFSET($H$3,0,0,'Données projet'!$E$15+1,1))</f>
        <v>294.24530606293143</v>
      </c>
      <c r="EP7" s="59">
        <f t="shared" si="46"/>
        <v>275.88160405468193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3.04</v>
      </c>
      <c r="FE7" s="12">
        <f>IF('Données projet'!$A$218&gt;35,FE6+FD7-FM6,IF(A7&lt;'Données projet'!$A$218,$FB$205^A7,IF(A7='Données projet'!$A$218,'Données projet'!$B$218,FE6+FD7-FM6)))</f>
        <v>1.999540360596924</v>
      </c>
      <c r="FF7" s="17">
        <f>FE7*VLOOKUP('Données projet'!$B$16,Paramètres!$A$1:$I$89,3,0)*VLOOKUP('Données projet'!$B$16,Paramètres!$A$1:$I$89,5,0)</f>
        <v>1.4660629923896646</v>
      </c>
      <c r="FG7" s="13">
        <f t="shared" si="47"/>
        <v>0.64619639324903244</v>
      </c>
      <c r="FH7" s="20">
        <f t="shared" si="22"/>
        <v>3.6788517633207305</v>
      </c>
      <c r="FI7" s="59">
        <f t="shared" si="23"/>
        <v>179.76497382749767</v>
      </c>
      <c r="FJ7" s="59">
        <f ca="1">AVERAGE(OFFSET($FI$3,0,0,'Données projet'!$E$16+1,1))-AVERAGE(OFFSET($H$3,0,0,'Données projet'!$E$16+1,1))</f>
        <v>214.31585175697521</v>
      </c>
      <c r="FK7" s="59">
        <f t="shared" si="48"/>
        <v>244.60383864821372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6.32</v>
      </c>
      <c r="FZ7" s="12">
        <f>IF('Données projet'!$A$244&gt;35,FZ6+FY7-GH6,IF(A7&lt;'Données projet'!$A$244,$FW$205^A7,IF(A7='Données projet'!$A$244,'Données projet'!$B$244,FZ6+FY7-GH6)))</f>
        <v>2.2479421670163826</v>
      </c>
      <c r="GA7" s="17">
        <f>FZ7*VLOOKUP('Données projet'!$B$17,Paramètres!$A$1:$I$89,3,0)*VLOOKUP('Données projet'!$B$17,Paramètres!$A$1:$I$89,5,0)</f>
        <v>1.788462788078234</v>
      </c>
      <c r="GB7" s="13">
        <f t="shared" si="49"/>
        <v>0.77027058235426116</v>
      </c>
      <c r="GC7" s="20">
        <f t="shared" si="25"/>
        <v>4.4564606201699286</v>
      </c>
      <c r="GD7" s="59">
        <f t="shared" si="26"/>
        <v>180.54258268434688</v>
      </c>
      <c r="GE7" s="59">
        <f ca="1">AVERAGE(OFFSET($GD$3,0,0,'Données projet'!$E$17+1,1))-AVERAGE(OFFSET($H$3,0,0,'Données projet'!$E$17+1,1))</f>
        <v>308.33954512886351</v>
      </c>
      <c r="GF7" s="59">
        <f t="shared" si="50"/>
        <v>408.79075392716277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184.07204435234064</v>
      </c>
      <c r="S8" s="59">
        <f ca="1">AVERAGE(OFFSET($R$3,0,0,'Données projet'!$E$9+1,1))-AVERAGE(OFFSET($H$3,0,0,'Données projet'!$E$9+1,1))</f>
        <v>342.84342155097613</v>
      </c>
      <c r="T8" s="59">
        <f t="shared" si="34"/>
        <v>565.68976940602215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3.04</v>
      </c>
      <c r="AI8" s="13">
        <f>IF('Données projet'!$A$62&gt;35,AI7+AH8-AQ7,IF(A8&lt;'Données projet'!$A$62,$AF$205^A8,IF(A8='Données projet'!$A$62,'Données projet'!$B$62,AI7+AH8-AQ7)))</f>
        <v>2.3777309915742486</v>
      </c>
      <c r="AJ8" s="13">
        <f>AI8*VLOOKUP('Données projet'!$B$10,Paramètres!$A$1:$I$89,3,0)*VLOOKUP('Données projet'!$B$10,Paramètres!$A$1:$I$89,5,0)</f>
        <v>2.2626488115820549</v>
      </c>
      <c r="AK8" s="13">
        <f t="shared" si="35"/>
        <v>0.94818216084735885</v>
      </c>
      <c r="AL8" s="20">
        <f t="shared" si="4"/>
        <v>5.5921972769812287</v>
      </c>
      <c r="AM8" s="59">
        <f t="shared" si="5"/>
        <v>184.38324515342859</v>
      </c>
      <c r="AN8" s="59">
        <f ca="1">AVERAGE(OFFSET($AM$3,0,0,'Données projet'!$E$10+1,1))-AVERAGE(OFFSET($H$3,0,0,'Données projet'!$E$10+1,1))</f>
        <v>320.33056209214476</v>
      </c>
      <c r="AO8" s="59">
        <f t="shared" si="36"/>
        <v>299.27200854723446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184.50637090529179</v>
      </c>
      <c r="BI8" s="59">
        <f ca="1">AVERAGE(OFFSET($BH$3,0,0,'Données projet'!$E$11+1,1))-AVERAGE(OFFSET($H$3,0,0,'Données projet'!$E$11+1,1))</f>
        <v>256.85706398254547</v>
      </c>
      <c r="BJ8" s="59">
        <f t="shared" si="38"/>
        <v>363.68094621014734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</v>
      </c>
      <c r="BY8" s="12">
        <f>IF('Données projet'!$A$114&gt;35,BY7+BX8-CG7,IF(A8&lt;'Données projet'!$A$114,$BV$205^A8,IF(A8='Données projet'!$A$114,'Données projet'!$B$114,BY7+BX8-CG7)))</f>
        <v>15</v>
      </c>
      <c r="BZ8" s="13">
        <f>BY8*VLOOKUP('Données projet'!$B$12,Paramètres!$A$1:$I$89,3,0)*VLOOKUP('Données projet'!$B$12,Paramètres!$A$1:$I$89,5,0)</f>
        <v>13.571999999999999</v>
      </c>
      <c r="CA8" s="13">
        <f t="shared" si="39"/>
        <v>4.6169606338501863</v>
      </c>
      <c r="CB8" s="20">
        <f t="shared" si="10"/>
        <v>31.679106437289075</v>
      </c>
      <c r="CC8" s="59">
        <f t="shared" si="11"/>
        <v>210.47015431373643</v>
      </c>
      <c r="CD8" s="59">
        <f ca="1">AVERAGE(OFFSET($CC$3,0,0,'Données projet'!$E$12+1,1))-AVERAGE(OFFSET($H$3,0,0,'Données projet'!$E$12+1,1))</f>
        <v>357.68828740212223</v>
      </c>
      <c r="CE8" s="59">
        <f t="shared" si="40"/>
        <v>236.76626845829483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6.32</v>
      </c>
      <c r="CT8" s="12">
        <f>IF('Données projet'!$A$140&gt;35,CT7+CS8-DB7,IF(A8&lt;'Données projet'!$A$140,$CQ$205^A8,IF(A8='Données projet'!$A$140,'Données projet'!$B$140,CT7+CS8-DB7)))</f>
        <v>2.7525259203889356</v>
      </c>
      <c r="CU8" s="17">
        <f>CT8*VLOOKUP('Données projet'!$B$13,Paramètres!$A$1:$I$89,3,0)*VLOOKUP('Données projet'!$B$13,Paramètres!$A$1:$I$89,5,0)</f>
        <v>1.8034549830388305</v>
      </c>
      <c r="CV8" s="13">
        <f t="shared" si="41"/>
        <v>0.77597318429199225</v>
      </c>
      <c r="CW8" s="20">
        <f t="shared" si="13"/>
        <v>4.4925040581011819</v>
      </c>
      <c r="CX8" s="59">
        <f t="shared" si="14"/>
        <v>183.28355193454854</v>
      </c>
      <c r="CY8" s="59">
        <f ca="1">AVERAGE(OFFSET($CX$3,0,0,'Données projet'!$E$13+1,1))-AVERAGE(OFFSET($H$3,0,0,'Données projet'!$E$13+1,1))</f>
        <v>220.18342986563667</v>
      </c>
      <c r="CZ8" s="59">
        <f t="shared" si="42"/>
        <v>347.84382145531163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</v>
      </c>
      <c r="DO8" s="12">
        <f>IF('Données projet'!$A$166&gt;35,DO7+DN8-DW7,IF(A8&lt;'Données projet'!$A$166,$DL$205^A8,IF(A8='Données projet'!$A$166,'Données projet'!$B$166,DO7+DN8-DW7)))</f>
        <v>15</v>
      </c>
      <c r="DP8" s="17">
        <f>DO8*VLOOKUP('Données projet'!$B$14,Paramètres!$A$1:$I$89,3,0)*VLOOKUP('Données projet'!$B$14,Paramètres!$A$1:$I$89,5,0)</f>
        <v>15.21</v>
      </c>
      <c r="DQ8" s="13">
        <f t="shared" si="43"/>
        <v>5.1060073826785333</v>
      </c>
      <c r="DR8" s="20">
        <f t="shared" si="16"/>
        <v>35.383712858165119</v>
      </c>
      <c r="DS8" s="59">
        <f t="shared" si="17"/>
        <v>214.17476073461248</v>
      </c>
      <c r="DT8" s="59">
        <f ca="1">AVERAGE(OFFSET($DS$3,0,0,'Données projet'!$E$14+1,1))-AVERAGE(OFFSET($H$3,0,0,'Données projet'!$E$14+1,1))</f>
        <v>392.49465607243178</v>
      </c>
      <c r="DU8" s="59">
        <f t="shared" si="44"/>
        <v>258.031856676031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3.04</v>
      </c>
      <c r="EJ8" s="12">
        <f>IF('Données projet'!$A$192&gt;35,EJ7+EI8-ER7,IF(A8&lt;'Données projet'!$A$192,$EG$205^A8,IF(A8='Données projet'!$A$192,'Données projet'!$B$192,EJ7+EI8-ER7)))</f>
        <v>2.3777309915742486</v>
      </c>
      <c r="EK8" s="17">
        <f>EJ8*VLOOKUP('Données projet'!$B$15,Paramètres!$A$1:$I$89,3,0)*VLOOKUP('Données projet'!$B$15,Paramètres!$A$1:$I$89,5,0)</f>
        <v>2.0400931907707056</v>
      </c>
      <c r="EL8" s="13">
        <f t="shared" si="45"/>
        <v>0.86528427337061464</v>
      </c>
      <c r="EM8" s="20">
        <f t="shared" si="19"/>
        <v>5.0601990833794659</v>
      </c>
      <c r="EN8" s="59">
        <f t="shared" si="20"/>
        <v>183.85124695982682</v>
      </c>
      <c r="EO8" s="59">
        <f ca="1">AVERAGE(OFFSET($EN$3,0,0,'Données projet'!$E$15+1,1))-AVERAGE(OFFSET($H$3,0,0,'Données projet'!$E$15+1,1))</f>
        <v>294.24530606293143</v>
      </c>
      <c r="EP8" s="59">
        <f t="shared" si="46"/>
        <v>275.88160405468193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3.04</v>
      </c>
      <c r="FE8" s="12">
        <f>IF('Données projet'!$A$218&gt;35,FE7+FD8-FM7,IF(A8&lt;'Données projet'!$A$218,$FB$205^A8,IF(A8='Données projet'!$A$218,'Données projet'!$B$218,FE7+FD8-FM7)))</f>
        <v>2.3777309915742486</v>
      </c>
      <c r="FF8" s="17">
        <f>FE8*VLOOKUP('Données projet'!$B$16,Paramètres!$A$1:$I$89,3,0)*VLOOKUP('Données projet'!$B$16,Paramètres!$A$1:$I$89,5,0)</f>
        <v>1.7433523630222392</v>
      </c>
      <c r="FG8" s="13">
        <f t="shared" si="47"/>
        <v>0.75307807755456757</v>
      </c>
      <c r="FH8" s="20">
        <f t="shared" si="22"/>
        <v>4.3479496840046048</v>
      </c>
      <c r="FI8" s="59">
        <f t="shared" si="23"/>
        <v>183.13899756045197</v>
      </c>
      <c r="FJ8" s="59">
        <f ca="1">AVERAGE(OFFSET($FI$3,0,0,'Données projet'!$E$16+1,1))-AVERAGE(OFFSET($H$3,0,0,'Données projet'!$E$16+1,1))</f>
        <v>214.31585175697521</v>
      </c>
      <c r="FK8" s="59">
        <f t="shared" si="48"/>
        <v>244.60383864821372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6.32</v>
      </c>
      <c r="FZ8" s="12">
        <f>IF('Données projet'!$A$244&gt;35,FZ7+FY8-GH7,IF(A8&lt;'Données projet'!$A$244,$FW$205^A8,IF(A8='Données projet'!$A$244,'Données projet'!$B$244,FZ7+FY8-GH7)))</f>
        <v>2.7525259203889356</v>
      </c>
      <c r="GA8" s="17">
        <f>FZ8*VLOOKUP('Données projet'!$B$17,Paramètres!$A$1:$I$89,3,0)*VLOOKUP('Données projet'!$B$17,Paramètres!$A$1:$I$89,5,0)</f>
        <v>2.1899096222614376</v>
      </c>
      <c r="GB8" s="13">
        <f t="shared" si="49"/>
        <v>0.92119728216451158</v>
      </c>
      <c r="GC8" s="20">
        <f t="shared" si="25"/>
        <v>5.4185111918751945</v>
      </c>
      <c r="GD8" s="59">
        <f t="shared" si="26"/>
        <v>184.20955906832253</v>
      </c>
      <c r="GE8" s="59">
        <f ca="1">AVERAGE(OFFSET($GD$3,0,0,'Données projet'!$E$17+1,1))-AVERAGE(OFFSET($H$3,0,0,'Données projet'!$E$17+1,1))</f>
        <v>308.33954512886351</v>
      </c>
      <c r="GF8" s="59">
        <f t="shared" si="50"/>
        <v>408.79075392716277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188.3098909356388</v>
      </c>
      <c r="S9" s="59">
        <f ca="1">AVERAGE(OFFSET($R$3,0,0,'Données projet'!$E$9+1,1))-AVERAGE(OFFSET($H$3,0,0,'Données projet'!$E$9+1,1))</f>
        <v>342.84342155097613</v>
      </c>
      <c r="T9" s="59">
        <f t="shared" si="34"/>
        <v>565.68976940602215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3.04</v>
      </c>
      <c r="AI9" s="13">
        <f>IF('Données projet'!$A$62&gt;35,AI8+AH9-AQ8,IF(A9&lt;'Données projet'!$A$62,$AF$205^A9,IF(A9='Données projet'!$A$62,'Données projet'!$B$62,AI8+AH9-AQ8)))</f>
        <v>2.8274521383528786</v>
      </c>
      <c r="AJ9" s="13">
        <f>AI9*VLOOKUP('Données projet'!$B$10,Paramètres!$A$1:$I$89,3,0)*VLOOKUP('Données projet'!$B$10,Paramètres!$A$1:$I$89,5,0)</f>
        <v>2.6906034548565994</v>
      </c>
      <c r="AK9" s="13">
        <f t="shared" si="35"/>
        <v>1.1050126653790848</v>
      </c>
      <c r="AL9" s="20">
        <f t="shared" si="4"/>
        <v>6.6106980760771501</v>
      </c>
      <c r="AM9" s="59">
        <f t="shared" si="5"/>
        <v>188.08095017233612</v>
      </c>
      <c r="AN9" s="59">
        <f ca="1">AVERAGE(OFFSET($AM$3,0,0,'Données projet'!$E$10+1,1))-AVERAGE(OFFSET($H$3,0,0,'Données projet'!$E$10+1,1))</f>
        <v>320.33056209214476</v>
      </c>
      <c r="AO9" s="59">
        <f t="shared" si="36"/>
        <v>299.27200854723446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188.83269627765648</v>
      </c>
      <c r="BI9" s="59">
        <f ca="1">AVERAGE(OFFSET($BH$3,0,0,'Données projet'!$E$11+1,1))-AVERAGE(OFFSET($H$3,0,0,'Données projet'!$E$11+1,1))</f>
        <v>256.85706398254547</v>
      </c>
      <c r="BJ9" s="59">
        <f t="shared" si="38"/>
        <v>363.68094621014734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</v>
      </c>
      <c r="BY9" s="12">
        <f>IF('Données projet'!$A$114&gt;35,BY8+BX9-CG8,IF(A9&lt;'Données projet'!$A$114,$BV$205^A9,IF(A9='Données projet'!$A$114,'Données projet'!$B$114,BY8+BX9-CG8)))</f>
        <v>18</v>
      </c>
      <c r="BZ9" s="13">
        <f>BY9*VLOOKUP('Données projet'!$B$12,Paramètres!$A$1:$I$89,3,0)*VLOOKUP('Données projet'!$B$12,Paramètres!$A$1:$I$89,5,0)</f>
        <v>16.2864</v>
      </c>
      <c r="CA9" s="13">
        <f t="shared" si="39"/>
        <v>5.4240129855342607</v>
      </c>
      <c r="CB9" s="20">
        <f t="shared" si="10"/>
        <v>37.812302616472174</v>
      </c>
      <c r="CC9" s="59">
        <f t="shared" si="11"/>
        <v>219.28255471273116</v>
      </c>
      <c r="CD9" s="59">
        <f ca="1">AVERAGE(OFFSET($CC$3,0,0,'Données projet'!$E$12+1,1))-AVERAGE(OFFSET($H$3,0,0,'Données projet'!$E$12+1,1))</f>
        <v>357.68828740212223</v>
      </c>
      <c r="CE9" s="59">
        <f t="shared" si="40"/>
        <v>236.76626845829483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6.32</v>
      </c>
      <c r="CT9" s="12">
        <f>IF('Données projet'!$A$140&gt;35,CT8+CS9-DB8,IF(A9&lt;'Données projet'!$A$140,$CQ$205^A9,IF(A9='Données projet'!$A$140,'Données projet'!$B$140,CT8+CS9-DB8)))</f>
        <v>3.3703709346174384</v>
      </c>
      <c r="CU9" s="17">
        <f>CT9*VLOOKUP('Données projet'!$B$13,Paramètres!$A$1:$I$89,3,0)*VLOOKUP('Données projet'!$B$13,Paramètres!$A$1:$I$89,5,0)</f>
        <v>2.2082670363613457</v>
      </c>
      <c r="CV9" s="13">
        <f t="shared" si="41"/>
        <v>0.92801725105161048</v>
      </c>
      <c r="CW9" s="20">
        <f t="shared" si="13"/>
        <v>5.4623618005775647</v>
      </c>
      <c r="CX9" s="59">
        <f t="shared" si="14"/>
        <v>186.93261389683653</v>
      </c>
      <c r="CY9" s="59">
        <f ca="1">AVERAGE(OFFSET($CX$3,0,0,'Données projet'!$E$13+1,1))-AVERAGE(OFFSET($H$3,0,0,'Données projet'!$E$13+1,1))</f>
        <v>220.18342986563667</v>
      </c>
      <c r="CZ9" s="59">
        <f t="shared" si="42"/>
        <v>347.84382145531163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</v>
      </c>
      <c r="DO9" s="12">
        <f>IF('Données projet'!$A$166&gt;35,DO8+DN9-DW8,IF(A9&lt;'Données projet'!$A$166,$DL$205^A9,IF(A9='Données projet'!$A$166,'Données projet'!$B$166,DO8+DN9-DW8)))</f>
        <v>18</v>
      </c>
      <c r="DP9" s="17">
        <f>DO9*VLOOKUP('Données projet'!$B$14,Paramètres!$A$1:$I$89,3,0)*VLOOKUP('Données projet'!$B$14,Paramètres!$A$1:$I$89,5,0)</f>
        <v>18.252000000000002</v>
      </c>
      <c r="DQ9" s="13">
        <f t="shared" si="43"/>
        <v>5.9985459145634135</v>
      </c>
      <c r="DR9" s="20">
        <f t="shared" si="16"/>
        <v>42.236367467864618</v>
      </c>
      <c r="DS9" s="59">
        <f t="shared" si="17"/>
        <v>223.7066195641236</v>
      </c>
      <c r="DT9" s="59">
        <f ca="1">AVERAGE(OFFSET($DS$3,0,0,'Données projet'!$E$14+1,1))-AVERAGE(OFFSET($H$3,0,0,'Données projet'!$E$14+1,1))</f>
        <v>392.49465607243178</v>
      </c>
      <c r="DU9" s="59">
        <f t="shared" si="44"/>
        <v>258.031856676031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3.04</v>
      </c>
      <c r="EJ9" s="12">
        <f>IF('Données projet'!$A$192&gt;35,EJ8+EI9-ER8,IF(A9&lt;'Données projet'!$A$192,$EG$205^A9,IF(A9='Données projet'!$A$192,'Données projet'!$B$192,EJ8+EI9-ER8)))</f>
        <v>2.8274521383528786</v>
      </c>
      <c r="EK9" s="17">
        <f>EJ9*VLOOKUP('Données projet'!$B$15,Paramètres!$A$1:$I$89,3,0)*VLOOKUP('Données projet'!$B$15,Paramètres!$A$1:$I$89,5,0)</f>
        <v>2.42595393470677</v>
      </c>
      <c r="EL9" s="13">
        <f t="shared" si="45"/>
        <v>1.008403364574364</v>
      </c>
      <c r="EM9" s="20">
        <f t="shared" si="19"/>
        <v>5.9815056295813074</v>
      </c>
      <c r="EN9" s="59">
        <f t="shared" si="20"/>
        <v>187.45175772584028</v>
      </c>
      <c r="EO9" s="59">
        <f ca="1">AVERAGE(OFFSET($EN$3,0,0,'Données projet'!$E$15+1,1))-AVERAGE(OFFSET($H$3,0,0,'Données projet'!$E$15+1,1))</f>
        <v>294.24530606293143</v>
      </c>
      <c r="EP9" s="59">
        <f t="shared" si="46"/>
        <v>275.88160405468193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3.04</v>
      </c>
      <c r="FE9" s="12">
        <f>IF('Données projet'!$A$218&gt;35,FE8+FD9-FM8,IF(A9&lt;'Données projet'!$A$218,$FB$205^A9,IF(A9='Données projet'!$A$218,'Données projet'!$B$218,FE8+FD9-FM8)))</f>
        <v>2.8274521383528786</v>
      </c>
      <c r="FF9" s="17">
        <f>FE9*VLOOKUP('Données projet'!$B$16,Paramètres!$A$1:$I$89,3,0)*VLOOKUP('Données projet'!$B$16,Paramètres!$A$1:$I$89,5,0)</f>
        <v>2.0730879078403306</v>
      </c>
      <c r="FG9" s="13">
        <f t="shared" si="47"/>
        <v>0.87763812490782944</v>
      </c>
      <c r="FH9" s="20">
        <f t="shared" si="22"/>
        <v>5.1391811737030455</v>
      </c>
      <c r="FI9" s="59">
        <f t="shared" si="23"/>
        <v>186.60943326996201</v>
      </c>
      <c r="FJ9" s="59">
        <f ca="1">AVERAGE(OFFSET($FI$3,0,0,'Données projet'!$E$16+1,1))-AVERAGE(OFFSET($H$3,0,0,'Données projet'!$E$16+1,1))</f>
        <v>214.31585175697521</v>
      </c>
      <c r="FK9" s="59">
        <f t="shared" si="48"/>
        <v>244.60383864821372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6.32</v>
      </c>
      <c r="FZ9" s="12">
        <f>IF('Données projet'!$A$244&gt;35,FZ8+FY9-GH8,IF(A9&lt;'Données projet'!$A$244,$FW$205^A9,IF(A9='Données projet'!$A$244,'Données projet'!$B$244,FZ8+FY9-GH8)))</f>
        <v>3.3703709346174384</v>
      </c>
      <c r="GA9" s="17">
        <f>FZ9*VLOOKUP('Données projet'!$B$17,Paramètres!$A$1:$I$89,3,0)*VLOOKUP('Données projet'!$B$17,Paramètres!$A$1:$I$89,5,0)</f>
        <v>2.6814671155816341</v>
      </c>
      <c r="GB9" s="13">
        <f t="shared" si="49"/>
        <v>1.1016965363958218</v>
      </c>
      <c r="GC9" s="20">
        <f t="shared" si="25"/>
        <v>6.5890100271940684</v>
      </c>
      <c r="GD9" s="59">
        <f t="shared" si="26"/>
        <v>188.05926212345304</v>
      </c>
      <c r="GE9" s="59">
        <f ca="1">AVERAGE(OFFSET($GD$3,0,0,'Données projet'!$E$17+1,1))-AVERAGE(OFFSET($H$3,0,0,'Données projet'!$E$17+1,1))</f>
        <v>308.33954512886351</v>
      </c>
      <c r="GF9" s="59">
        <f t="shared" si="50"/>
        <v>408.79075392716277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192.98425555211116</v>
      </c>
      <c r="S10" s="59">
        <f ca="1">AVERAGE(OFFSET($R$3,0,0,'Données projet'!$E$9+1,1))-AVERAGE(OFFSET($H$3,0,0,'Données projet'!$E$9+1,1))</f>
        <v>342.84342155097613</v>
      </c>
      <c r="T10" s="59">
        <f t="shared" si="34"/>
        <v>565.68976940602215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3.04</v>
      </c>
      <c r="AI10" s="13">
        <f>IF('Données projet'!$A$62&gt;35,AI9+AH10-AQ9,IF(A10&lt;'Données projet'!$A$62,$AF$205^A10,IF(A10='Données projet'!$A$62,'Données projet'!$B$62,AI9+AH10-AQ9)))</f>
        <v>3.3622329956608237</v>
      </c>
      <c r="AJ10" s="13">
        <f>AI10*VLOOKUP('Données projet'!$B$10,Paramètres!$A$1:$I$89,3,0)*VLOOKUP('Données projet'!$B$10,Paramètres!$A$1:$I$89,5,0)</f>
        <v>3.1995009186708399</v>
      </c>
      <c r="AK10" s="13">
        <f t="shared" si="35"/>
        <v>1.2877831297279159</v>
      </c>
      <c r="AL10" s="20">
        <f t="shared" si="4"/>
        <v>7.8153530509611668</v>
      </c>
      <c r="AM10" s="59">
        <f t="shared" si="5"/>
        <v>191.9395339866974</v>
      </c>
      <c r="AN10" s="59">
        <f ca="1">AVERAGE(OFFSET($AM$3,0,0,'Données projet'!$E$10+1,1))-AVERAGE(OFFSET($H$3,0,0,'Données projet'!$E$10+1,1))</f>
        <v>320.33056209214476</v>
      </c>
      <c r="AO10" s="59">
        <f t="shared" si="36"/>
        <v>299.27200854723446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193.61024906137334</v>
      </c>
      <c r="BI10" s="59">
        <f ca="1">AVERAGE(OFFSET($BH$3,0,0,'Données projet'!$E$11+1,1))-AVERAGE(OFFSET($H$3,0,0,'Données projet'!$E$11+1,1))</f>
        <v>256.85706398254547</v>
      </c>
      <c r="BJ10" s="59">
        <f t="shared" si="38"/>
        <v>363.68094621014734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</v>
      </c>
      <c r="BY10" s="12">
        <f>IF('Données projet'!$A$114&gt;35,BY9+BX10-CG9,IF(A10&lt;'Données projet'!$A$114,$BV$205^A10,IF(A10='Données projet'!$A$114,'Données projet'!$B$114,BY9+BX10-CG9)))</f>
        <v>21</v>
      </c>
      <c r="BZ10" s="13">
        <f>BY10*VLOOKUP('Données projet'!$B$12,Paramètres!$A$1:$I$89,3,0)*VLOOKUP('Données projet'!$B$12,Paramètres!$A$1:$I$89,5,0)</f>
        <v>19.000800000000002</v>
      </c>
      <c r="CA10" s="13">
        <f t="shared" si="39"/>
        <v>6.2154833000252001</v>
      </c>
      <c r="CB10" s="20">
        <f t="shared" si="10"/>
        <v>43.918360080877228</v>
      </c>
      <c r="CC10" s="59">
        <f t="shared" si="11"/>
        <v>228.04254101661346</v>
      </c>
      <c r="CD10" s="59">
        <f ca="1">AVERAGE(OFFSET($CC$3,0,0,'Données projet'!$E$12+1,1))-AVERAGE(OFFSET($H$3,0,0,'Données projet'!$E$12+1,1))</f>
        <v>357.68828740212223</v>
      </c>
      <c r="CE10" s="59">
        <f t="shared" si="40"/>
        <v>236.76626845829483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6.32</v>
      </c>
      <c r="CT10" s="12">
        <f>IF('Données projet'!$A$140&gt;35,CT9+CS10-DB9,IF(A10&lt;'Données projet'!$A$140,$CQ$205^A10,IF(A10='Données projet'!$A$140,'Données projet'!$B$140,CT9+CS10-DB9)))</f>
        <v>4.1269003691376422</v>
      </c>
      <c r="CU10" s="17">
        <f>CT10*VLOOKUP('Données projet'!$B$13,Paramètres!$A$1:$I$89,3,0)*VLOOKUP('Données projet'!$B$13,Paramètres!$A$1:$I$89,5,0)</f>
        <v>2.7039451218589834</v>
      </c>
      <c r="CV10" s="13">
        <f t="shared" si="41"/>
        <v>1.1098528089410364</v>
      </c>
      <c r="CW10" s="20">
        <f t="shared" si="13"/>
        <v>6.642364729476701</v>
      </c>
      <c r="CX10" s="59">
        <f t="shared" si="14"/>
        <v>190.76654566521293</v>
      </c>
      <c r="CY10" s="59">
        <f ca="1">AVERAGE(OFFSET($CX$3,0,0,'Données projet'!$E$13+1,1))-AVERAGE(OFFSET($H$3,0,0,'Données projet'!$E$13+1,1))</f>
        <v>220.18342986563667</v>
      </c>
      <c r="CZ10" s="59">
        <f t="shared" si="42"/>
        <v>347.84382145531163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</v>
      </c>
      <c r="DO10" s="12">
        <f>IF('Données projet'!$A$166&gt;35,DO9+DN10-DW9,IF(A10&lt;'Données projet'!$A$166,$DL$205^A10,IF(A10='Données projet'!$A$166,'Données projet'!$B$166,DO9+DN10-DW9)))</f>
        <v>21</v>
      </c>
      <c r="DP10" s="17">
        <f>DO10*VLOOKUP('Données projet'!$B$14,Paramètres!$A$1:$I$89,3,0)*VLOOKUP('Données projet'!$B$14,Paramètres!$A$1:$I$89,5,0)</f>
        <v>21.294</v>
      </c>
      <c r="DQ10" s="13">
        <f t="shared" si="43"/>
        <v>6.8738518981865706</v>
      </c>
      <c r="DR10" s="20">
        <f t="shared" si="16"/>
        <v>49.059008722674939</v>
      </c>
      <c r="DS10" s="59">
        <f t="shared" si="17"/>
        <v>233.18318965841118</v>
      </c>
      <c r="DT10" s="59">
        <f ca="1">AVERAGE(OFFSET($DS$3,0,0,'Données projet'!$E$14+1,1))-AVERAGE(OFFSET($H$3,0,0,'Données projet'!$E$14+1,1))</f>
        <v>392.49465607243178</v>
      </c>
      <c r="DU10" s="59">
        <f t="shared" si="44"/>
        <v>258.031856676031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3.04</v>
      </c>
      <c r="EJ10" s="12">
        <f>IF('Données projet'!$A$192&gt;35,EJ9+EI10-ER9,IF(A10&lt;'Données projet'!$A$192,$EG$205^A10,IF(A10='Données projet'!$A$192,'Données projet'!$B$192,EJ9+EI10-ER9)))</f>
        <v>3.3622329956608237</v>
      </c>
      <c r="EK10" s="17">
        <f>EJ10*VLOOKUP('Données projet'!$B$15,Paramètres!$A$1:$I$89,3,0)*VLOOKUP('Données projet'!$B$15,Paramètres!$A$1:$I$89,5,0)</f>
        <v>2.8847959102769871</v>
      </c>
      <c r="EL10" s="13">
        <f t="shared" si="45"/>
        <v>1.1751945308375598</v>
      </c>
      <c r="EM10" s="20">
        <f t="shared" si="19"/>
        <v>7.0711500182745013</v>
      </c>
      <c r="EN10" s="59">
        <f t="shared" si="20"/>
        <v>191.19533095401073</v>
      </c>
      <c r="EO10" s="59">
        <f ca="1">AVERAGE(OFFSET($EN$3,0,0,'Données projet'!$E$15+1,1))-AVERAGE(OFFSET($H$3,0,0,'Données projet'!$E$15+1,1))</f>
        <v>294.24530606293143</v>
      </c>
      <c r="EP10" s="59">
        <f t="shared" si="46"/>
        <v>275.88160405468193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3.04</v>
      </c>
      <c r="FE10" s="12">
        <f>IF('Données projet'!$A$218&gt;35,FE9+FD10-FM9,IF(A10&lt;'Données projet'!$A$218,$FB$205^A10,IF(A10='Données projet'!$A$218,'Données projet'!$B$218,FE9+FD10-FM9)))</f>
        <v>3.3622329956608237</v>
      </c>
      <c r="FF10" s="17">
        <f>FE10*VLOOKUP('Données projet'!$B$16,Paramètres!$A$1:$I$89,3,0)*VLOOKUP('Données projet'!$B$16,Paramètres!$A$1:$I$89,5,0)</f>
        <v>2.4651892324185156</v>
      </c>
      <c r="FG10" s="13">
        <f t="shared" si="47"/>
        <v>1.0228005584665545</v>
      </c>
      <c r="FH10" s="20">
        <f t="shared" si="22"/>
        <v>6.0749155524581626</v>
      </c>
      <c r="FI10" s="59">
        <f t="shared" si="23"/>
        <v>190.19909648819439</v>
      </c>
      <c r="FJ10" s="59">
        <f ca="1">AVERAGE(OFFSET($FI$3,0,0,'Données projet'!$E$16+1,1))-AVERAGE(OFFSET($H$3,0,0,'Données projet'!$E$16+1,1))</f>
        <v>214.31585175697521</v>
      </c>
      <c r="FK10" s="59">
        <f t="shared" si="48"/>
        <v>244.60383864821372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6.32</v>
      </c>
      <c r="FZ10" s="12">
        <f>IF('Données projet'!$A$244&gt;35,FZ9+FY10-GH9,IF(A10&lt;'Données projet'!$A$244,$FW$205^A10,IF(A10='Données projet'!$A$244,'Données projet'!$B$244,FZ9+FY10-GH9)))</f>
        <v>4.1269003691376422</v>
      </c>
      <c r="GA10" s="17">
        <f>FZ10*VLOOKUP('Données projet'!$B$17,Paramètres!$A$1:$I$89,3,0)*VLOOKUP('Données projet'!$B$17,Paramètres!$A$1:$I$89,5,0)</f>
        <v>3.2833619336859079</v>
      </c>
      <c r="GB10" s="13">
        <f t="shared" si="49"/>
        <v>1.3175627868274542</v>
      </c>
      <c r="GC10" s="20">
        <f t="shared" si="25"/>
        <v>8.0132772215607719</v>
      </c>
      <c r="GD10" s="59">
        <f t="shared" si="26"/>
        <v>192.137458157297</v>
      </c>
      <c r="GE10" s="59">
        <f ca="1">AVERAGE(OFFSET($GD$3,0,0,'Données projet'!$E$17+1,1))-AVERAGE(OFFSET($H$3,0,0,'Données projet'!$E$17+1,1))</f>
        <v>308.33954512886351</v>
      </c>
      <c r="GF10" s="59">
        <f t="shared" si="50"/>
        <v>408.79075392716277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198.2328888554288</v>
      </c>
      <c r="S11" s="59">
        <f ca="1">AVERAGE(OFFSET($R$3,0,0,'Données projet'!$E$9+1,1))-AVERAGE(OFFSET($H$3,0,0,'Données projet'!$E$9+1,1))</f>
        <v>342.84342155097613</v>
      </c>
      <c r="T11" s="59">
        <f t="shared" si="34"/>
        <v>565.68976940602215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3.04</v>
      </c>
      <c r="AI11" s="13">
        <f>IF('Données projet'!$A$62&gt;35,AI10+AH11-AQ10,IF(A11&lt;'Données projet'!$A$62,$AF$205^A11,IF(A11='Données projet'!$A$62,'Données projet'!$B$62,AI10+AH11-AQ10)))</f>
        <v>3.9981616536560769</v>
      </c>
      <c r="AJ11" s="13">
        <f>AI11*VLOOKUP('Données projet'!$B$10,Paramètres!$A$1:$I$89,3,0)*VLOOKUP('Données projet'!$B$10,Paramètres!$A$1:$I$89,5,0)</f>
        <v>3.8046506296191231</v>
      </c>
      <c r="AK11" s="13">
        <f t="shared" si="35"/>
        <v>1.5007840553962346</v>
      </c>
      <c r="AL11" s="20">
        <f t="shared" si="4"/>
        <v>9.2402987430684149</v>
      </c>
      <c r="AM11" s="59">
        <f t="shared" si="5"/>
        <v>195.99357160928898</v>
      </c>
      <c r="AN11" s="59">
        <f ca="1">AVERAGE(OFFSET($AM$3,0,0,'Données projet'!$E$10+1,1))-AVERAGE(OFFSET($H$3,0,0,'Données projet'!$E$10+1,1))</f>
        <v>320.33056209214476</v>
      </c>
      <c r="AO11" s="59">
        <f t="shared" si="36"/>
        <v>299.27200854723446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198.97780858821872</v>
      </c>
      <c r="BI11" s="59">
        <f ca="1">AVERAGE(OFFSET($BH$3,0,0,'Données projet'!$E$11+1,1))-AVERAGE(OFFSET($H$3,0,0,'Données projet'!$E$11+1,1))</f>
        <v>256.85706398254547</v>
      </c>
      <c r="BJ11" s="59">
        <f t="shared" si="38"/>
        <v>363.68094621014734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</v>
      </c>
      <c r="BY11" s="12">
        <f>IF('Données projet'!$A$114&gt;35,BY10+BX11-CG10,IF(A11&lt;'Données projet'!$A$114,$BV$205^A11,IF(A11='Données projet'!$A$114,'Données projet'!$B$114,BY10+BX11-CG10)))</f>
        <v>24</v>
      </c>
      <c r="BZ11" s="13">
        <f>BY11*VLOOKUP('Données projet'!$B$12,Paramètres!$A$1:$I$89,3,0)*VLOOKUP('Données projet'!$B$12,Paramètres!$A$1:$I$89,5,0)</f>
        <v>21.715199999999999</v>
      </c>
      <c r="CA11" s="13">
        <f t="shared" si="39"/>
        <v>6.9938544235075568</v>
      </c>
      <c r="CB11" s="20">
        <f t="shared" si="10"/>
        <v>50.00160312094232</v>
      </c>
      <c r="CC11" s="59">
        <f t="shared" si="11"/>
        <v>236.75487598716288</v>
      </c>
      <c r="CD11" s="59">
        <f ca="1">AVERAGE(OFFSET($CC$3,0,0,'Données projet'!$E$12+1,1))-AVERAGE(OFFSET($H$3,0,0,'Données projet'!$E$12+1,1))</f>
        <v>357.68828740212223</v>
      </c>
      <c r="CE11" s="59">
        <f t="shared" si="40"/>
        <v>236.76626845829483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6.32</v>
      </c>
      <c r="CT11" s="12">
        <f>IF('Données projet'!$A$140&gt;35,CT10+CS11-DB10,IF(A11&lt;'Données projet'!$A$140,$CQ$205^A11,IF(A11='Données projet'!$A$140,'Données projet'!$B$140,CT10+CS11-DB10)))</f>
        <v>5.05324398625031</v>
      </c>
      <c r="CU11" s="17">
        <f>CT11*VLOOKUP('Données projet'!$B$13,Paramètres!$A$1:$I$89,3,0)*VLOOKUP('Données projet'!$B$13,Paramètres!$A$1:$I$89,5,0)</f>
        <v>3.3108854597912032</v>
      </c>
      <c r="CV11" s="13">
        <f t="shared" si="41"/>
        <v>1.3273171981646759</v>
      </c>
      <c r="CW11" s="20">
        <f t="shared" si="13"/>
        <v>8.078202962606488</v>
      </c>
      <c r="CX11" s="59">
        <f t="shared" si="14"/>
        <v>194.83147582882705</v>
      </c>
      <c r="CY11" s="59">
        <f ca="1">AVERAGE(OFFSET($CX$3,0,0,'Données projet'!$E$13+1,1))-AVERAGE(OFFSET($H$3,0,0,'Données projet'!$E$13+1,1))</f>
        <v>220.18342986563667</v>
      </c>
      <c r="CZ11" s="59">
        <f t="shared" si="42"/>
        <v>347.84382145531163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</v>
      </c>
      <c r="DO11" s="12">
        <f>IF('Données projet'!$A$166&gt;35,DO10+DN11-DW10,IF(A11&lt;'Données projet'!$A$166,$DL$205^A11,IF(A11='Données projet'!$A$166,'Données projet'!$B$166,DO10+DN11-DW10)))</f>
        <v>24</v>
      </c>
      <c r="DP11" s="17">
        <f>DO11*VLOOKUP('Données projet'!$B$14,Paramètres!$A$1:$I$89,3,0)*VLOOKUP('Données projet'!$B$14,Paramètres!$A$1:$I$89,5,0)</f>
        <v>24.336000000000002</v>
      </c>
      <c r="DQ11" s="13">
        <f t="shared" si="43"/>
        <v>7.7346711726299766</v>
      </c>
      <c r="DR11" s="20">
        <f t="shared" si="16"/>
        <v>55.85641895899721</v>
      </c>
      <c r="DS11" s="59">
        <f t="shared" si="17"/>
        <v>242.60969182521777</v>
      </c>
      <c r="DT11" s="59">
        <f ca="1">AVERAGE(OFFSET($DS$3,0,0,'Données projet'!$E$14+1,1))-AVERAGE(OFFSET($H$3,0,0,'Données projet'!$E$14+1,1))</f>
        <v>392.49465607243178</v>
      </c>
      <c r="DU11" s="59">
        <f t="shared" si="44"/>
        <v>258.031856676031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3.04</v>
      </c>
      <c r="EJ11" s="12">
        <f>IF('Données projet'!$A$192&gt;35,EJ10+EI11-ER10,IF(A11&lt;'Données projet'!$A$192,$EG$205^A11,IF(A11='Données projet'!$A$192,'Données projet'!$B$192,EJ10+EI11-ER10)))</f>
        <v>3.9981616536560769</v>
      </c>
      <c r="EK11" s="17">
        <f>EJ11*VLOOKUP('Données projet'!$B$15,Paramètres!$A$1:$I$89,3,0)*VLOOKUP('Données projet'!$B$15,Paramètres!$A$1:$I$89,5,0)</f>
        <v>3.4304226988369146</v>
      </c>
      <c r="EL11" s="13">
        <f t="shared" si="45"/>
        <v>1.3695731627129697</v>
      </c>
      <c r="EM11" s="20">
        <f t="shared" si="19"/>
        <v>8.3599927921993835</v>
      </c>
      <c r="EN11" s="59">
        <f t="shared" si="20"/>
        <v>195.11326565841995</v>
      </c>
      <c r="EO11" s="59">
        <f ca="1">AVERAGE(OFFSET($EN$3,0,0,'Données projet'!$E$15+1,1))-AVERAGE(OFFSET($H$3,0,0,'Données projet'!$E$15+1,1))</f>
        <v>294.24530606293143</v>
      </c>
      <c r="EP11" s="59">
        <f t="shared" si="46"/>
        <v>275.88160405468193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3.04</v>
      </c>
      <c r="FE11" s="12">
        <f>IF('Données projet'!$A$218&gt;35,FE10+FD11-FM10,IF(A11&lt;'Données projet'!$A$218,$FB$205^A11,IF(A11='Données projet'!$A$218,'Données projet'!$B$218,FE10+FD11-FM10)))</f>
        <v>3.9981616536560769</v>
      </c>
      <c r="FF11" s="17">
        <f>FE11*VLOOKUP('Données projet'!$B$16,Paramètres!$A$1:$I$89,3,0)*VLOOKUP('Données projet'!$B$16,Paramètres!$A$1:$I$89,5,0)</f>
        <v>2.9314521244606353</v>
      </c>
      <c r="FG11" s="13">
        <f t="shared" si="47"/>
        <v>1.1919730384426501</v>
      </c>
      <c r="FH11" s="20">
        <f t="shared" si="22"/>
        <v>7.1816321587232217</v>
      </c>
      <c r="FI11" s="59">
        <f t="shared" si="23"/>
        <v>193.93490502494379</v>
      </c>
      <c r="FJ11" s="59">
        <f ca="1">AVERAGE(OFFSET($FI$3,0,0,'Données projet'!$E$16+1,1))-AVERAGE(OFFSET($H$3,0,0,'Données projet'!$E$16+1,1))</f>
        <v>214.31585175697521</v>
      </c>
      <c r="FK11" s="59">
        <f t="shared" si="48"/>
        <v>244.60383864821372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6.32</v>
      </c>
      <c r="FZ11" s="12">
        <f>IF('Données projet'!$A$244&gt;35,FZ10+FY11-GH10,IF(A11&lt;'Données projet'!$A$244,$FW$205^A11,IF(A11='Données projet'!$A$244,'Données projet'!$B$244,FZ10+FY11-GH10)))</f>
        <v>5.05324398625031</v>
      </c>
      <c r="GA11" s="17">
        <f>FZ11*VLOOKUP('Données projet'!$B$17,Paramètres!$A$1:$I$89,3,0)*VLOOKUP('Données projet'!$B$17,Paramètres!$A$1:$I$89,5,0)</f>
        <v>4.0203609154607474</v>
      </c>
      <c r="GB11" s="13">
        <f t="shared" si="49"/>
        <v>1.5757258372725083</v>
      </c>
      <c r="GC11" s="20">
        <f t="shared" si="25"/>
        <v>9.7465177610104199</v>
      </c>
      <c r="GD11" s="59">
        <f t="shared" si="26"/>
        <v>196.49979062723096</v>
      </c>
      <c r="GE11" s="59">
        <f ca="1">AVERAGE(OFFSET($GD$3,0,0,'Données projet'!$E$17+1,1))-AVERAGE(OFFSET($H$3,0,0,'Données projet'!$E$17+1,1))</f>
        <v>308.33954512886351</v>
      </c>
      <c r="GF11" s="59">
        <f t="shared" si="50"/>
        <v>408.79075392716277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204.23449925454133</v>
      </c>
      <c r="S12" s="59">
        <f ca="1">AVERAGE(OFFSET($R$3,0,0,'Données projet'!$E$9+1,1))-AVERAGE(OFFSET($H$3,0,0,'Données projet'!$E$9+1,1))</f>
        <v>342.84342155097613</v>
      </c>
      <c r="T12" s="59">
        <f t="shared" si="34"/>
        <v>565.68976940602215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3.04</v>
      </c>
      <c r="AI12" s="13">
        <f>IF('Données projet'!$A$62&gt;35,AI11+AH12-AQ11,IF(A12&lt;'Données projet'!$A$62,$AF$205^A12,IF(A12='Données projet'!$A$62,'Données projet'!$B$62,AI11+AH12-AQ11)))</f>
        <v>4.7543690842948543</v>
      </c>
      <c r="AJ12" s="13">
        <f>AI12*VLOOKUP('Données projet'!$B$10,Paramètres!$A$1:$I$89,3,0)*VLOOKUP('Données projet'!$B$10,Paramètres!$A$1:$I$89,5,0)</f>
        <v>4.5242576206149829</v>
      </c>
      <c r="AK12" s="13">
        <f t="shared" si="35"/>
        <v>1.7490155981523443</v>
      </c>
      <c r="AL12" s="20">
        <f t="shared" si="4"/>
        <v>10.925950856019762</v>
      </c>
      <c r="AM12" s="59">
        <f t="shared" si="5"/>
        <v>200.28390960857584</v>
      </c>
      <c r="AN12" s="59">
        <f ca="1">AVERAGE(OFFSET($AM$3,0,0,'Données projet'!$E$10+1,1))-AVERAGE(OFFSET($H$3,0,0,'Données projet'!$E$10+1,1))</f>
        <v>320.33056209214476</v>
      </c>
      <c r="AO12" s="59">
        <f t="shared" si="36"/>
        <v>299.27200854723446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205.11444311640363</v>
      </c>
      <c r="BI12" s="59">
        <f ca="1">AVERAGE(OFFSET($BH$3,0,0,'Données projet'!$E$11+1,1))-AVERAGE(OFFSET($H$3,0,0,'Données projet'!$E$11+1,1))</f>
        <v>256.85706398254547</v>
      </c>
      <c r="BJ12" s="59">
        <f t="shared" si="38"/>
        <v>363.68094621014734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</v>
      </c>
      <c r="BY12" s="12">
        <f>IF('Données projet'!$A$114&gt;35,BY11+BX12-CG11,IF(A12&lt;'Données projet'!$A$114,$BV$205^A12,IF(A12='Données projet'!$A$114,'Données projet'!$B$114,BY11+BX12-CG11)))</f>
        <v>27</v>
      </c>
      <c r="BZ12" s="13">
        <f>BY12*VLOOKUP('Données projet'!$B$12,Paramètres!$A$1:$I$89,3,0)*VLOOKUP('Données projet'!$B$12,Paramètres!$A$1:$I$89,5,0)</f>
        <v>24.429599999999997</v>
      </c>
      <c r="CA12" s="13">
        <f t="shared" si="39"/>
        <v>7.7609512795113149</v>
      </c>
      <c r="CB12" s="20">
        <f t="shared" si="10"/>
        <v>56.06521014514886</v>
      </c>
      <c r="CC12" s="59">
        <f t="shared" si="11"/>
        <v>245.42316889770493</v>
      </c>
      <c r="CD12" s="59">
        <f ca="1">AVERAGE(OFFSET($CC$3,0,0,'Données projet'!$E$12+1,1))-AVERAGE(OFFSET($H$3,0,0,'Données projet'!$E$12+1,1))</f>
        <v>357.68828740212223</v>
      </c>
      <c r="CE12" s="59">
        <f t="shared" si="40"/>
        <v>236.76626845829483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6.32</v>
      </c>
      <c r="CT12" s="12">
        <f>IF('Données projet'!$A$140&gt;35,CT11+CS12-DB11,IF(A12&lt;'Données projet'!$A$140,$CQ$205^A12,IF(A12='Données projet'!$A$140,'Données projet'!$B$140,CT11+CS12-DB11)))</f>
        <v>6.1875190822478663</v>
      </c>
      <c r="CU12" s="17">
        <f>CT12*VLOOKUP('Données projet'!$B$13,Paramètres!$A$1:$I$89,3,0)*VLOOKUP('Données projet'!$B$13,Paramètres!$A$1:$I$89,5,0)</f>
        <v>4.0540625026888018</v>
      </c>
      <c r="CV12" s="13">
        <f t="shared" si="41"/>
        <v>1.5873915264716187</v>
      </c>
      <c r="CW12" s="20">
        <f t="shared" si="13"/>
        <v>9.8255324341210653</v>
      </c>
      <c r="CX12" s="59">
        <f t="shared" si="14"/>
        <v>199.18349118667714</v>
      </c>
      <c r="CY12" s="59">
        <f ca="1">AVERAGE(OFFSET($CX$3,0,0,'Données projet'!$E$13+1,1))-AVERAGE(OFFSET($H$3,0,0,'Données projet'!$E$13+1,1))</f>
        <v>220.18342986563667</v>
      </c>
      <c r="CZ12" s="59">
        <f t="shared" si="42"/>
        <v>347.84382145531163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</v>
      </c>
      <c r="DO12" s="12">
        <f>IF('Données projet'!$A$166&gt;35,DO11+DN12-DW11,IF(A12&lt;'Données projet'!$A$166,$DL$205^A12,IF(A12='Données projet'!$A$166,'Données projet'!$B$166,DO11+DN12-DW11)))</f>
        <v>27</v>
      </c>
      <c r="DP12" s="17">
        <f>DO12*VLOOKUP('Données projet'!$B$14,Paramètres!$A$1:$I$89,3,0)*VLOOKUP('Données projet'!$B$14,Paramètres!$A$1:$I$89,5,0)</f>
        <v>27.378000000000004</v>
      </c>
      <c r="DQ12" s="13">
        <f t="shared" si="43"/>
        <v>8.5830219645487738</v>
      </c>
      <c r="DR12" s="20">
        <f t="shared" si="16"/>
        <v>62.632113254922452</v>
      </c>
      <c r="DS12" s="59">
        <f t="shared" si="17"/>
        <v>251.99007200747852</v>
      </c>
      <c r="DT12" s="59">
        <f ca="1">AVERAGE(OFFSET($DS$3,0,0,'Données projet'!$E$14+1,1))-AVERAGE(OFFSET($H$3,0,0,'Données projet'!$E$14+1,1))</f>
        <v>392.49465607243178</v>
      </c>
      <c r="DU12" s="59">
        <f t="shared" si="44"/>
        <v>258.031856676031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3.04</v>
      </c>
      <c r="EJ12" s="12">
        <f>IF('Données projet'!$A$192&gt;35,EJ11+EI12-ER11,IF(A12&lt;'Données projet'!$A$192,$EG$205^A12,IF(A12='Données projet'!$A$192,'Données projet'!$B$192,EJ11+EI12-ER11)))</f>
        <v>4.7543690842948543</v>
      </c>
      <c r="EK12" s="17">
        <f>EJ12*VLOOKUP('Données projet'!$B$15,Paramètres!$A$1:$I$89,3,0)*VLOOKUP('Données projet'!$B$15,Paramètres!$A$1:$I$89,5,0)</f>
        <v>4.0792486743249849</v>
      </c>
      <c r="EL12" s="13">
        <f t="shared" si="45"/>
        <v>1.5961022612033224</v>
      </c>
      <c r="EM12" s="20">
        <f t="shared" si="19"/>
        <v>9.8845695460451353</v>
      </c>
      <c r="EN12" s="59">
        <f t="shared" si="20"/>
        <v>199.2425282986012</v>
      </c>
      <c r="EO12" s="59">
        <f ca="1">AVERAGE(OFFSET($EN$3,0,0,'Données projet'!$E$15+1,1))-AVERAGE(OFFSET($H$3,0,0,'Données projet'!$E$15+1,1))</f>
        <v>294.24530606293143</v>
      </c>
      <c r="EP12" s="59">
        <f t="shared" si="46"/>
        <v>275.88160405468193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3.04</v>
      </c>
      <c r="FE12" s="12">
        <f>IF('Données projet'!$A$218&gt;35,FE11+FD12-FM11,IF(A12&lt;'Données projet'!$A$218,$FB$205^A12,IF(A12='Données projet'!$A$218,'Données projet'!$B$218,FE11+FD12-FM11)))</f>
        <v>4.7543690842948543</v>
      </c>
      <c r="FF12" s="17">
        <f>FE12*VLOOKUP('Données projet'!$B$16,Paramètres!$A$1:$I$89,3,0)*VLOOKUP('Données projet'!$B$16,Paramètres!$A$1:$I$89,5,0)</f>
        <v>3.485903412604987</v>
      </c>
      <c r="FG12" s="13">
        <f t="shared" si="47"/>
        <v>1.3891268562703505</v>
      </c>
      <c r="FH12" s="20">
        <f t="shared" si="22"/>
        <v>8.490677718291213</v>
      </c>
      <c r="FI12" s="59">
        <f t="shared" si="23"/>
        <v>197.84863647084728</v>
      </c>
      <c r="FJ12" s="59">
        <f ca="1">AVERAGE(OFFSET($FI$3,0,0,'Données projet'!$E$16+1,1))-AVERAGE(OFFSET($H$3,0,0,'Données projet'!$E$16+1,1))</f>
        <v>214.31585175697521</v>
      </c>
      <c r="FK12" s="59">
        <f t="shared" si="48"/>
        <v>244.60383864821372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6.32</v>
      </c>
      <c r="FZ12" s="12">
        <f>IF('Données projet'!$A$244&gt;35,FZ11+FY12-GH11,IF(A12&lt;'Données projet'!$A$244,$FW$205^A12,IF(A12='Données projet'!$A$244,'Données projet'!$B$244,FZ11+FY12-GH11)))</f>
        <v>6.1875190822478663</v>
      </c>
      <c r="GA12" s="17">
        <f>FZ12*VLOOKUP('Données projet'!$B$17,Paramètres!$A$1:$I$89,3,0)*VLOOKUP('Données projet'!$B$17,Paramètres!$A$1:$I$89,5,0)</f>
        <v>4.9227901818364028</v>
      </c>
      <c r="GB12" s="13">
        <f t="shared" si="49"/>
        <v>1.8844733162407568</v>
      </c>
      <c r="GC12" s="20">
        <f t="shared" si="25"/>
        <v>11.85598392581772</v>
      </c>
      <c r="GD12" s="59">
        <f t="shared" si="26"/>
        <v>201.2139426783738</v>
      </c>
      <c r="GE12" s="59">
        <f ca="1">AVERAGE(OFFSET($GD$3,0,0,'Données projet'!$E$17+1,1))-AVERAGE(OFFSET($H$3,0,0,'Données projet'!$E$17+1,1))</f>
        <v>308.33954512886351</v>
      </c>
      <c r="GF12" s="59">
        <f t="shared" si="50"/>
        <v>408.79075392716277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211.22101208968343</v>
      </c>
      <c r="S13" s="59">
        <f ca="1">AVERAGE(OFFSET($R$3,0,0,'Données projet'!$E$9+1,1))-AVERAGE(OFFSET($H$3,0,0,'Données projet'!$E$9+1,1))</f>
        <v>342.84342155097613</v>
      </c>
      <c r="T13" s="59">
        <f t="shared" si="34"/>
        <v>565.68976940602215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3.04</v>
      </c>
      <c r="AI13" s="13">
        <f>IF('Données projet'!$A$62&gt;35,AI12+AH13-AQ12,IF(A13&lt;'Données projet'!$A$62,$AF$205^A13,IF(A13='Données projet'!$A$62,'Données projet'!$B$62,AI12+AH13-AQ12)))</f>
        <v>5.6536046682926591</v>
      </c>
      <c r="AJ13" s="13">
        <f>AI13*VLOOKUP('Données projet'!$B$10,Paramètres!$A$1:$I$89,3,0)*VLOOKUP('Données projet'!$B$10,Paramètres!$A$1:$I$89,5,0)</f>
        <v>5.3799702023472946</v>
      </c>
      <c r="AK13" s="13">
        <f t="shared" si="35"/>
        <v>2.0383049457255566</v>
      </c>
      <c r="AL13" s="20">
        <f t="shared" si="4"/>
        <v>12.920162549560215</v>
      </c>
      <c r="AM13" s="59">
        <f t="shared" si="5"/>
        <v>204.85882453460511</v>
      </c>
      <c r="AN13" s="59">
        <f ca="1">AVERAGE(OFFSET($AM$3,0,0,'Données projet'!$E$10+1,1))-AVERAGE(OFFSET($H$3,0,0,'Données projet'!$E$10+1,1))</f>
        <v>320.33056209214476</v>
      </c>
      <c r="AO13" s="59">
        <f t="shared" si="36"/>
        <v>299.27200854723446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212.25128341059087</v>
      </c>
      <c r="BI13" s="59">
        <f ca="1">AVERAGE(OFFSET($BH$3,0,0,'Données projet'!$E$11+1,1))-AVERAGE(OFFSET($H$3,0,0,'Données projet'!$E$11+1,1))</f>
        <v>256.85706398254547</v>
      </c>
      <c r="BJ13" s="59">
        <f t="shared" si="38"/>
        <v>363.68094621014734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</v>
      </c>
      <c r="BY13" s="12">
        <f>IF('Données projet'!$A$114&gt;35,BY12+BX13-CG12,IF(A13&lt;'Données projet'!$A$114,$BV$205^A13,IF(A13='Données projet'!$A$114,'Données projet'!$B$114,BY12+BX13-CG12)))</f>
        <v>30</v>
      </c>
      <c r="BZ13" s="13">
        <f>BY13*VLOOKUP('Données projet'!$B$12,Paramètres!$A$1:$I$89,3,0)*VLOOKUP('Données projet'!$B$12,Paramètres!$A$1:$I$89,5,0)</f>
        <v>27.143999999999998</v>
      </c>
      <c r="CA13" s="13">
        <f t="shared" si="39"/>
        <v>8.5181694620316346</v>
      </c>
      <c r="CB13" s="20">
        <f t="shared" si="10"/>
        <v>62.111611813038422</v>
      </c>
      <c r="CC13" s="59">
        <f t="shared" si="11"/>
        <v>254.05027379808331</v>
      </c>
      <c r="CD13" s="59">
        <f ca="1">AVERAGE(OFFSET($CC$3,0,0,'Données projet'!$E$12+1,1))-AVERAGE(OFFSET($H$3,0,0,'Données projet'!$E$12+1,1))</f>
        <v>357.68828740212223</v>
      </c>
      <c r="CE13" s="59">
        <f t="shared" si="40"/>
        <v>236.76626845829483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6.32</v>
      </c>
      <c r="CT13" s="12">
        <f>IF('Données projet'!$A$140&gt;35,CT12+CS13-DB12,IF(A13&lt;'Données projet'!$A$140,$CQ$205^A13,IF(A13='Données projet'!$A$140,'Données projet'!$B$140,CT12+CS13-DB12)))</f>
        <v>7.576398942412955</v>
      </c>
      <c r="CU13" s="17">
        <f>CT13*VLOOKUP('Données projet'!$B$13,Paramètres!$A$1:$I$89,3,0)*VLOOKUP('Données projet'!$B$13,Paramètres!$A$1:$I$89,5,0)</f>
        <v>4.9640565870689688</v>
      </c>
      <c r="CV13" s="13">
        <f t="shared" si="41"/>
        <v>1.8984247787929829</v>
      </c>
      <c r="CW13" s="20">
        <f t="shared" si="13"/>
        <v>11.952155045542897</v>
      </c>
      <c r="CX13" s="59">
        <f t="shared" si="14"/>
        <v>203.89081703058778</v>
      </c>
      <c r="CY13" s="59">
        <f ca="1">AVERAGE(OFFSET($CX$3,0,0,'Données projet'!$E$13+1,1))-AVERAGE(OFFSET($H$3,0,0,'Données projet'!$E$13+1,1))</f>
        <v>220.18342986563667</v>
      </c>
      <c r="CZ13" s="59">
        <f t="shared" si="42"/>
        <v>347.84382145531163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</v>
      </c>
      <c r="DO13" s="12">
        <f>IF('Données projet'!$A$166&gt;35,DO12+DN13-DW12,IF(A13&lt;'Données projet'!$A$166,$DL$205^A13,IF(A13='Données projet'!$A$166,'Données projet'!$B$166,DO12+DN13-DW12)))</f>
        <v>30</v>
      </c>
      <c r="DP13" s="17">
        <f>DO13*VLOOKUP('Données projet'!$B$14,Paramètres!$A$1:$I$89,3,0)*VLOOKUP('Données projet'!$B$14,Paramètres!$A$1:$I$89,5,0)</f>
        <v>30.42</v>
      </c>
      <c r="DQ13" s="13">
        <f t="shared" si="43"/>
        <v>9.4204476947792024</v>
      </c>
      <c r="DR13" s="20">
        <f t="shared" si="16"/>
        <v>69.388779735073783</v>
      </c>
      <c r="DS13" s="59">
        <f t="shared" si="17"/>
        <v>261.32744172011866</v>
      </c>
      <c r="DT13" s="59">
        <f ca="1">AVERAGE(OFFSET($DS$3,0,0,'Données projet'!$E$14+1,1))-AVERAGE(OFFSET($H$3,0,0,'Données projet'!$E$14+1,1))</f>
        <v>392.49465607243178</v>
      </c>
      <c r="DU13" s="59">
        <f t="shared" si="44"/>
        <v>258.031856676031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3.04</v>
      </c>
      <c r="EJ13" s="12">
        <f>IF('Données projet'!$A$192&gt;35,EJ12+EI13-ER12,IF(A13&lt;'Données projet'!$A$192,$EG$205^A13,IF(A13='Données projet'!$A$192,'Données projet'!$B$192,EJ12+EI13-ER12)))</f>
        <v>5.6536046682926591</v>
      </c>
      <c r="EK13" s="17">
        <f>EJ13*VLOOKUP('Données projet'!$B$15,Paramètres!$A$1:$I$89,3,0)*VLOOKUP('Données projet'!$B$15,Paramètres!$A$1:$I$89,5,0)</f>
        <v>4.8507928053951019</v>
      </c>
      <c r="EL13" s="13">
        <f t="shared" si="45"/>
        <v>1.8600995533323434</v>
      </c>
      <c r="EM13" s="20">
        <f t="shared" si="19"/>
        <v>11.688137524783633</v>
      </c>
      <c r="EN13" s="59">
        <f t="shared" si="20"/>
        <v>203.62679950982852</v>
      </c>
      <c r="EO13" s="59">
        <f ca="1">AVERAGE(OFFSET($EN$3,0,0,'Données projet'!$E$15+1,1))-AVERAGE(OFFSET($H$3,0,0,'Données projet'!$E$15+1,1))</f>
        <v>294.24530606293143</v>
      </c>
      <c r="EP13" s="59">
        <f t="shared" si="46"/>
        <v>275.88160405468193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3.04</v>
      </c>
      <c r="FE13" s="12">
        <f>IF('Données projet'!$A$218&gt;35,FE12+FD13-FM12,IF(A13&lt;'Données projet'!$A$218,$FB$205^A13,IF(A13='Données projet'!$A$218,'Données projet'!$B$218,FE12+FD13-FM12)))</f>
        <v>5.6536046682926591</v>
      </c>
      <c r="FF13" s="17">
        <f>FE13*VLOOKUP('Données projet'!$B$16,Paramètres!$A$1:$I$89,3,0)*VLOOKUP('Données projet'!$B$16,Paramètres!$A$1:$I$89,5,0)</f>
        <v>4.1452229427921772</v>
      </c>
      <c r="FG13" s="13">
        <f t="shared" si="47"/>
        <v>1.6188901599089236</v>
      </c>
      <c r="FH13" s="20">
        <f t="shared" si="22"/>
        <v>10.039163653871084</v>
      </c>
      <c r="FI13" s="59">
        <f t="shared" si="23"/>
        <v>201.97782563891596</v>
      </c>
      <c r="FJ13" s="59">
        <f ca="1">AVERAGE(OFFSET($FI$3,0,0,'Données projet'!$E$16+1,1))-AVERAGE(OFFSET($H$3,0,0,'Données projet'!$E$16+1,1))</f>
        <v>214.31585175697521</v>
      </c>
      <c r="FK13" s="59">
        <f t="shared" si="48"/>
        <v>244.60383864821372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6.32</v>
      </c>
      <c r="FZ13" s="12">
        <f>IF('Données projet'!$A$244&gt;35,FZ12+FY13-GH12,IF(A13&lt;'Données projet'!$A$244,$FW$205^A13,IF(A13='Données projet'!$A$244,'Données projet'!$B$244,FZ12+FY13-GH12)))</f>
        <v>7.576398942412955</v>
      </c>
      <c r="GA13" s="17">
        <f>FZ13*VLOOKUP('Données projet'!$B$17,Paramètres!$A$1:$I$89,3,0)*VLOOKUP('Données projet'!$B$17,Paramètres!$A$1:$I$89,5,0)</f>
        <v>6.0277829985837474</v>
      </c>
      <c r="GB13" s="13">
        <f t="shared" si="49"/>
        <v>2.2537167289015385</v>
      </c>
      <c r="GC13" s="20">
        <f t="shared" si="25"/>
        <v>14.423612025370206</v>
      </c>
      <c r="GD13" s="59">
        <f t="shared" si="26"/>
        <v>206.36227401041509</v>
      </c>
      <c r="GE13" s="59">
        <f ca="1">AVERAGE(OFFSET($GD$3,0,0,'Données projet'!$E$17+1,1))-AVERAGE(OFFSET($H$3,0,0,'Données projet'!$E$17+1,1))</f>
        <v>308.33954512886351</v>
      </c>
      <c r="GF13" s="59">
        <f t="shared" si="50"/>
        <v>408.79075392716277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219.4935076869813</v>
      </c>
      <c r="S14" s="59">
        <f ca="1">AVERAGE(OFFSET($R$3,0,0,'Données projet'!$E$9+1,1))-AVERAGE(OFFSET($H$3,0,0,'Données projet'!$E$9+1,1))</f>
        <v>342.84342155097613</v>
      </c>
      <c r="T14" s="59">
        <f t="shared" si="34"/>
        <v>565.68976940602215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3.04</v>
      </c>
      <c r="AI14" s="13">
        <f>IF('Données projet'!$A$62&gt;35,AI13+AH14-AQ13,IF(A14&lt;'Données projet'!$A$62,$AF$205^A14,IF(A14='Données projet'!$A$62,'Données projet'!$B$62,AI13+AH14-AQ13)))</f>
        <v>6.722920576554519</v>
      </c>
      <c r="AJ14" s="13">
        <f>AI14*VLOOKUP('Données projet'!$B$10,Paramètres!$A$1:$I$89,3,0)*VLOOKUP('Données projet'!$B$10,Paramètres!$A$1:$I$89,5,0)</f>
        <v>6.3975312206492809</v>
      </c>
      <c r="AK14" s="13">
        <f t="shared" si="35"/>
        <v>2.3754431099175246</v>
      </c>
      <c r="AL14" s="20">
        <f t="shared" si="4"/>
        <v>15.279596959070517</v>
      </c>
      <c r="AM14" s="59">
        <f t="shared" si="5"/>
        <v>209.77539556818465</v>
      </c>
      <c r="AN14" s="59">
        <f ca="1">AVERAGE(OFFSET($AM$3,0,0,'Données projet'!$E$10+1,1))-AVERAGE(OFFSET($H$3,0,0,'Données projet'!$E$10+1,1))</f>
        <v>320.33056209214476</v>
      </c>
      <c r="AO14" s="59">
        <f t="shared" si="36"/>
        <v>299.27200854723446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220.68674574429542</v>
      </c>
      <c r="BI14" s="59">
        <f ca="1">AVERAGE(OFFSET($BH$3,0,0,'Données projet'!$E$11+1,1))-AVERAGE(OFFSET($H$3,0,0,'Données projet'!$E$11+1,1))</f>
        <v>256.85706398254547</v>
      </c>
      <c r="BJ14" s="59">
        <f t="shared" si="38"/>
        <v>363.68094621014734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</v>
      </c>
      <c r="BY14" s="12">
        <f>IF('Données projet'!$A$114&gt;35,BY13+BX14-CG13,IF(A14&lt;'Données projet'!$A$114,$BV$205^A14,IF(A14='Données projet'!$A$114,'Données projet'!$B$114,BY13+BX14-CG13)))</f>
        <v>33</v>
      </c>
      <c r="BZ14" s="13">
        <f>BY14*VLOOKUP('Données projet'!$B$12,Paramètres!$A$1:$I$89,3,0)*VLOOKUP('Données projet'!$B$12,Paramètres!$A$1:$I$89,5,0)</f>
        <v>29.858399999999996</v>
      </c>
      <c r="CA14" s="13">
        <f t="shared" si="39"/>
        <v>9.2666092944057148</v>
      </c>
      <c r="CB14" s="20">
        <f t="shared" si="10"/>
        <v>68.14272452108996</v>
      </c>
      <c r="CC14" s="59">
        <f t="shared" si="11"/>
        <v>262.63852313020408</v>
      </c>
      <c r="CD14" s="59">
        <f ca="1">AVERAGE(OFFSET($CC$3,0,0,'Données projet'!$E$12+1,1))-AVERAGE(OFFSET($H$3,0,0,'Données projet'!$E$12+1,1))</f>
        <v>357.68828740212223</v>
      </c>
      <c r="CE14" s="59">
        <f t="shared" si="40"/>
        <v>236.76626845829483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6.32</v>
      </c>
      <c r="CT14" s="12">
        <f>IF('Données projet'!$A$140&gt;35,CT13+CS14-DB13,IF(A14&lt;'Données projet'!$A$140,$CQ$205^A14,IF(A14='Données projet'!$A$140,'Données projet'!$B$140,CT13+CS14-DB13)))</f>
        <v>9.2770333588599811</v>
      </c>
      <c r="CU14" s="17">
        <f>CT14*VLOOKUP('Données projet'!$B$13,Paramètres!$A$1:$I$89,3,0)*VLOOKUP('Données projet'!$B$13,Paramètres!$A$1:$I$89,5,0)</f>
        <v>6.0783122567250594</v>
      </c>
      <c r="CV14" s="13">
        <f t="shared" si="41"/>
        <v>2.2704018388872393</v>
      </c>
      <c r="CW14" s="20">
        <f t="shared" si="13"/>
        <v>14.540677049858084</v>
      </c>
      <c r="CX14" s="59">
        <f t="shared" si="14"/>
        <v>209.03647565897222</v>
      </c>
      <c r="CY14" s="59">
        <f ca="1">AVERAGE(OFFSET($CX$3,0,0,'Données projet'!$E$13+1,1))-AVERAGE(OFFSET($H$3,0,0,'Données projet'!$E$13+1,1))</f>
        <v>220.18342986563667</v>
      </c>
      <c r="CZ14" s="59">
        <f t="shared" si="42"/>
        <v>347.84382145531163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</v>
      </c>
      <c r="DO14" s="12">
        <f>IF('Données projet'!$A$166&gt;35,DO13+DN14-DW13,IF(A14&lt;'Données projet'!$A$166,$DL$205^A14,IF(A14='Données projet'!$A$166,'Données projet'!$B$166,DO13+DN14-DW13)))</f>
        <v>33</v>
      </c>
      <c r="DP14" s="17">
        <f>DO14*VLOOKUP('Données projet'!$B$14,Paramètres!$A$1:$I$89,3,0)*VLOOKUP('Données projet'!$B$14,Paramètres!$A$1:$I$89,5,0)</f>
        <v>33.462000000000003</v>
      </c>
      <c r="DQ14" s="13">
        <f t="shared" si="43"/>
        <v>10.248165237262533</v>
      </c>
      <c r="DR14" s="20">
        <f t="shared" si="16"/>
        <v>76.128537788232251</v>
      </c>
      <c r="DS14" s="59">
        <f t="shared" si="17"/>
        <v>270.62433639734638</v>
      </c>
      <c r="DT14" s="59">
        <f ca="1">AVERAGE(OFFSET($DS$3,0,0,'Données projet'!$E$14+1,1))-AVERAGE(OFFSET($H$3,0,0,'Données projet'!$E$14+1,1))</f>
        <v>392.49465607243178</v>
      </c>
      <c r="DU14" s="59">
        <f t="shared" si="44"/>
        <v>258.031856676031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3.04</v>
      </c>
      <c r="EJ14" s="12">
        <f>IF('Données projet'!$A$192&gt;35,EJ13+EI14-ER13,IF(A14&lt;'Données projet'!$A$192,$EG$205^A14,IF(A14='Données projet'!$A$192,'Données projet'!$B$192,EJ13+EI14-ER13)))</f>
        <v>6.722920576554519</v>
      </c>
      <c r="EK14" s="17">
        <f>EJ14*VLOOKUP('Données projet'!$B$15,Paramètres!$A$1:$I$89,3,0)*VLOOKUP('Données projet'!$B$15,Paramètres!$A$1:$I$89,5,0)</f>
        <v>5.7682658546837784</v>
      </c>
      <c r="EL14" s="13">
        <f t="shared" si="45"/>
        <v>2.1677623247639941</v>
      </c>
      <c r="EM14" s="20">
        <f t="shared" si="19"/>
        <v>13.821915745871536</v>
      </c>
      <c r="EN14" s="59">
        <f t="shared" si="20"/>
        <v>208.31771435498567</v>
      </c>
      <c r="EO14" s="59">
        <f ca="1">AVERAGE(OFFSET($EN$3,0,0,'Données projet'!$E$15+1,1))-AVERAGE(OFFSET($H$3,0,0,'Données projet'!$E$15+1,1))</f>
        <v>294.24530606293143</v>
      </c>
      <c r="EP14" s="59">
        <f t="shared" si="46"/>
        <v>275.88160405468193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3.04</v>
      </c>
      <c r="FE14" s="12">
        <f>IF('Données projet'!$A$218&gt;35,FE13+FD14-FM13,IF(A14&lt;'Données projet'!$A$218,$FB$205^A14,IF(A14='Données projet'!$A$218,'Données projet'!$B$218,FE13+FD14-FM13)))</f>
        <v>6.722920576554519</v>
      </c>
      <c r="FF14" s="17">
        <f>FE14*VLOOKUP('Données projet'!$B$16,Paramètres!$A$1:$I$89,3,0)*VLOOKUP('Données projet'!$B$16,Paramètres!$A$1:$I$89,5,0)</f>
        <v>4.9292453667297735</v>
      </c>
      <c r="FG14" s="13">
        <f t="shared" si="47"/>
        <v>1.8866565987259849</v>
      </c>
      <c r="FH14" s="20">
        <f t="shared" si="22"/>
        <v>11.871029256502112</v>
      </c>
      <c r="FI14" s="59">
        <f t="shared" si="23"/>
        <v>206.36682786561624</v>
      </c>
      <c r="FJ14" s="59">
        <f ca="1">AVERAGE(OFFSET($FI$3,0,0,'Données projet'!$E$16+1,1))-AVERAGE(OFFSET($H$3,0,0,'Données projet'!$E$16+1,1))</f>
        <v>214.31585175697521</v>
      </c>
      <c r="FK14" s="59">
        <f t="shared" si="48"/>
        <v>244.60383864821372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6.32</v>
      </c>
      <c r="FZ14" s="12">
        <f>IF('Données projet'!$A$244&gt;35,FZ13+FY14-GH13,IF(A14&lt;'Données projet'!$A$244,$FW$205^A14,IF(A14='Données projet'!$A$244,'Données projet'!$B$244,FZ13+FY14-GH13)))</f>
        <v>9.2770333588599811</v>
      </c>
      <c r="GA14" s="17">
        <f>FZ14*VLOOKUP('Données projet'!$B$17,Paramètres!$A$1:$I$89,3,0)*VLOOKUP('Données projet'!$B$17,Paramètres!$A$1:$I$89,5,0)</f>
        <v>7.3808077403090016</v>
      </c>
      <c r="GB14" s="13">
        <f t="shared" si="49"/>
        <v>2.6953096392274607</v>
      </c>
      <c r="GC14" s="20">
        <f t="shared" si="25"/>
        <v>17.54923776935934</v>
      </c>
      <c r="GD14" s="59">
        <f t="shared" si="26"/>
        <v>212.04503637847347</v>
      </c>
      <c r="GE14" s="59">
        <f ca="1">AVERAGE(OFFSET($GD$3,0,0,'Données projet'!$E$17+1,1))-AVERAGE(OFFSET($H$3,0,0,'Données projet'!$E$17+1,1))</f>
        <v>308.33954512886351</v>
      </c>
      <c r="GF14" s="59">
        <f t="shared" si="50"/>
        <v>408.79075392716277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229.44294513126707</v>
      </c>
      <c r="S15" s="59">
        <f ca="1">AVERAGE(OFFSET($R$3,0,0,'Données projet'!$E$9+1,1))-AVERAGE(OFFSET($H$3,0,0,'Données projet'!$E$9+1,1))</f>
        <v>342.84342155097613</v>
      </c>
      <c r="T15" s="59">
        <f t="shared" si="34"/>
        <v>565.68976940602215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3.04</v>
      </c>
      <c r="AI15" s="13">
        <f>IF('Données projet'!$A$62&gt;35,AI14+AH15-AQ14,IF(A15&lt;'Données projet'!$A$62,$AF$205^A15,IF(A15='Données projet'!$A$62,'Données projet'!$B$62,AI14+AH15-AQ14)))</f>
        <v>7.9944855946762656</v>
      </c>
      <c r="AJ15" s="13">
        <f>AI15*VLOOKUP('Données projet'!$B$10,Paramètres!$A$1:$I$89,3,0)*VLOOKUP('Données projet'!$B$10,Paramètres!$A$1:$I$89,5,0)</f>
        <v>7.6075524918939346</v>
      </c>
      <c r="AK15" s="13">
        <f t="shared" si="35"/>
        <v>2.7683443442983209</v>
      </c>
      <c r="AL15" s="20">
        <f t="shared" si="4"/>
        <v>18.071353656368178</v>
      </c>
      <c r="AM15" s="59">
        <f t="shared" si="5"/>
        <v>215.10113110910106</v>
      </c>
      <c r="AN15" s="59">
        <f ca="1">AVERAGE(OFFSET($AM$3,0,0,'Données projet'!$E$10+1,1))-AVERAGE(OFFSET($H$3,0,0,'Données projet'!$E$10+1,1))</f>
        <v>320.33056209214476</v>
      </c>
      <c r="AO15" s="59">
        <f t="shared" si="36"/>
        <v>299.27200854723446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230.80621750848366</v>
      </c>
      <c r="BI15" s="59">
        <f ca="1">AVERAGE(OFFSET($BH$3,0,0,'Données projet'!$E$11+1,1))-AVERAGE(OFFSET($H$3,0,0,'Données projet'!$E$11+1,1))</f>
        <v>256.85706398254547</v>
      </c>
      <c r="BJ15" s="59">
        <f t="shared" si="38"/>
        <v>363.68094621014734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</v>
      </c>
      <c r="BY15" s="12">
        <f>IF('Données projet'!$A$114&gt;35,BY14+BX15-CG14,IF(A15&lt;'Données projet'!$A$114,$BV$205^A15,IF(A15='Données projet'!$A$114,'Données projet'!$B$114,BY14+BX15-CG14)))</f>
        <v>36</v>
      </c>
      <c r="BZ15" s="13">
        <f>BY15*VLOOKUP('Données projet'!$B$12,Paramètres!$A$1:$I$89,3,0)*VLOOKUP('Données projet'!$B$12,Paramètres!$A$1:$I$89,5,0)</f>
        <v>32.572800000000001</v>
      </c>
      <c r="CA15" s="13">
        <f t="shared" si="39"/>
        <v>10.007159566468195</v>
      </c>
      <c r="CB15" s="20">
        <f t="shared" si="10"/>
        <v>74.160096244932106</v>
      </c>
      <c r="CC15" s="59">
        <f t="shared" si="11"/>
        <v>271.18987369766501</v>
      </c>
      <c r="CD15" s="59">
        <f ca="1">AVERAGE(OFFSET($CC$3,0,0,'Données projet'!$E$12+1,1))-AVERAGE(OFFSET($H$3,0,0,'Données projet'!$E$12+1,1))</f>
        <v>357.68828740212223</v>
      </c>
      <c r="CE15" s="59">
        <f t="shared" si="40"/>
        <v>236.76626845829483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6.32</v>
      </c>
      <c r="CT15" s="12">
        <f>IF('Données projet'!$A$140&gt;35,CT14+CS15-DB14,IF(A15&lt;'Données projet'!$A$140,$CQ$205^A15,IF(A15='Données projet'!$A$140,'Données projet'!$B$140,CT14+CS15-DB14)))</f>
        <v>11.359400236914025</v>
      </c>
      <c r="CU15" s="17">
        <f>CT15*VLOOKUP('Données projet'!$B$13,Paramètres!$A$1:$I$89,3,0)*VLOOKUP('Données projet'!$B$13,Paramètres!$A$1:$I$89,5,0)</f>
        <v>7.4426790352260692</v>
      </c>
      <c r="CV15" s="13">
        <f t="shared" si="41"/>
        <v>2.7152640271056336</v>
      </c>
      <c r="CW15" s="20">
        <f t="shared" si="13"/>
        <v>17.691750833561048</v>
      </c>
      <c r="CX15" s="59">
        <f t="shared" si="14"/>
        <v>214.72152828629393</v>
      </c>
      <c r="CY15" s="59">
        <f ca="1">AVERAGE(OFFSET($CX$3,0,0,'Données projet'!$E$13+1,1))-AVERAGE(OFFSET($H$3,0,0,'Données projet'!$E$13+1,1))</f>
        <v>220.18342986563667</v>
      </c>
      <c r="CZ15" s="59">
        <f t="shared" si="42"/>
        <v>347.84382145531163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</v>
      </c>
      <c r="DO15" s="12">
        <f>IF('Données projet'!$A$166&gt;35,DO14+DN15-DW14,IF(A15&lt;'Données projet'!$A$166,$DL$205^A15,IF(A15='Données projet'!$A$166,'Données projet'!$B$166,DO14+DN15-DW14)))</f>
        <v>36</v>
      </c>
      <c r="DP15" s="17">
        <f>DO15*VLOOKUP('Données projet'!$B$14,Paramètres!$A$1:$I$89,3,0)*VLOOKUP('Données projet'!$B$14,Paramètres!$A$1:$I$89,5,0)</f>
        <v>36.504000000000005</v>
      </c>
      <c r="DQ15" s="13">
        <f t="shared" si="43"/>
        <v>11.067157525971377</v>
      </c>
      <c r="DR15" s="20">
        <f t="shared" si="16"/>
        <v>82.853099357733484</v>
      </c>
      <c r="DS15" s="59">
        <f t="shared" si="17"/>
        <v>279.88287681046637</v>
      </c>
      <c r="DT15" s="59">
        <f ca="1">AVERAGE(OFFSET($DS$3,0,0,'Données projet'!$E$14+1,1))-AVERAGE(OFFSET($H$3,0,0,'Données projet'!$E$14+1,1))</f>
        <v>392.49465607243178</v>
      </c>
      <c r="DU15" s="59">
        <f t="shared" si="44"/>
        <v>258.031856676031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3.04</v>
      </c>
      <c r="EJ15" s="12">
        <f>IF('Données projet'!$A$192&gt;35,EJ14+EI15-ER14,IF(A15&lt;'Données projet'!$A$192,$EG$205^A15,IF(A15='Données projet'!$A$192,'Données projet'!$B$192,EJ14+EI15-ER14)))</f>
        <v>7.9944855946762656</v>
      </c>
      <c r="EK15" s="17">
        <f>EJ15*VLOOKUP('Données projet'!$B$15,Paramètres!$A$1:$I$89,3,0)*VLOOKUP('Données projet'!$B$15,Paramètres!$A$1:$I$89,5,0)</f>
        <v>6.8592686402322363</v>
      </c>
      <c r="EL15" s="13">
        <f t="shared" si="45"/>
        <v>2.5263128998916509</v>
      </c>
      <c r="EM15" s="20">
        <f t="shared" si="19"/>
        <v>16.34655451571577</v>
      </c>
      <c r="EN15" s="59">
        <f t="shared" si="20"/>
        <v>213.37633196844865</v>
      </c>
      <c r="EO15" s="59">
        <f ca="1">AVERAGE(OFFSET($EN$3,0,0,'Données projet'!$E$15+1,1))-AVERAGE(OFFSET($H$3,0,0,'Données projet'!$E$15+1,1))</f>
        <v>294.24530606293143</v>
      </c>
      <c r="EP15" s="59">
        <f t="shared" si="46"/>
        <v>275.88160405468193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3.04</v>
      </c>
      <c r="FE15" s="12">
        <f>IF('Données projet'!$A$218&gt;35,FE14+FD15-FM14,IF(A15&lt;'Données projet'!$A$218,$FB$205^A15,IF(A15='Données projet'!$A$218,'Données projet'!$B$218,FE14+FD15-FM14)))</f>
        <v>7.9944855946762656</v>
      </c>
      <c r="FF15" s="17">
        <f>FE15*VLOOKUP('Données projet'!$B$16,Paramètres!$A$1:$I$89,3,0)*VLOOKUP('Données projet'!$B$16,Paramètres!$A$1:$I$89,5,0)</f>
        <v>5.8615568380166376</v>
      </c>
      <c r="FG15" s="13">
        <f t="shared" si="47"/>
        <v>2.1987119383791627</v>
      </c>
      <c r="FH15" s="20">
        <f t="shared" si="22"/>
        <v>14.038301452222683</v>
      </c>
      <c r="FI15" s="59">
        <f t="shared" si="23"/>
        <v>211.06807890495554</v>
      </c>
      <c r="FJ15" s="59">
        <f ca="1">AVERAGE(OFFSET($FI$3,0,0,'Données projet'!$E$16+1,1))-AVERAGE(OFFSET($H$3,0,0,'Données projet'!$E$16+1,1))</f>
        <v>214.31585175697521</v>
      </c>
      <c r="FK15" s="59">
        <f t="shared" si="48"/>
        <v>244.60383864821372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6.32</v>
      </c>
      <c r="FZ15" s="12">
        <f>IF('Données projet'!$A$244&gt;35,FZ14+FY15-GH14,IF(A15&lt;'Données projet'!$A$244,$FW$205^A15,IF(A15='Données projet'!$A$244,'Données projet'!$B$244,FZ14+FY15-GH14)))</f>
        <v>11.359400236914025</v>
      </c>
      <c r="GA15" s="17">
        <f>FZ15*VLOOKUP('Données projet'!$B$17,Paramètres!$A$1:$I$89,3,0)*VLOOKUP('Données projet'!$B$17,Paramètres!$A$1:$I$89,5,0)</f>
        <v>9.037538828488799</v>
      </c>
      <c r="GB15" s="13">
        <f t="shared" si="49"/>
        <v>3.2234281966985612</v>
      </c>
      <c r="GC15" s="20">
        <f t="shared" si="25"/>
        <v>21.354517568867987</v>
      </c>
      <c r="GD15" s="59">
        <f t="shared" si="26"/>
        <v>218.38429502160085</v>
      </c>
      <c r="GE15" s="59">
        <f ca="1">AVERAGE(OFFSET($GD$3,0,0,'Données projet'!$E$17+1,1))-AVERAGE(OFFSET($H$3,0,0,'Données projet'!$E$17+1,1))</f>
        <v>308.33954512886351</v>
      </c>
      <c r="GF15" s="59">
        <f t="shared" si="50"/>
        <v>408.79075392716277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241.57711237543259</v>
      </c>
      <c r="S16" s="59">
        <f ca="1">AVERAGE(OFFSET($R$3,0,0,'Données projet'!$E$9+1,1))-AVERAGE(OFFSET($H$3,0,0,'Données projet'!$E$9+1,1))</f>
        <v>342.84342155097613</v>
      </c>
      <c r="T16" s="59">
        <f t="shared" si="34"/>
        <v>565.68976940602215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3.04</v>
      </c>
      <c r="AI16" s="13">
        <f>IF('Données projet'!$A$62&gt;35,AI15+AH16-AQ15,IF(A16&lt;'Données projet'!$A$62,$AF$205^A16,IF(A16='Données projet'!$A$62,'Données projet'!$B$62,AI15+AH16-AQ15)))</f>
        <v>9.5065528732218016</v>
      </c>
      <c r="AJ16" s="13">
        <f>AI16*VLOOKUP('Données projet'!$B$10,Paramètres!$A$1:$I$89,3,0)*VLOOKUP('Données projet'!$B$10,Paramètres!$A$1:$I$89,5,0)</f>
        <v>9.0464357141578677</v>
      </c>
      <c r="AK16" s="13">
        <f t="shared" si="35"/>
        <v>3.2262319297870223</v>
      </c>
      <c r="AL16" s="20">
        <f t="shared" si="4"/>
        <v>21.374896146537353</v>
      </c>
      <c r="AM16" s="59">
        <f t="shared" si="5"/>
        <v>220.91589639815618</v>
      </c>
      <c r="AN16" s="59">
        <f ca="1">AVERAGE(OFFSET($AM$3,0,0,'Données projet'!$E$10+1,1))-AVERAGE(OFFSET($H$3,0,0,'Données projet'!$E$10+1,1))</f>
        <v>320.33056209214476</v>
      </c>
      <c r="AO16" s="59">
        <f t="shared" si="36"/>
        <v>299.27200854723446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243.10751689052037</v>
      </c>
      <c r="BI16" s="59">
        <f ca="1">AVERAGE(OFFSET($BH$3,0,0,'Données projet'!$E$11+1,1))-AVERAGE(OFFSET($H$3,0,0,'Données projet'!$E$11+1,1))</f>
        <v>256.85706398254547</v>
      </c>
      <c r="BJ16" s="59">
        <f t="shared" si="38"/>
        <v>363.68094621014734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</v>
      </c>
      <c r="BY16" s="12">
        <f>IF('Données projet'!$A$114&gt;35,BY15+BX16-CG15,IF(A16&lt;'Données projet'!$A$114,$BV$205^A16,IF(A16='Données projet'!$A$114,'Données projet'!$B$114,BY15+BX16-CG15)))</f>
        <v>39</v>
      </c>
      <c r="BZ16" s="13">
        <f>BY16*VLOOKUP('Données projet'!$B$12,Paramètres!$A$1:$I$89,3,0)*VLOOKUP('Données projet'!$B$12,Paramètres!$A$1:$I$89,5,0)</f>
        <v>35.287199999999999</v>
      </c>
      <c r="CA16" s="13">
        <f t="shared" si="39"/>
        <v>10.740552489323523</v>
      </c>
      <c r="CB16" s="20">
        <f t="shared" si="10"/>
        <v>80.165002252238452</v>
      </c>
      <c r="CC16" s="59">
        <f t="shared" si="11"/>
        <v>279.70600250385723</v>
      </c>
      <c r="CD16" s="59">
        <f ca="1">AVERAGE(OFFSET($CC$3,0,0,'Données projet'!$E$12+1,1))-AVERAGE(OFFSET($H$3,0,0,'Données projet'!$E$12+1,1))</f>
        <v>357.68828740212223</v>
      </c>
      <c r="CE16" s="59">
        <f t="shared" si="40"/>
        <v>236.76626845829483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6.32</v>
      </c>
      <c r="CT16" s="12">
        <f>IF('Données projet'!$A$140&gt;35,CT15+CS16-DB15,IF(A16&lt;'Données projet'!$A$140,$CQ$205^A16,IF(A16='Données projet'!$A$140,'Données projet'!$B$140,CT15+CS16-DB15)))</f>
        <v>13.909185054203489</v>
      </c>
      <c r="CU16" s="17">
        <f>CT16*VLOOKUP('Données projet'!$B$13,Paramètres!$A$1:$I$89,3,0)*VLOOKUP('Données projet'!$B$13,Paramètres!$A$1:$I$89,5,0)</f>
        <v>9.1132980475141263</v>
      </c>
      <c r="CV16" s="13">
        <f t="shared" si="41"/>
        <v>3.2472924442782198</v>
      </c>
      <c r="CW16" s="20">
        <f t="shared" si="13"/>
        <v>21.528028439871665</v>
      </c>
      <c r="CX16" s="59">
        <f t="shared" si="14"/>
        <v>221.06902869149047</v>
      </c>
      <c r="CY16" s="59">
        <f ca="1">AVERAGE(OFFSET($CX$3,0,0,'Données projet'!$E$13+1,1))-AVERAGE(OFFSET($H$3,0,0,'Données projet'!$E$13+1,1))</f>
        <v>220.18342986563667</v>
      </c>
      <c r="CZ16" s="59">
        <f t="shared" si="42"/>
        <v>347.84382145531163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</v>
      </c>
      <c r="DO16" s="12">
        <f>IF('Données projet'!$A$166&gt;35,DO15+DN16-DW15,IF(A16&lt;'Données projet'!$A$166,$DL$205^A16,IF(A16='Données projet'!$A$166,'Données projet'!$B$166,DO15+DN16-DW15)))</f>
        <v>39</v>
      </c>
      <c r="DP16" s="17">
        <f>DO16*VLOOKUP('Données projet'!$B$14,Paramètres!$A$1:$I$89,3,0)*VLOOKUP('Données projet'!$B$14,Paramètres!$A$1:$I$89,5,0)</f>
        <v>39.546000000000006</v>
      </c>
      <c r="DQ16" s="13">
        <f t="shared" si="43"/>
        <v>11.878234330709192</v>
      </c>
      <c r="DR16" s="20">
        <f t="shared" si="16"/>
        <v>89.563874792651845</v>
      </c>
      <c r="DS16" s="59">
        <f t="shared" si="17"/>
        <v>289.10487504427067</v>
      </c>
      <c r="DT16" s="59">
        <f ca="1">AVERAGE(OFFSET($DS$3,0,0,'Données projet'!$E$14+1,1))-AVERAGE(OFFSET($H$3,0,0,'Données projet'!$E$14+1,1))</f>
        <v>392.49465607243178</v>
      </c>
      <c r="DU16" s="59">
        <f t="shared" si="44"/>
        <v>258.031856676031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3.04</v>
      </c>
      <c r="EJ16" s="12">
        <f>IF('Données projet'!$A$192&gt;35,EJ15+EI16-ER15,IF(A16&lt;'Données projet'!$A$192,$EG$205^A16,IF(A16='Données projet'!$A$192,'Données projet'!$B$192,EJ15+EI16-ER15)))</f>
        <v>9.5065528732218016</v>
      </c>
      <c r="EK16" s="17">
        <f>EJ16*VLOOKUP('Données projet'!$B$15,Paramètres!$A$1:$I$89,3,0)*VLOOKUP('Données projet'!$B$15,Paramètres!$A$1:$I$89,5,0)</f>
        <v>8.1566223652243064</v>
      </c>
      <c r="EL16" s="13">
        <f t="shared" si="45"/>
        <v>2.9441681845143259</v>
      </c>
      <c r="EM16" s="20">
        <f t="shared" si="19"/>
        <v>19.333876874128119</v>
      </c>
      <c r="EN16" s="59">
        <f t="shared" si="20"/>
        <v>218.87487712574693</v>
      </c>
      <c r="EO16" s="59">
        <f ca="1">AVERAGE(OFFSET($EN$3,0,0,'Données projet'!$E$15+1,1))-AVERAGE(OFFSET($H$3,0,0,'Données projet'!$E$15+1,1))</f>
        <v>294.24530606293143</v>
      </c>
      <c r="EP16" s="59">
        <f t="shared" si="46"/>
        <v>275.88160405468193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3.04</v>
      </c>
      <c r="FE16" s="12">
        <f>IF('Données projet'!$A$218&gt;35,FE15+FD16-FM15,IF(A16&lt;'Données projet'!$A$218,$FB$205^A16,IF(A16='Données projet'!$A$218,'Données projet'!$B$218,FE15+FD16-FM15)))</f>
        <v>9.5065528732218016</v>
      </c>
      <c r="FF16" s="17">
        <f>FE16*VLOOKUP('Données projet'!$B$16,Paramètres!$A$1:$I$89,3,0)*VLOOKUP('Données projet'!$B$16,Paramètres!$A$1:$I$89,5,0)</f>
        <v>6.9702045666462258</v>
      </c>
      <c r="FG16" s="13">
        <f t="shared" si="47"/>
        <v>2.5623816179561074</v>
      </c>
      <c r="FH16" s="20">
        <f t="shared" si="22"/>
        <v>16.602587604849063</v>
      </c>
      <c r="FI16" s="59">
        <f t="shared" si="23"/>
        <v>216.14358785646789</v>
      </c>
      <c r="FJ16" s="59">
        <f ca="1">AVERAGE(OFFSET($FI$3,0,0,'Données projet'!$E$16+1,1))-AVERAGE(OFFSET($H$3,0,0,'Données projet'!$E$16+1,1))</f>
        <v>214.31585175697521</v>
      </c>
      <c r="FK16" s="59">
        <f t="shared" si="48"/>
        <v>244.60383864821372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6.32</v>
      </c>
      <c r="FZ16" s="12">
        <f>IF('Données projet'!$A$244&gt;35,FZ15+FY16-GH15,IF(A16&lt;'Données projet'!$A$244,$FW$205^A16,IF(A16='Données projet'!$A$244,'Données projet'!$B$244,FZ15+FY16-GH15)))</f>
        <v>13.909185054203489</v>
      </c>
      <c r="GA16" s="17">
        <f>FZ16*VLOOKUP('Données projet'!$B$17,Paramètres!$A$1:$I$89,3,0)*VLOOKUP('Données projet'!$B$17,Paramètres!$A$1:$I$89,5,0)</f>
        <v>11.066147629124295</v>
      </c>
      <c r="GB16" s="13">
        <f t="shared" si="49"/>
        <v>3.8550262233505381</v>
      </c>
      <c r="GC16" s="20">
        <f t="shared" si="25"/>
        <v>25.987711126393666</v>
      </c>
      <c r="GD16" s="59">
        <f t="shared" si="26"/>
        <v>225.52871137801247</v>
      </c>
      <c r="GE16" s="59">
        <f ca="1">AVERAGE(OFFSET($GD$3,0,0,'Données projet'!$E$17+1,1))-AVERAGE(OFFSET($H$3,0,0,'Données projet'!$E$17+1,1))</f>
        <v>308.33954512886351</v>
      </c>
      <c r="GF16" s="59">
        <f t="shared" si="50"/>
        <v>408.79075392716277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256.55567794791892</v>
      </c>
      <c r="S17" s="59">
        <f ca="1">AVERAGE(OFFSET($R$3,0,0,'Données projet'!$E$9+1,1))-AVERAGE(OFFSET($H$3,0,0,'Données projet'!$E$9+1,1))</f>
        <v>342.84342155097613</v>
      </c>
      <c r="T17" s="59">
        <f t="shared" si="34"/>
        <v>565.68976940602215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3.04</v>
      </c>
      <c r="AI17" s="13">
        <f>IF('Données projet'!$A$62&gt;35,AI16+AH17-AQ16,IF(A17&lt;'Données projet'!$A$62,$AF$205^A17,IF(A17='Données projet'!$A$62,'Données projet'!$B$62,AI16+AH17-AQ16)))</f>
        <v>11.304610717110355</v>
      </c>
      <c r="AJ17" s="13">
        <f>AI17*VLOOKUP('Données projet'!$B$10,Paramètres!$A$1:$I$89,3,0)*VLOOKUP('Données projet'!$B$10,Paramètres!$A$1:$I$89,5,0)</f>
        <v>10.757467558402213</v>
      </c>
      <c r="AK17" s="13">
        <f t="shared" si="35"/>
        <v>3.7598546893975726</v>
      </c>
      <c r="AL17" s="20">
        <f t="shared" si="4"/>
        <v>25.284336248251293</v>
      </c>
      <c r="AM17" s="59">
        <f t="shared" si="5"/>
        <v>227.31419802052449</v>
      </c>
      <c r="AN17" s="59">
        <f ca="1">AVERAGE(OFFSET($AM$3,0,0,'Données projet'!$E$10+1,1))-AVERAGE(OFFSET($H$3,0,0,'Données projet'!$E$10+1,1))</f>
        <v>320.33056209214476</v>
      </c>
      <c r="AO17" s="59">
        <f t="shared" si="36"/>
        <v>299.27200854723446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258.23382436289648</v>
      </c>
      <c r="BI17" s="59">
        <f ca="1">AVERAGE(OFFSET($BH$3,0,0,'Données projet'!$E$11+1,1))-AVERAGE(OFFSET($H$3,0,0,'Données projet'!$E$11+1,1))</f>
        <v>256.85706398254547</v>
      </c>
      <c r="BJ17" s="59">
        <f t="shared" si="38"/>
        <v>363.68094621014734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</v>
      </c>
      <c r="BY17" s="12">
        <f>IF('Données projet'!$A$114&gt;35,BY16+BX17-CG16,IF(A17&lt;'Données projet'!$A$114,$BV$205^A17,IF(A17='Données projet'!$A$114,'Données projet'!$B$114,BY16+BX17-CG16)))</f>
        <v>42</v>
      </c>
      <c r="BZ17" s="13">
        <f>BY17*VLOOKUP('Données projet'!$B$12,Paramètres!$A$1:$I$89,3,0)*VLOOKUP('Données projet'!$B$12,Paramètres!$A$1:$I$89,5,0)</f>
        <v>38.001600000000003</v>
      </c>
      <c r="CA17" s="13">
        <f t="shared" si="39"/>
        <v>11.467401227090512</v>
      </c>
      <c r="CB17" s="20">
        <f t="shared" si="10"/>
        <v>86.158510470515978</v>
      </c>
      <c r="CC17" s="59">
        <f t="shared" si="11"/>
        <v>288.18837224278917</v>
      </c>
      <c r="CD17" s="59">
        <f ca="1">AVERAGE(OFFSET($CC$3,0,0,'Données projet'!$E$12+1,1))-AVERAGE(OFFSET($H$3,0,0,'Données projet'!$E$12+1,1))</f>
        <v>357.68828740212223</v>
      </c>
      <c r="CE17" s="59">
        <f t="shared" si="40"/>
        <v>236.76626845829483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6.32</v>
      </c>
      <c r="CT17" s="12">
        <f>IF('Données projet'!$A$140&gt;35,CT16+CS17-DB16,IF(A17&lt;'Données projet'!$A$140,$CQ$205^A17,IF(A17='Données projet'!$A$140,'Données projet'!$B$140,CT16+CS17-DB16)))</f>
        <v>17.031306656788409</v>
      </c>
      <c r="CU17" s="17">
        <f>CT17*VLOOKUP('Données projet'!$B$13,Paramètres!$A$1:$I$89,3,0)*VLOOKUP('Données projet'!$B$13,Paramètres!$A$1:$I$89,5,0)</f>
        <v>11.158912121527765</v>
      </c>
      <c r="CV17" s="13">
        <f t="shared" si="41"/>
        <v>3.8835664279421382</v>
      </c>
      <c r="CW17" s="20">
        <f t="shared" si="13"/>
        <v>26.198983473660078</v>
      </c>
      <c r="CX17" s="59">
        <f t="shared" si="14"/>
        <v>228.22884524593326</v>
      </c>
      <c r="CY17" s="59">
        <f ca="1">AVERAGE(OFFSET($CX$3,0,0,'Données projet'!$E$13+1,1))-AVERAGE(OFFSET($H$3,0,0,'Données projet'!$E$13+1,1))</f>
        <v>220.18342986563667</v>
      </c>
      <c r="CZ17" s="59">
        <f t="shared" si="42"/>
        <v>347.84382145531163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</v>
      </c>
      <c r="DO17" s="12">
        <f>IF('Données projet'!$A$166&gt;35,DO16+DN17-DW16,IF(A17&lt;'Données projet'!$A$166,$DL$205^A17,IF(A17='Données projet'!$A$166,'Données projet'!$B$166,DO16+DN17-DW16)))</f>
        <v>42</v>
      </c>
      <c r="DP17" s="17">
        <f>DO17*VLOOKUP('Données projet'!$B$14,Paramètres!$A$1:$I$89,3,0)*VLOOKUP('Données projet'!$B$14,Paramètres!$A$1:$I$89,5,0)</f>
        <v>42.588000000000001</v>
      </c>
      <c r="DQ17" s="13">
        <f t="shared" si="43"/>
        <v>12.682073764365764</v>
      </c>
      <c r="DR17" s="20">
        <f t="shared" si="16"/>
        <v>96.262045139603686</v>
      </c>
      <c r="DS17" s="59">
        <f t="shared" si="17"/>
        <v>298.29190691187688</v>
      </c>
      <c r="DT17" s="59">
        <f ca="1">AVERAGE(OFFSET($DS$3,0,0,'Données projet'!$E$14+1,1))-AVERAGE(OFFSET($H$3,0,0,'Données projet'!$E$14+1,1))</f>
        <v>392.49465607243178</v>
      </c>
      <c r="DU17" s="59">
        <f t="shared" si="44"/>
        <v>258.031856676031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3.04</v>
      </c>
      <c r="EJ17" s="12">
        <f>IF('Données projet'!$A$192&gt;35,EJ16+EI17-ER16,IF(A17&lt;'Données projet'!$A$192,$EG$205^A17,IF(A17='Données projet'!$A$192,'Données projet'!$B$192,EJ16+EI17-ER16)))</f>
        <v>11.304610717110355</v>
      </c>
      <c r="EK17" s="17">
        <f>EJ17*VLOOKUP('Données projet'!$B$15,Paramètres!$A$1:$I$89,3,0)*VLOOKUP('Données projet'!$B$15,Paramètres!$A$1:$I$89,5,0)</f>
        <v>9.6993559952806851</v>
      </c>
      <c r="EL17" s="13">
        <f t="shared" si="45"/>
        <v>3.4311372510816627</v>
      </c>
      <c r="EM17" s="20">
        <f t="shared" si="19"/>
        <v>22.868942404081093</v>
      </c>
      <c r="EN17" s="59">
        <f t="shared" si="20"/>
        <v>224.89880417635428</v>
      </c>
      <c r="EO17" s="59">
        <f ca="1">AVERAGE(OFFSET($EN$3,0,0,'Données projet'!$E$15+1,1))-AVERAGE(OFFSET($H$3,0,0,'Données projet'!$E$15+1,1))</f>
        <v>294.24530606293143</v>
      </c>
      <c r="EP17" s="59">
        <f t="shared" si="46"/>
        <v>275.88160405468193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3.04</v>
      </c>
      <c r="FE17" s="12">
        <f>IF('Données projet'!$A$218&gt;35,FE16+FD17-FM16,IF(A17&lt;'Données projet'!$A$218,$FB$205^A17,IF(A17='Données projet'!$A$218,'Données projet'!$B$218,FE16+FD17-FM16)))</f>
        <v>11.304610717110355</v>
      </c>
      <c r="FF17" s="17">
        <f>FE17*VLOOKUP('Données projet'!$B$16,Paramètres!$A$1:$I$89,3,0)*VLOOKUP('Données projet'!$B$16,Paramètres!$A$1:$I$89,5,0)</f>
        <v>8.2885405777853123</v>
      </c>
      <c r="FG17" s="13">
        <f t="shared" si="47"/>
        <v>2.9862027132483324</v>
      </c>
      <c r="FH17" s="20">
        <f t="shared" si="22"/>
        <v>19.636844565216929</v>
      </c>
      <c r="FI17" s="59">
        <f t="shared" si="23"/>
        <v>221.66670633749013</v>
      </c>
      <c r="FJ17" s="59">
        <f ca="1">AVERAGE(OFFSET($FI$3,0,0,'Données projet'!$E$16+1,1))-AVERAGE(OFFSET($H$3,0,0,'Données projet'!$E$16+1,1))</f>
        <v>214.31585175697521</v>
      </c>
      <c r="FK17" s="59">
        <f t="shared" si="48"/>
        <v>244.60383864821372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6.32</v>
      </c>
      <c r="FZ17" s="12">
        <f>IF('Données projet'!$A$244&gt;35,FZ16+FY17-GH16,IF(A17&lt;'Données projet'!$A$244,$FW$205^A17,IF(A17='Données projet'!$A$244,'Données projet'!$B$244,FZ16+FY17-GH16)))</f>
        <v>17.031306656788409</v>
      </c>
      <c r="GA17" s="17">
        <f>FZ17*VLOOKUP('Données projet'!$B$17,Paramètres!$A$1:$I$89,3,0)*VLOOKUP('Données projet'!$B$17,Paramètres!$A$1:$I$89,5,0)</f>
        <v>13.550107576140858</v>
      </c>
      <c r="GB17" s="13">
        <f t="shared" si="49"/>
        <v>4.6103794705094376</v>
      </c>
      <c r="GC17" s="20">
        <f t="shared" si="25"/>
        <v>31.629514939582602</v>
      </c>
      <c r="GD17" s="59">
        <f t="shared" si="26"/>
        <v>233.6593767118558</v>
      </c>
      <c r="GE17" s="59">
        <f ca="1">AVERAGE(OFFSET($GD$3,0,0,'Données projet'!$E$17+1,1))-AVERAGE(OFFSET($H$3,0,0,'Données projet'!$E$17+1,1))</f>
        <v>308.33954512886351</v>
      </c>
      <c r="GF17" s="59">
        <f t="shared" si="50"/>
        <v>408.79075392716277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275.23578556510921</v>
      </c>
      <c r="S18" s="59">
        <f ca="1">AVERAGE(OFFSET($R$3,0,0,'Données projet'!$E$9+1,1))-AVERAGE(OFFSET($H$3,0,0,'Données projet'!$E$9+1,1))</f>
        <v>342.84342155097613</v>
      </c>
      <c r="T18" s="59">
        <f t="shared" si="34"/>
        <v>565.68976940602215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3.04</v>
      </c>
      <c r="AI18" s="13">
        <f>IF('Données projet'!$A$62&gt;35,AI17+AH18-AQ17,IF(A18&lt;'Données projet'!$A$62,$AF$205^A18,IF(A18='Données projet'!$A$62,'Données projet'!$B$62,AI17+AH18-AQ17)))</f>
        <v>13.442751033908303</v>
      </c>
      <c r="AJ18" s="13">
        <f>AI18*VLOOKUP('Données projet'!$B$10,Paramètres!$A$1:$I$89,3,0)*VLOOKUP('Données projet'!$B$10,Paramètres!$A$1:$I$89,5,0)</f>
        <v>12.792121883867141</v>
      </c>
      <c r="AK18" s="13">
        <f t="shared" si="35"/>
        <v>4.3817393147919592</v>
      </c>
      <c r="AL18" s="20">
        <f t="shared" si="4"/>
        <v>29.911141587664599</v>
      </c>
      <c r="AM18" s="59">
        <f t="shared" si="5"/>
        <v>234.40789152054563</v>
      </c>
      <c r="AN18" s="59">
        <f ca="1">AVERAGE(OFFSET($AM$3,0,0,'Données projet'!$E$10+1,1))-AVERAGE(OFFSET($H$3,0,0,'Données projet'!$E$10+1,1))</f>
        <v>320.33056209214476</v>
      </c>
      <c r="AO18" s="59">
        <f t="shared" si="36"/>
        <v>299.27200854723446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277.01628399874488</v>
      </c>
      <c r="BI18" s="59">
        <f ca="1">AVERAGE(OFFSET($BH$3,0,0,'Données projet'!$E$11+1,1))-AVERAGE(OFFSET($H$3,0,0,'Données projet'!$E$11+1,1))</f>
        <v>256.85706398254547</v>
      </c>
      <c r="BJ18" s="59">
        <f t="shared" si="38"/>
        <v>363.68094621014734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</v>
      </c>
      <c r="BY18" s="12">
        <f>IF('Données projet'!$A$114&gt;35,BY17+BX18-CG17,IF(A18&lt;'Données projet'!$A$114,$BV$205^A18,IF(A18='Données projet'!$A$114,'Données projet'!$B$114,BY17+BX18-CG17)))</f>
        <v>45</v>
      </c>
      <c r="BZ18" s="13">
        <f>BY18*VLOOKUP('Données projet'!$B$12,Paramètres!$A$1:$I$89,3,0)*VLOOKUP('Données projet'!$B$12,Paramètres!$A$1:$I$89,5,0)</f>
        <v>40.716000000000001</v>
      </c>
      <c r="CA18" s="13">
        <f t="shared" si="39"/>
        <v>12.188226385475176</v>
      </c>
      <c r="CB18" s="20">
        <f t="shared" si="10"/>
        <v>92.141527621369264</v>
      </c>
      <c r="CC18" s="59">
        <f t="shared" si="11"/>
        <v>296.63827755425029</v>
      </c>
      <c r="CD18" s="59">
        <f ca="1">AVERAGE(OFFSET($CC$3,0,0,'Données projet'!$E$12+1,1))-AVERAGE(OFFSET($H$3,0,0,'Données projet'!$E$12+1,1))</f>
        <v>357.68828740212223</v>
      </c>
      <c r="CE18" s="59">
        <f t="shared" si="40"/>
        <v>236.76626845829483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6.32</v>
      </c>
      <c r="CT18" s="12">
        <f>IF('Données projet'!$A$140&gt;35,CT17+CS18-DB17,IF(A18&lt;'Données projet'!$A$140,$CQ$205^A18,IF(A18='Données projet'!$A$140,'Données projet'!$B$140,CT17+CS18-DB17)))</f>
        <v>20.854234472198975</v>
      </c>
      <c r="CU18" s="17">
        <f>CT18*VLOOKUP('Données projet'!$B$13,Paramètres!$A$1:$I$89,3,0)*VLOOKUP('Données projet'!$B$13,Paramètres!$A$1:$I$89,5,0)</f>
        <v>13.663694426184767</v>
      </c>
      <c r="CV18" s="13">
        <f t="shared" si="41"/>
        <v>4.6445118384129946</v>
      </c>
      <c r="CW18" s="20">
        <f t="shared" si="13"/>
        <v>31.886792577507766</v>
      </c>
      <c r="CX18" s="59">
        <f t="shared" si="14"/>
        <v>236.38354251038882</v>
      </c>
      <c r="CY18" s="59">
        <f ca="1">AVERAGE(OFFSET($CX$3,0,0,'Données projet'!$E$13+1,1))-AVERAGE(OFFSET($H$3,0,0,'Données projet'!$E$13+1,1))</f>
        <v>220.18342986563667</v>
      </c>
      <c r="CZ18" s="59">
        <f t="shared" si="42"/>
        <v>347.84382145531163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</v>
      </c>
      <c r="DO18" s="12">
        <f>IF('Données projet'!$A$166&gt;35,DO17+DN18-DW17,IF(A18&lt;'Données projet'!$A$166,$DL$205^A18,IF(A18='Données projet'!$A$166,'Données projet'!$B$166,DO17+DN18-DW17)))</f>
        <v>45</v>
      </c>
      <c r="DP18" s="17">
        <f>DO18*VLOOKUP('Données projet'!$B$14,Paramètres!$A$1:$I$89,3,0)*VLOOKUP('Données projet'!$B$14,Paramètres!$A$1:$I$89,5,0)</f>
        <v>45.63</v>
      </c>
      <c r="DQ18" s="13">
        <f t="shared" si="43"/>
        <v>13.479251577264561</v>
      </c>
      <c r="DR18" s="20">
        <f t="shared" si="16"/>
        <v>102.94861316373577</v>
      </c>
      <c r="DS18" s="59">
        <f t="shared" si="17"/>
        <v>307.4453630966168</v>
      </c>
      <c r="DT18" s="59">
        <f ca="1">AVERAGE(OFFSET($DS$3,0,0,'Données projet'!$E$14+1,1))-AVERAGE(OFFSET($H$3,0,0,'Données projet'!$E$14+1,1))</f>
        <v>392.49465607243178</v>
      </c>
      <c r="DU18" s="59">
        <f t="shared" si="44"/>
        <v>258.031856676031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3.04</v>
      </c>
      <c r="EJ18" s="12">
        <f>IF('Données projet'!$A$192&gt;35,EJ17+EI18-ER17,IF(A18&lt;'Données projet'!$A$192,$EG$205^A18,IF(A18='Données projet'!$A$192,'Données projet'!$B$192,EJ17+EI18-ER17)))</f>
        <v>13.442751033908303</v>
      </c>
      <c r="EK18" s="17">
        <f>EJ18*VLOOKUP('Données projet'!$B$15,Paramètres!$A$1:$I$89,3,0)*VLOOKUP('Données projet'!$B$15,Paramètres!$A$1:$I$89,5,0)</f>
        <v>11.533880387093326</v>
      </c>
      <c r="EL18" s="13">
        <f t="shared" si="45"/>
        <v>3.9986516047833276</v>
      </c>
      <c r="EM18" s="20">
        <f t="shared" si="19"/>
        <v>27.05249321918517</v>
      </c>
      <c r="EN18" s="59">
        <f t="shared" si="20"/>
        <v>231.54924315206623</v>
      </c>
      <c r="EO18" s="59">
        <f ca="1">AVERAGE(OFFSET($EN$3,0,0,'Données projet'!$E$15+1,1))-AVERAGE(OFFSET($H$3,0,0,'Données projet'!$E$15+1,1))</f>
        <v>294.24530606293143</v>
      </c>
      <c r="EP18" s="59">
        <f t="shared" si="46"/>
        <v>275.88160405468193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3.04</v>
      </c>
      <c r="FE18" s="12">
        <f>IF('Données projet'!$A$218&gt;35,FE17+FD18-FM17,IF(A18&lt;'Données projet'!$A$218,$FB$205^A18,IF(A18='Données projet'!$A$218,'Données projet'!$B$218,FE17+FD18-FM17)))</f>
        <v>13.442751033908303</v>
      </c>
      <c r="FF18" s="17">
        <f>FE18*VLOOKUP('Données projet'!$B$16,Paramètres!$A$1:$I$89,3,0)*VLOOKUP('Données projet'!$B$16,Paramètres!$A$1:$I$89,5,0)</f>
        <v>9.8562250580615682</v>
      </c>
      <c r="FG18" s="13">
        <f t="shared" si="47"/>
        <v>3.4801243429636801</v>
      </c>
      <c r="FH18" s="20">
        <f t="shared" si="22"/>
        <v>23.227475206785641</v>
      </c>
      <c r="FI18" s="59">
        <f t="shared" si="23"/>
        <v>227.72422513966669</v>
      </c>
      <c r="FJ18" s="59">
        <f ca="1">AVERAGE(OFFSET($FI$3,0,0,'Données projet'!$E$16+1,1))-AVERAGE(OFFSET($H$3,0,0,'Données projet'!$E$16+1,1))</f>
        <v>214.31585175697521</v>
      </c>
      <c r="FK18" s="59">
        <f t="shared" si="48"/>
        <v>244.60383864821372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6.32</v>
      </c>
      <c r="FZ18" s="12">
        <f>IF('Données projet'!$A$244&gt;35,FZ17+FY18-GH17,IF(A18&lt;'Données projet'!$A$244,$FW$205^A18,IF(A18='Données projet'!$A$244,'Données projet'!$B$244,FZ17+FY18-GH17)))</f>
        <v>20.854234472198975</v>
      </c>
      <c r="GA18" s="17">
        <f>FZ18*VLOOKUP('Données projet'!$B$17,Paramètres!$A$1:$I$89,3,0)*VLOOKUP('Données projet'!$B$17,Paramètres!$A$1:$I$89,5,0)</f>
        <v>16.591628946081503</v>
      </c>
      <c r="GB18" s="13">
        <f t="shared" si="49"/>
        <v>5.5137365171075023</v>
      </c>
      <c r="GC18" s="20">
        <f t="shared" si="25"/>
        <v>38.500178181720848</v>
      </c>
      <c r="GD18" s="59">
        <f t="shared" si="26"/>
        <v>242.9969281146019</v>
      </c>
      <c r="GE18" s="59">
        <f ca="1">AVERAGE(OFFSET($GD$3,0,0,'Données projet'!$E$17+1,1))-AVERAGE(OFFSET($H$3,0,0,'Données projet'!$E$17+1,1))</f>
        <v>308.33954512886351</v>
      </c>
      <c r="GF18" s="59">
        <f t="shared" si="50"/>
        <v>408.79075392716277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298.73137020070885</v>
      </c>
      <c r="S19" s="59">
        <f ca="1">AVERAGE(OFFSET($R$3,0,0,'Données projet'!$E$9+1,1))-AVERAGE(OFFSET($H$3,0,0,'Données projet'!$E$9+1,1))</f>
        <v>342.84342155097613</v>
      </c>
      <c r="T19" s="59">
        <f t="shared" si="34"/>
        <v>565.68976940602215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3.04</v>
      </c>
      <c r="AI19" s="13">
        <f>IF('Données projet'!$A$62&gt;35,AI18+AH19-AQ18,IF(A19&lt;'Données projet'!$A$62,$AF$205^A19,IF(A19='Données projet'!$A$62,'Données projet'!$B$62,AI18+AH19-AQ18)))</f>
        <v>15.985296608765895</v>
      </c>
      <c r="AJ19" s="13">
        <f>AI19*VLOOKUP('Données projet'!$B$10,Paramètres!$A$1:$I$89,3,0)*VLOOKUP('Données projet'!$B$10,Paramètres!$A$1:$I$89,5,0)</f>
        <v>15.211608252901625</v>
      </c>
      <c r="AK19" s="13">
        <f t="shared" si="35"/>
        <v>5.1064844279579811</v>
      </c>
      <c r="AL19" s="20">
        <f t="shared" si="4"/>
        <v>35.387344752497143</v>
      </c>
      <c r="AM19" s="59">
        <f t="shared" si="5"/>
        <v>242.3293906746112</v>
      </c>
      <c r="AN19" s="59">
        <f ca="1">AVERAGE(OFFSET($AM$3,0,0,'Données projet'!$E$10+1,1))-AVERAGE(OFFSET($H$3,0,0,'Données projet'!$E$10+1,1))</f>
        <v>320.33056209214476</v>
      </c>
      <c r="AO19" s="59">
        <f t="shared" si="36"/>
        <v>299.27200854723446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300.52912061771201</v>
      </c>
      <c r="BI19" s="59">
        <f ca="1">AVERAGE(OFFSET($BH$3,0,0,'Données projet'!$E$11+1,1))-AVERAGE(OFFSET($H$3,0,0,'Données projet'!$E$11+1,1))</f>
        <v>256.85706398254547</v>
      </c>
      <c r="BJ19" s="59">
        <f t="shared" si="38"/>
        <v>363.68094621014734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</v>
      </c>
      <c r="BY19" s="12">
        <f>IF('Données projet'!$A$114&gt;35,BY18+BX19-CG18,IF(A19&lt;'Données projet'!$A$114,$BV$205^A19,IF(A19='Données projet'!$A$114,'Données projet'!$B$114,BY18+BX19-CG18)))</f>
        <v>48</v>
      </c>
      <c r="BZ19" s="13">
        <f>BY19*VLOOKUP('Données projet'!$B$12,Paramètres!$A$1:$I$89,3,0)*VLOOKUP('Données projet'!$B$12,Paramètres!$A$1:$I$89,5,0)</f>
        <v>43.430399999999999</v>
      </c>
      <c r="CA19" s="13">
        <f t="shared" si="39"/>
        <v>12.903475229013621</v>
      </c>
      <c r="CB19" s="20">
        <f t="shared" si="10"/>
        <v>98.114832690532054</v>
      </c>
      <c r="CC19" s="59">
        <f t="shared" si="11"/>
        <v>305.05687861264613</v>
      </c>
      <c r="CD19" s="59">
        <f ca="1">AVERAGE(OFFSET($CC$3,0,0,'Données projet'!$E$12+1,1))-AVERAGE(OFFSET($H$3,0,0,'Données projet'!$E$12+1,1))</f>
        <v>357.68828740212223</v>
      </c>
      <c r="CE19" s="59">
        <f t="shared" si="40"/>
        <v>236.76626845829483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6.32</v>
      </c>
      <c r="CT19" s="12">
        <f>IF('Données projet'!$A$140&gt;35,CT18+CS19-DB18,IF(A19&lt;'Données projet'!$A$140,$CQ$205^A19,IF(A19='Données projet'!$A$140,'Données projet'!$B$140,CT18+CS19-DB18)))</f>
        <v>25.535274784574924</v>
      </c>
      <c r="CU19" s="17">
        <f>CT19*VLOOKUP('Données projet'!$B$13,Paramètres!$A$1:$I$89,3,0)*VLOOKUP('Données projet'!$B$13,Paramètres!$A$1:$I$89,5,0)</f>
        <v>16.73071203885349</v>
      </c>
      <c r="CV19" s="13">
        <f t="shared" si="41"/>
        <v>5.5545567759449801</v>
      </c>
      <c r="CW19" s="20">
        <f t="shared" si="13"/>
        <v>38.813509852440667</v>
      </c>
      <c r="CX19" s="59">
        <f t="shared" si="14"/>
        <v>245.75555577455472</v>
      </c>
      <c r="CY19" s="59">
        <f ca="1">AVERAGE(OFFSET($CX$3,0,0,'Données projet'!$E$13+1,1))-AVERAGE(OFFSET($H$3,0,0,'Données projet'!$E$13+1,1))</f>
        <v>220.18342986563667</v>
      </c>
      <c r="CZ19" s="59">
        <f t="shared" si="42"/>
        <v>347.84382145531163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</v>
      </c>
      <c r="DO19" s="12">
        <f>IF('Données projet'!$A$166&gt;35,DO18+DN19-DW18,IF(A19&lt;'Données projet'!$A$166,$DL$205^A19,IF(A19='Données projet'!$A$166,'Données projet'!$B$166,DO18+DN19-DW18)))</f>
        <v>48</v>
      </c>
      <c r="DP19" s="17">
        <f>DO19*VLOOKUP('Données projet'!$B$14,Paramètres!$A$1:$I$89,3,0)*VLOOKUP('Données projet'!$B$14,Paramètres!$A$1:$I$89,5,0)</f>
        <v>48.672000000000004</v>
      </c>
      <c r="DQ19" s="13">
        <f t="shared" si="43"/>
        <v>14.270262409972053</v>
      </c>
      <c r="DR19" s="20">
        <f t="shared" si="16"/>
        <v>109.62444036403467</v>
      </c>
      <c r="DS19" s="59">
        <f t="shared" si="17"/>
        <v>316.56648628614874</v>
      </c>
      <c r="DT19" s="59">
        <f ca="1">AVERAGE(OFFSET($DS$3,0,0,'Données projet'!$E$14+1,1))-AVERAGE(OFFSET($H$3,0,0,'Données projet'!$E$14+1,1))</f>
        <v>392.49465607243178</v>
      </c>
      <c r="DU19" s="59">
        <f t="shared" si="44"/>
        <v>258.031856676031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3.04</v>
      </c>
      <c r="EJ19" s="12">
        <f>IF('Données projet'!$A$192&gt;35,EJ18+EI19-ER18,IF(A19&lt;'Données projet'!$A$192,$EG$205^A19,IF(A19='Données projet'!$A$192,'Données projet'!$B$192,EJ18+EI19-ER18)))</f>
        <v>15.985296608765895</v>
      </c>
      <c r="EK19" s="17">
        <f>EJ19*VLOOKUP('Données projet'!$B$15,Paramètres!$A$1:$I$89,3,0)*VLOOKUP('Données projet'!$B$15,Paramètres!$A$1:$I$89,5,0)</f>
        <v>13.71538449032114</v>
      </c>
      <c r="EL19" s="13">
        <f t="shared" si="45"/>
        <v>4.6600335359349723</v>
      </c>
      <c r="EM19" s="20">
        <f t="shared" si="19"/>
        <v>32.003853062396061</v>
      </c>
      <c r="EN19" s="59">
        <f t="shared" si="20"/>
        <v>238.94589898451011</v>
      </c>
      <c r="EO19" s="59">
        <f ca="1">AVERAGE(OFFSET($EN$3,0,0,'Données projet'!$E$15+1,1))-AVERAGE(OFFSET($H$3,0,0,'Données projet'!$E$15+1,1))</f>
        <v>294.24530606293143</v>
      </c>
      <c r="EP19" s="59">
        <f t="shared" si="46"/>
        <v>275.88160405468193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3.04</v>
      </c>
      <c r="FE19" s="12">
        <f>IF('Données projet'!$A$218&gt;35,FE18+FD19-FM18,IF(A19&lt;'Données projet'!$A$218,$FB$205^A19,IF(A19='Données projet'!$A$218,'Données projet'!$B$218,FE18+FD19-FM18)))</f>
        <v>15.985296608765895</v>
      </c>
      <c r="FF19" s="17">
        <f>FE19*VLOOKUP('Données projet'!$B$16,Paramètres!$A$1:$I$89,3,0)*VLOOKUP('Données projet'!$B$16,Paramètres!$A$1:$I$89,5,0)</f>
        <v>11.720419473547155</v>
      </c>
      <c r="FG19" s="13">
        <f t="shared" si="47"/>
        <v>4.0557412223746807</v>
      </c>
      <c r="FH19" s="20">
        <f t="shared" si="22"/>
        <v>27.47681321206386</v>
      </c>
      <c r="FI19" s="59">
        <f t="shared" si="23"/>
        <v>234.41885913417792</v>
      </c>
      <c r="FJ19" s="59">
        <f ca="1">AVERAGE(OFFSET($FI$3,0,0,'Données projet'!$E$16+1,1))-AVERAGE(OFFSET($H$3,0,0,'Données projet'!$E$16+1,1))</f>
        <v>214.31585175697521</v>
      </c>
      <c r="FK19" s="59">
        <f t="shared" si="48"/>
        <v>244.60383864821372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6.32</v>
      </c>
      <c r="FZ19" s="12">
        <f>IF('Données projet'!$A$244&gt;35,FZ18+FY19-GH18,IF(A19&lt;'Données projet'!$A$244,$FW$205^A19,IF(A19='Données projet'!$A$244,'Données projet'!$B$244,FZ18+FY19-GH18)))</f>
        <v>25.535274784574924</v>
      </c>
      <c r="GA19" s="17">
        <f>FZ19*VLOOKUP('Données projet'!$B$17,Paramètres!$A$1:$I$89,3,0)*VLOOKUP('Données projet'!$B$17,Paramètres!$A$1:$I$89,5,0)</f>
        <v>20.315864618607812</v>
      </c>
      <c r="GB19" s="13">
        <f t="shared" si="49"/>
        <v>6.5940972049152169</v>
      </c>
      <c r="GC19" s="20">
        <f t="shared" si="25"/>
        <v>46.868183509302604</v>
      </c>
      <c r="GD19" s="59">
        <f t="shared" si="26"/>
        <v>253.81022943141667</v>
      </c>
      <c r="GE19" s="59">
        <f ca="1">AVERAGE(OFFSET($GD$3,0,0,'Données projet'!$E$17+1,1))-AVERAGE(OFFSET($H$3,0,0,'Données projet'!$E$17+1,1))</f>
        <v>308.33954512886351</v>
      </c>
      <c r="GF19" s="59">
        <f t="shared" si="50"/>
        <v>408.79075392716277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328.49033448143473</v>
      </c>
      <c r="S20" s="59">
        <f ca="1">AVERAGE(OFFSET($R$3,0,0,'Données projet'!$E$9+1,1))-AVERAGE(OFFSET($H$3,0,0,'Données projet'!$E$9+1,1))</f>
        <v>342.84342155097613</v>
      </c>
      <c r="T20" s="59">
        <f t="shared" si="34"/>
        <v>565.68976940602215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3.04</v>
      </c>
      <c r="AI20" s="13">
        <f>IF('Données projet'!$A$62&gt;35,AI19+AH20-AQ19,IF(A20&lt;'Données projet'!$A$62,$AF$205^A20,IF(A20='Données projet'!$A$62,'Données projet'!$B$62,AI19+AH20-AQ19)))</f>
        <v>19.008736160155642</v>
      </c>
      <c r="AJ20" s="13">
        <f>AI20*VLOOKUP('Données projet'!$B$10,Paramètres!$A$1:$I$89,3,0)*VLOOKUP('Données projet'!$B$10,Paramètres!$A$1:$I$89,5,0)</f>
        <v>18.088713330004111</v>
      </c>
      <c r="AK20" s="13">
        <f t="shared" si="35"/>
        <v>5.9511032810530002</v>
      </c>
      <c r="AL20" s="20">
        <f t="shared" si="4"/>
        <v>41.869347264257804</v>
      </c>
      <c r="AM20" s="59">
        <f t="shared" si="5"/>
        <v>251.23547158013054</v>
      </c>
      <c r="AN20" s="59">
        <f ca="1">AVERAGE(OFFSET($AM$3,0,0,'Données projet'!$E$10+1,1))-AVERAGE(OFFSET($H$3,0,0,'Données projet'!$E$10+1,1))</f>
        <v>320.33056209214476</v>
      </c>
      <c r="AO20" s="59">
        <f t="shared" si="36"/>
        <v>299.27200854723446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330.16095815006327</v>
      </c>
      <c r="BI20" s="59">
        <f ca="1">AVERAGE(OFFSET($BH$3,0,0,'Données projet'!$E$11+1,1))-AVERAGE(OFFSET($H$3,0,0,'Données projet'!$E$11+1,1))</f>
        <v>256.85706398254547</v>
      </c>
      <c r="BJ20" s="59">
        <f t="shared" si="38"/>
        <v>363.68094621014734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</v>
      </c>
      <c r="BY20" s="12">
        <f>IF('Données projet'!$A$114&gt;35,BY19+BX20-CG19,IF(A20&lt;'Données projet'!$A$114,$BV$205^A20,IF(A20='Données projet'!$A$114,'Données projet'!$B$114,BY19+BX20-CG19)))</f>
        <v>51</v>
      </c>
      <c r="BZ20" s="13">
        <f>BY20*VLOOKUP('Données projet'!$B$12,Paramètres!$A$1:$I$89,3,0)*VLOOKUP('Données projet'!$B$12,Paramètres!$A$1:$I$89,5,0)</f>
        <v>46.144799999999996</v>
      </c>
      <c r="CA20" s="13">
        <f t="shared" si="39"/>
        <v>13.613535954240801</v>
      </c>
      <c r="CB20" s="20">
        <f t="shared" si="10"/>
        <v>104.07910178696937</v>
      </c>
      <c r="CC20" s="59">
        <f t="shared" si="11"/>
        <v>313.44522610284207</v>
      </c>
      <c r="CD20" s="59">
        <f ca="1">AVERAGE(OFFSET($CC$3,0,0,'Données projet'!$E$12+1,1))-AVERAGE(OFFSET($H$3,0,0,'Données projet'!$E$12+1,1))</f>
        <v>357.68828740212223</v>
      </c>
      <c r="CE20" s="59">
        <f t="shared" si="40"/>
        <v>236.76626845829483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6.32</v>
      </c>
      <c r="CT20" s="12">
        <f>IF('Données projet'!$A$140&gt;35,CT19+CS20-DB19,IF(A20&lt;'Données projet'!$A$140,$CQ$205^A20,IF(A20='Données projet'!$A$140,'Données projet'!$B$140,CT19+CS20-DB19)))</f>
        <v>31.267043592178069</v>
      </c>
      <c r="CU20" s="17">
        <f>CT20*VLOOKUP('Données projet'!$B$13,Paramètres!$A$1:$I$89,3,0)*VLOOKUP('Données projet'!$B$13,Paramètres!$A$1:$I$89,5,0)</f>
        <v>20.486166961595071</v>
      </c>
      <c r="CV20" s="13">
        <f t="shared" si="41"/>
        <v>6.6429157790108349</v>
      </c>
      <c r="CW20" s="20">
        <f t="shared" si="13"/>
        <v>47.249819106555286</v>
      </c>
      <c r="CX20" s="59">
        <f t="shared" si="14"/>
        <v>256.61594342242802</v>
      </c>
      <c r="CY20" s="59">
        <f ca="1">AVERAGE(OFFSET($CX$3,0,0,'Données projet'!$E$13+1,1))-AVERAGE(OFFSET($H$3,0,0,'Données projet'!$E$13+1,1))</f>
        <v>220.18342986563667</v>
      </c>
      <c r="CZ20" s="59">
        <f t="shared" si="42"/>
        <v>347.84382145531163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</v>
      </c>
      <c r="DO20" s="12">
        <f>IF('Données projet'!$A$166&gt;35,DO19+DN20-DW19,IF(A20&lt;'Données projet'!$A$166,$DL$205^A20,IF(A20='Données projet'!$A$166,'Données projet'!$B$166,DO19+DN20-DW19)))</f>
        <v>51</v>
      </c>
      <c r="DP20" s="17">
        <f>DO20*VLOOKUP('Données projet'!$B$14,Paramètres!$A$1:$I$89,3,0)*VLOOKUP('Données projet'!$B$14,Paramètres!$A$1:$I$89,5,0)</f>
        <v>51.713999999999999</v>
      </c>
      <c r="DQ20" s="13">
        <f t="shared" si="43"/>
        <v>15.055535578337075</v>
      </c>
      <c r="DR20" s="20">
        <f t="shared" si="16"/>
        <v>116.29027446560372</v>
      </c>
      <c r="DS20" s="59">
        <f t="shared" si="17"/>
        <v>325.65639878147647</v>
      </c>
      <c r="DT20" s="59">
        <f ca="1">AVERAGE(OFFSET($DS$3,0,0,'Données projet'!$E$14+1,1))-AVERAGE(OFFSET($H$3,0,0,'Données projet'!$E$14+1,1))</f>
        <v>392.49465607243178</v>
      </c>
      <c r="DU20" s="59">
        <f t="shared" si="44"/>
        <v>258.031856676031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3.04</v>
      </c>
      <c r="EJ20" s="12">
        <f>IF('Données projet'!$A$192&gt;35,EJ19+EI20-ER19,IF(A20&lt;'Données projet'!$A$192,$EG$205^A20,IF(A20='Données projet'!$A$192,'Données projet'!$B$192,EJ19+EI20-ER19)))</f>
        <v>19.008736160155642</v>
      </c>
      <c r="EK20" s="17">
        <f>EJ20*VLOOKUP('Données projet'!$B$15,Paramètres!$A$1:$I$89,3,0)*VLOOKUP('Données projet'!$B$15,Paramètres!$A$1:$I$89,5,0)</f>
        <v>16.309495625413543</v>
      </c>
      <c r="EL20" s="13">
        <f t="shared" si="45"/>
        <v>5.4308088581814085</v>
      </c>
      <c r="EM20" s="20">
        <f t="shared" si="19"/>
        <v>37.864363642261203</v>
      </c>
      <c r="EN20" s="59">
        <f t="shared" si="20"/>
        <v>247.23048795813392</v>
      </c>
      <c r="EO20" s="59">
        <f ca="1">AVERAGE(OFFSET($EN$3,0,0,'Données projet'!$E$15+1,1))-AVERAGE(OFFSET($H$3,0,0,'Données projet'!$E$15+1,1))</f>
        <v>294.24530606293143</v>
      </c>
      <c r="EP20" s="59">
        <f t="shared" si="46"/>
        <v>275.88160405468193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3.04</v>
      </c>
      <c r="FE20" s="12">
        <f>IF('Données projet'!$A$218&gt;35,FE19+FD20-FM19,IF(A20&lt;'Données projet'!$A$218,$FB$205^A20,IF(A20='Données projet'!$A$218,'Données projet'!$B$218,FE19+FD20-FM19)))</f>
        <v>19.008736160155642</v>
      </c>
      <c r="FF20" s="17">
        <f>FE20*VLOOKUP('Données projet'!$B$16,Paramètres!$A$1:$I$89,3,0)*VLOOKUP('Données projet'!$B$16,Paramètres!$A$1:$I$89,5,0)</f>
        <v>13.937205352626117</v>
      </c>
      <c r="FG20" s="13">
        <f t="shared" si="47"/>
        <v>4.7265658470298328</v>
      </c>
      <c r="FH20" s="20">
        <f t="shared" si="22"/>
        <v>32.506068172734111</v>
      </c>
      <c r="FI20" s="59">
        <f t="shared" si="23"/>
        <v>241.87219248860683</v>
      </c>
      <c r="FJ20" s="59">
        <f ca="1">AVERAGE(OFFSET($FI$3,0,0,'Données projet'!$E$16+1,1))-AVERAGE(OFFSET($H$3,0,0,'Données projet'!$E$16+1,1))</f>
        <v>214.31585175697521</v>
      </c>
      <c r="FK20" s="59">
        <f t="shared" si="48"/>
        <v>244.60383864821372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6.32</v>
      </c>
      <c r="FZ20" s="12">
        <f>IF('Données projet'!$A$244&gt;35,FZ19+FY20-GH19,IF(A20&lt;'Données projet'!$A$244,$FW$205^A20,IF(A20='Données projet'!$A$244,'Données projet'!$B$244,FZ19+FY20-GH19)))</f>
        <v>31.267043592178069</v>
      </c>
      <c r="GA20" s="17">
        <f>FZ20*VLOOKUP('Données projet'!$B$17,Paramètres!$A$1:$I$89,3,0)*VLOOKUP('Données projet'!$B$17,Paramètres!$A$1:$I$89,5,0)</f>
        <v>24.876059881936875</v>
      </c>
      <c r="GB20" s="13">
        <f t="shared" si="49"/>
        <v>7.8861436002533765</v>
      </c>
      <c r="GC20" s="20">
        <f t="shared" si="25"/>
        <v>57.06083773148135</v>
      </c>
      <c r="GD20" s="59">
        <f t="shared" si="26"/>
        <v>266.4269620473541</v>
      </c>
      <c r="GE20" s="59">
        <f ca="1">AVERAGE(OFFSET($GD$3,0,0,'Données projet'!$E$17+1,1))-AVERAGE(OFFSET($H$3,0,0,'Données projet'!$E$17+1,1))</f>
        <v>308.33954512886351</v>
      </c>
      <c r="GF20" s="59">
        <f t="shared" si="50"/>
        <v>408.79075392716277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366.39497528089498</v>
      </c>
      <c r="S21" s="59">
        <f ca="1">AVERAGE(OFFSET($R$3,0,0,'Données projet'!$E$9+1,1))-AVERAGE(OFFSET($H$3,0,0,'Données projet'!$E$9+1,1))</f>
        <v>342.84342155097613</v>
      </c>
      <c r="T21" s="59">
        <f t="shared" si="34"/>
        <v>565.68976940602215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3.04</v>
      </c>
      <c r="AI21" s="13">
        <f>IF('Données projet'!$A$62&gt;35,AI20+AH21-AQ20,IF(A21&lt;'Données projet'!$A$62,$AF$205^A21,IF(A21='Données projet'!$A$62,'Données projet'!$B$62,AI20+AH21-AQ20)))</f>
        <v>22.604025389698691</v>
      </c>
      <c r="AJ21" s="13">
        <f>AI21*VLOOKUP('Données projet'!$B$10,Paramètres!$A$1:$I$89,3,0)*VLOOKUP('Données projet'!$B$10,Paramètres!$A$1:$I$89,5,0)</f>
        <v>21.509990560837274</v>
      </c>
      <c r="AK21" s="13">
        <f t="shared" si="35"/>
        <v>6.9354231392265397</v>
      </c>
      <c r="AL21" s="20">
        <f t="shared" si="4"/>
        <v>49.542428860944476</v>
      </c>
      <c r="AM21" s="59">
        <f t="shared" si="5"/>
        <v>261.31178205294759</v>
      </c>
      <c r="AN21" s="59">
        <f ca="1">AVERAGE(OFFSET($AM$3,0,0,'Données projet'!$E$10+1,1))-AVERAGE(OFFSET($H$3,0,0,'Données projet'!$E$10+1,1))</f>
        <v>320.33056209214476</v>
      </c>
      <c r="AO21" s="59">
        <f t="shared" si="36"/>
        <v>299.27200854723446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367.70711202020766</v>
      </c>
      <c r="BI21" s="59">
        <f ca="1">AVERAGE(OFFSET($BH$3,0,0,'Données projet'!$E$11+1,1))-AVERAGE(OFFSET($H$3,0,0,'Données projet'!$E$11+1,1))</f>
        <v>256.85706398254547</v>
      </c>
      <c r="BJ21" s="59">
        <f t="shared" si="38"/>
        <v>363.68094621014734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</v>
      </c>
      <c r="BO21" s="16">
        <f>IF(ISNA(VLOOKUP(A21,'Données projet'!$A$87:$I$107,7,0)),0%,VLOOKUP(A21,'Données projet'!$A$87:$I$107,7,0))</f>
        <v>0.5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4.9471016988474039</v>
      </c>
      <c r="BR21" s="21">
        <f>EXP(-LN(2)/2)*BR20+(1-EXP(-LN(2)/2))/(LN(2)/2)*BL21*BO21*VLOOKUP('Données projet'!$B$11,Paramètres!$A$1:$I$89,3,0)*0.475*44/12</f>
        <v>7.0651295365651476</v>
      </c>
      <c r="BS21" s="22">
        <f t="shared" si="9"/>
        <v>12.012231235412552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</v>
      </c>
      <c r="BY21" s="12">
        <f>IF('Données projet'!$A$114&gt;35,BY20+BX21-CG20,IF(A21&lt;'Données projet'!$A$114,$BV$205^A21,IF(A21='Données projet'!$A$114,'Données projet'!$B$114,BY20+BX21-CG20)))</f>
        <v>54</v>
      </c>
      <c r="BZ21" s="13">
        <f>BY21*VLOOKUP('Données projet'!$B$12,Paramètres!$A$1:$I$89,3,0)*VLOOKUP('Données projet'!$B$12,Paramètres!$A$1:$I$89,5,0)</f>
        <v>48.859199999999994</v>
      </c>
      <c r="CA21" s="13">
        <f t="shared" si="39"/>
        <v>14.318748507569314</v>
      </c>
      <c r="CB21" s="20">
        <f t="shared" si="10"/>
        <v>110.03492698401654</v>
      </c>
      <c r="CC21" s="59">
        <f t="shared" si="11"/>
        <v>321.80428017601963</v>
      </c>
      <c r="CD21" s="59">
        <f ca="1">AVERAGE(OFFSET($CC$3,0,0,'Données projet'!$E$12+1,1))-AVERAGE(OFFSET($H$3,0,0,'Données projet'!$E$12+1,1))</f>
        <v>357.68828740212223</v>
      </c>
      <c r="CE21" s="59">
        <f t="shared" si="40"/>
        <v>236.76626845829483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6.32</v>
      </c>
      <c r="CT21" s="12">
        <f>IF('Données projet'!$A$140&gt;35,CT20+CS21-DB20,IF(A21&lt;'Données projet'!$A$140,$CQ$205^A21,IF(A21='Données projet'!$A$140,'Données projet'!$B$140,CT20+CS21-DB20)))</f>
        <v>38.285392393181475</v>
      </c>
      <c r="CU21" s="17">
        <f>CT21*VLOOKUP('Données projet'!$B$13,Paramètres!$A$1:$I$89,3,0)*VLOOKUP('Données projet'!$B$13,Paramètres!$A$1:$I$89,5,0)</f>
        <v>25.0845890960125</v>
      </c>
      <c r="CV21" s="13">
        <f t="shared" si="41"/>
        <v>7.944527678272526</v>
      </c>
      <c r="CW21" s="20">
        <f t="shared" si="13"/>
        <v>57.525711715213085</v>
      </c>
      <c r="CX21" s="59">
        <f t="shared" si="14"/>
        <v>269.29506490721622</v>
      </c>
      <c r="CY21" s="59">
        <f ca="1">AVERAGE(OFFSET($CX$3,0,0,'Données projet'!$E$13+1,1))-AVERAGE(OFFSET($H$3,0,0,'Données projet'!$E$13+1,1))</f>
        <v>220.18342986563667</v>
      </c>
      <c r="CZ21" s="59">
        <f t="shared" si="42"/>
        <v>347.84382145531163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</v>
      </c>
      <c r="DO21" s="12">
        <f>IF('Données projet'!$A$166&gt;35,DO20+DN21-DW20,IF(A21&lt;'Données projet'!$A$166,$DL$205^A21,IF(A21='Données projet'!$A$166,'Données projet'!$B$166,DO20+DN21-DW20)))</f>
        <v>54</v>
      </c>
      <c r="DP21" s="17">
        <f>DO21*VLOOKUP('Données projet'!$B$14,Paramètres!$A$1:$I$89,3,0)*VLOOKUP('Données projet'!$B$14,Paramètres!$A$1:$I$89,5,0)</f>
        <v>54.756000000000007</v>
      </c>
      <c r="DQ21" s="13">
        <f t="shared" si="43"/>
        <v>15.835447037242044</v>
      </c>
      <c r="DR21" s="20">
        <f t="shared" si="16"/>
        <v>122.94677025652992</v>
      </c>
      <c r="DS21" s="59">
        <f t="shared" si="17"/>
        <v>334.71612344853304</v>
      </c>
      <c r="DT21" s="59">
        <f ca="1">AVERAGE(OFFSET($DS$3,0,0,'Données projet'!$E$14+1,1))-AVERAGE(OFFSET($H$3,0,0,'Données projet'!$E$14+1,1))</f>
        <v>392.49465607243178</v>
      </c>
      <c r="DU21" s="59">
        <f t="shared" si="44"/>
        <v>258.031856676031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3.04</v>
      </c>
      <c r="EJ21" s="12">
        <f>IF('Données projet'!$A$192&gt;35,EJ20+EI21-ER20,IF(A21&lt;'Données projet'!$A$192,$EG$205^A21,IF(A21='Données projet'!$A$192,'Données projet'!$B$192,EJ20+EI21-ER20)))</f>
        <v>22.604025389698691</v>
      </c>
      <c r="EK21" s="17">
        <f>EJ21*VLOOKUP('Données projet'!$B$15,Paramètres!$A$1:$I$89,3,0)*VLOOKUP('Données projet'!$B$15,Paramètres!$A$1:$I$89,5,0)</f>
        <v>19.394253784361478</v>
      </c>
      <c r="EL21" s="13">
        <f t="shared" si="45"/>
        <v>6.329071373986185</v>
      </c>
      <c r="EM21" s="20">
        <f t="shared" si="19"/>
        <v>44.80145798412218</v>
      </c>
      <c r="EN21" s="59">
        <f t="shared" si="20"/>
        <v>256.57081117612529</v>
      </c>
      <c r="EO21" s="59">
        <f ca="1">AVERAGE(OFFSET($EN$3,0,0,'Données projet'!$E$15+1,1))-AVERAGE(OFFSET($H$3,0,0,'Données projet'!$E$15+1,1))</f>
        <v>294.24530606293143</v>
      </c>
      <c r="EP21" s="59">
        <f t="shared" si="46"/>
        <v>275.88160405468193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3.04</v>
      </c>
      <c r="FE21" s="12">
        <f>IF('Données projet'!$A$218&gt;35,FE20+FD21-FM20,IF(A21&lt;'Données projet'!$A$218,$FB$205^A21,IF(A21='Données projet'!$A$218,'Données projet'!$B$218,FE20+FD21-FM20)))</f>
        <v>22.604025389698691</v>
      </c>
      <c r="FF21" s="17">
        <f>FE21*VLOOKUP('Données projet'!$B$16,Paramètres!$A$1:$I$89,3,0)*VLOOKUP('Données projet'!$B$16,Paramètres!$A$1:$I$89,5,0)</f>
        <v>16.573271415727081</v>
      </c>
      <c r="FG21" s="13">
        <f t="shared" si="47"/>
        <v>5.508345695988039</v>
      </c>
      <c r="FH21" s="20">
        <f t="shared" si="22"/>
        <v>38.4588164695705</v>
      </c>
      <c r="FI21" s="59">
        <f t="shared" si="23"/>
        <v>250.22816966157362</v>
      </c>
      <c r="FJ21" s="59">
        <f ca="1">AVERAGE(OFFSET($FI$3,0,0,'Données projet'!$E$16+1,1))-AVERAGE(OFFSET($H$3,0,0,'Données projet'!$E$16+1,1))</f>
        <v>214.31585175697521</v>
      </c>
      <c r="FK21" s="59">
        <f t="shared" si="48"/>
        <v>244.60383864821372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6.32</v>
      </c>
      <c r="FZ21" s="12">
        <f>IF('Données projet'!$A$244&gt;35,FZ20+FY21-GH20,IF(A21&lt;'Données projet'!$A$244,$FW$205^A21,IF(A21='Données projet'!$A$244,'Données projet'!$B$244,FZ20+FY21-GH20)))</f>
        <v>38.285392393181475</v>
      </c>
      <c r="GA21" s="17">
        <f>FZ21*VLOOKUP('Données projet'!$B$17,Paramètres!$A$1:$I$89,3,0)*VLOOKUP('Données projet'!$B$17,Paramètres!$A$1:$I$89,5,0)</f>
        <v>30.459858188015183</v>
      </c>
      <c r="GB21" s="13">
        <f t="shared" si="49"/>
        <v>9.431353368200293</v>
      </c>
      <c r="GC21" s="20">
        <f t="shared" si="25"/>
        <v>69.477193460408614</v>
      </c>
      <c r="GD21" s="59">
        <f t="shared" si="26"/>
        <v>281.24654665241172</v>
      </c>
      <c r="GE21" s="59">
        <f ca="1">AVERAGE(OFFSET($GD$3,0,0,'Données projet'!$E$17+1,1))-AVERAGE(OFFSET($H$3,0,0,'Données projet'!$E$17+1,1))</f>
        <v>308.33954512886351</v>
      </c>
      <c r="GF21" s="59">
        <f t="shared" si="50"/>
        <v>408.79075392716277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414.8926802103436</v>
      </c>
      <c r="S22" s="59">
        <f ca="1">AVERAGE(OFFSET($R$3,0,0,'Données projet'!$E$9+1,1))-AVERAGE(OFFSET($H$3,0,0,'Données projet'!$E$9+1,1))</f>
        <v>342.84342155097613</v>
      </c>
      <c r="T22" s="59">
        <f t="shared" si="34"/>
        <v>565.68976940602215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3.04</v>
      </c>
      <c r="AI22" s="13">
        <f>IF('Données projet'!$A$62&gt;35,AI21+AH22-AQ21,IF(A22&lt;'Données projet'!$A$62,$AF$205^A22,IF(A22='Données projet'!$A$62,'Données projet'!$B$62,AI21+AH22-AQ21)))</f>
        <v>26.879323249755682</v>
      </c>
      <c r="AJ22" s="13">
        <f>AI22*VLOOKUP('Données projet'!$B$10,Paramètres!$A$1:$I$89,3,0)*VLOOKUP('Données projet'!$B$10,Paramètres!$A$1:$I$89,5,0)</f>
        <v>25.57836400446751</v>
      </c>
      <c r="AK22" s="13">
        <f t="shared" si="35"/>
        <v>8.0825507218567338</v>
      </c>
      <c r="AL22" s="20">
        <f t="shared" si="4"/>
        <v>58.626093148348055</v>
      </c>
      <c r="AM22" s="59">
        <f t="shared" si="5"/>
        <v>272.7781873913716</v>
      </c>
      <c r="AN22" s="59">
        <f ca="1">AVERAGE(OFFSET($AM$3,0,0,'Données projet'!$E$10+1,1))-AVERAGE(OFFSET($H$3,0,0,'Données projet'!$E$10+1,1))</f>
        <v>320.33056209214476</v>
      </c>
      <c r="AO22" s="59">
        <f t="shared" si="36"/>
        <v>299.27200854723446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367.37580610917189</v>
      </c>
      <c r="BI22" s="59">
        <f ca="1">AVERAGE(OFFSET($BH$3,0,0,'Données projet'!$E$11+1,1))-AVERAGE(OFFSET($H$3,0,0,'Données projet'!$E$11+1,1))</f>
        <v>256.85706398254547</v>
      </c>
      <c r="BJ22" s="59">
        <f t="shared" si="38"/>
        <v>363.68094621014734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4.8118229427356498</v>
      </c>
      <c r="BR22" s="21">
        <f>EXP(-LN(2)/2)*BR21+(1-EXP(-LN(2)/2))/(LN(2)/2)*BL22*BO22*VLOOKUP('Données projet'!$B$11,Paramètres!$A$1:$I$89,3,0)*0.475*44/12</f>
        <v>4.9958010052665864</v>
      </c>
      <c r="BS22" s="22">
        <f t="shared" si="9"/>
        <v>9.8076239480022362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</v>
      </c>
      <c r="BY22" s="12">
        <f>IF('Données projet'!$A$114&gt;35,BY21+BX22-CG21,IF(A22&lt;'Données projet'!$A$114,$BV$205^A22,IF(A22='Données projet'!$A$114,'Données projet'!$B$114,BY21+BX22-CG21)))</f>
        <v>57</v>
      </c>
      <c r="BZ22" s="13">
        <f>BY22*VLOOKUP('Données projet'!$B$12,Paramètres!$A$1:$I$89,3,0)*VLOOKUP('Données projet'!$B$12,Paramètres!$A$1:$I$89,5,0)</f>
        <v>51.573599999999992</v>
      </c>
      <c r="CA22" s="13">
        <f t="shared" si="39"/>
        <v>15.019412930275323</v>
      </c>
      <c r="CB22" s="20">
        <f t="shared" si="10"/>
        <v>115.98283085356282</v>
      </c>
      <c r="CC22" s="59">
        <f t="shared" si="11"/>
        <v>330.13492509658636</v>
      </c>
      <c r="CD22" s="59">
        <f ca="1">AVERAGE(OFFSET($CC$3,0,0,'Données projet'!$E$12+1,1))-AVERAGE(OFFSET($H$3,0,0,'Données projet'!$E$12+1,1))</f>
        <v>357.68828740212223</v>
      </c>
      <c r="CE22" s="59">
        <f t="shared" si="40"/>
        <v>236.76626845829483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6.32</v>
      </c>
      <c r="CT22" s="12">
        <f>IF('Données projet'!$A$140&gt;35,CT21+CS22-DB21,IF(A22&lt;'Données projet'!$A$140,$CQ$205^A22,IF(A22='Données projet'!$A$140,'Données projet'!$B$140,CT21+CS22-DB21)))</f>
        <v>46.879113030902715</v>
      </c>
      <c r="CU22" s="17">
        <f>CT22*VLOOKUP('Données projet'!$B$13,Paramètres!$A$1:$I$89,3,0)*VLOOKUP('Données projet'!$B$13,Paramètres!$A$1:$I$89,5,0)</f>
        <v>30.715194857847461</v>
      </c>
      <c r="CV22" s="13">
        <f t="shared" si="41"/>
        <v>9.5011772135151968</v>
      </c>
      <c r="CW22" s="20">
        <f t="shared" si="13"/>
        <v>70.043514690956627</v>
      </c>
      <c r="CX22" s="59">
        <f t="shared" si="14"/>
        <v>284.19560893398017</v>
      </c>
      <c r="CY22" s="59">
        <f ca="1">AVERAGE(OFFSET($CX$3,0,0,'Données projet'!$E$13+1,1))-AVERAGE(OFFSET($H$3,0,0,'Données projet'!$E$13+1,1))</f>
        <v>220.18342986563667</v>
      </c>
      <c r="CZ22" s="59">
        <f t="shared" si="42"/>
        <v>347.84382145531163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</v>
      </c>
      <c r="DO22" s="12">
        <f>IF('Données projet'!$A$166&gt;35,DO21+DN22-DW21,IF(A22&lt;'Données projet'!$A$166,$DL$205^A22,IF(A22='Données projet'!$A$166,'Données projet'!$B$166,DO21+DN22-DW21)))</f>
        <v>57</v>
      </c>
      <c r="DP22" s="17">
        <f>DO22*VLOOKUP('Données projet'!$B$14,Paramètres!$A$1:$I$89,3,0)*VLOOKUP('Données projet'!$B$14,Paramètres!$A$1:$I$89,5,0)</f>
        <v>57.798000000000009</v>
      </c>
      <c r="DQ22" s="13">
        <f t="shared" si="43"/>
        <v>16.610328609522991</v>
      </c>
      <c r="DR22" s="20">
        <f t="shared" si="16"/>
        <v>129.59450566158588</v>
      </c>
      <c r="DS22" s="59">
        <f t="shared" si="17"/>
        <v>343.74659990460941</v>
      </c>
      <c r="DT22" s="59">
        <f ca="1">AVERAGE(OFFSET($DS$3,0,0,'Données projet'!$E$14+1,1))-AVERAGE(OFFSET($H$3,0,0,'Données projet'!$E$14+1,1))</f>
        <v>392.49465607243178</v>
      </c>
      <c r="DU22" s="59">
        <f t="shared" si="44"/>
        <v>258.031856676031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3.04</v>
      </c>
      <c r="EJ22" s="12">
        <f>IF('Données projet'!$A$192&gt;35,EJ21+EI22-ER21,IF(A22&lt;'Données projet'!$A$192,$EG$205^A22,IF(A22='Données projet'!$A$192,'Données projet'!$B$192,EJ21+EI22-ER21)))</f>
        <v>26.879323249755682</v>
      </c>
      <c r="EK22" s="17">
        <f>EJ22*VLOOKUP('Données projet'!$B$15,Paramètres!$A$1:$I$89,3,0)*VLOOKUP('Données projet'!$B$15,Paramètres!$A$1:$I$89,5,0)</f>
        <v>23.062459348290378</v>
      </c>
      <c r="EL22" s="13">
        <f t="shared" si="45"/>
        <v>7.3759076231648368</v>
      </c>
      <c r="EM22" s="20">
        <f t="shared" si="19"/>
        <v>53.013489141951169</v>
      </c>
      <c r="EN22" s="59">
        <f t="shared" si="20"/>
        <v>267.1655833849747</v>
      </c>
      <c r="EO22" s="59">
        <f ca="1">AVERAGE(OFFSET($EN$3,0,0,'Données projet'!$E$15+1,1))-AVERAGE(OFFSET($H$3,0,0,'Données projet'!$E$15+1,1))</f>
        <v>294.24530606293143</v>
      </c>
      <c r="EP22" s="59">
        <f t="shared" si="46"/>
        <v>275.88160405468193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3.04</v>
      </c>
      <c r="FE22" s="12">
        <f>IF('Données projet'!$A$218&gt;35,FE21+FD22-FM21,IF(A22&lt;'Données projet'!$A$218,$FB$205^A22,IF(A22='Données projet'!$A$218,'Données projet'!$B$218,FE21+FD22-FM21)))</f>
        <v>26.879323249755682</v>
      </c>
      <c r="FF22" s="17">
        <f>FE22*VLOOKUP('Données projet'!$B$16,Paramètres!$A$1:$I$89,3,0)*VLOOKUP('Données projet'!$B$16,Paramètres!$A$1:$I$89,5,0)</f>
        <v>19.707919806720867</v>
      </c>
      <c r="FG22" s="13">
        <f t="shared" si="47"/>
        <v>6.4194329008611497</v>
      </c>
      <c r="FH22" s="20">
        <f t="shared" si="22"/>
        <v>45.505139299038682</v>
      </c>
      <c r="FI22" s="59">
        <f t="shared" si="23"/>
        <v>259.65723354206222</v>
      </c>
      <c r="FJ22" s="59">
        <f ca="1">AVERAGE(OFFSET($FI$3,0,0,'Données projet'!$E$16+1,1))-AVERAGE(OFFSET($H$3,0,0,'Données projet'!$E$16+1,1))</f>
        <v>214.31585175697521</v>
      </c>
      <c r="FK22" s="59">
        <f t="shared" si="48"/>
        <v>244.60383864821372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6.32</v>
      </c>
      <c r="FZ22" s="12">
        <f>IF('Données projet'!$A$244&gt;35,FZ21+FY22-GH21,IF(A22&lt;'Données projet'!$A$244,$FW$205^A22,IF(A22='Données projet'!$A$244,'Données projet'!$B$244,FZ21+FY22-GH21)))</f>
        <v>46.879113030902715</v>
      </c>
      <c r="GA22" s="17">
        <f>FZ22*VLOOKUP('Données projet'!$B$17,Paramètres!$A$1:$I$89,3,0)*VLOOKUP('Données projet'!$B$17,Paramètres!$A$1:$I$89,5,0)</f>
        <v>37.297022327386202</v>
      </c>
      <c r="GB22" s="13">
        <f t="shared" si="49"/>
        <v>11.279331301170469</v>
      </c>
      <c r="GC22" s="20">
        <f t="shared" si="25"/>
        <v>84.603815903069531</v>
      </c>
      <c r="GD22" s="59">
        <f t="shared" si="26"/>
        <v>298.75591014609307</v>
      </c>
      <c r="GE22" s="59">
        <f ca="1">AVERAGE(OFFSET($GD$3,0,0,'Données projet'!$E$17+1,1))-AVERAGE(OFFSET($H$3,0,0,'Données projet'!$E$17+1,1))</f>
        <v>308.33954512886351</v>
      </c>
      <c r="GF22" s="59">
        <f t="shared" si="50"/>
        <v>408.79075392716277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452.02674491455815</v>
      </c>
      <c r="S23" s="59">
        <f ca="1">AVERAGE(OFFSET($R$3,0,0,'Données projet'!$E$9+1,1))-AVERAGE(OFFSET($H$3,0,0,'Données projet'!$E$9+1,1))</f>
        <v>342.84342155097613</v>
      </c>
      <c r="T23" s="59">
        <f t="shared" si="34"/>
        <v>565.68976940602215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3.04</v>
      </c>
      <c r="AI23" s="13">
        <f>IF('Données projet'!$A$62&gt;35,AI22+AH23-AQ22,IF(A23&lt;'Données projet'!$A$62,$AF$205^A23,IF(A23='Données projet'!$A$62,'Données projet'!$B$62,AI22+AH23-AQ22)))</f>
        <v>31.963245745340544</v>
      </c>
      <c r="AJ23" s="13">
        <f>AI23*VLOOKUP('Données projet'!$B$10,Paramètres!$A$1:$I$89,3,0)*VLOOKUP('Données projet'!$B$10,Paramètres!$A$1:$I$89,5,0)</f>
        <v>30.416224651266059</v>
      </c>
      <c r="AK23" s="13">
        <f t="shared" si="35"/>
        <v>9.4194146283441267</v>
      </c>
      <c r="AL23" s="20">
        <f t="shared" si="4"/>
        <v>69.380405078654405</v>
      </c>
      <c r="AM23" s="59">
        <f t="shared" si="5"/>
        <v>285.8951079655501</v>
      </c>
      <c r="AN23" s="59">
        <f ca="1">AVERAGE(OFFSET($AM$3,0,0,'Données projet'!$E$10+1,1))-AVERAGE(OFFSET($H$3,0,0,'Données projet'!$E$10+1,1))</f>
        <v>320.33056209214476</v>
      </c>
      <c r="AO23" s="59">
        <f t="shared" si="36"/>
        <v>299.27200854723446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394.12618513984069</v>
      </c>
      <c r="BI23" s="59">
        <f ca="1">AVERAGE(OFFSET($BH$3,0,0,'Données projet'!$E$11+1,1))-AVERAGE(OFFSET($H$3,0,0,'Données projet'!$E$11+1,1))</f>
        <v>256.85706398254547</v>
      </c>
      <c r="BJ23" s="59">
        <f t="shared" si="38"/>
        <v>363.68094621014734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4.6802433913237724</v>
      </c>
      <c r="BR23" s="21">
        <f>EXP(-LN(2)/2)*BR22+(1-EXP(-LN(2)/2))/(LN(2)/2)*BL23*BO23*VLOOKUP('Données projet'!$B$11,Paramètres!$A$1:$I$89,3,0)*0.475*44/12</f>
        <v>3.5325647682825747</v>
      </c>
      <c r="BS23" s="22">
        <f t="shared" si="9"/>
        <v>8.2128081596063467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</v>
      </c>
      <c r="BY23" s="12">
        <f>IF('Données projet'!$A$114&gt;35,BY22+BX23-CG22,IF(A23&lt;'Données projet'!$A$114,$BV$205^A23,IF(A23='Données projet'!$A$114,'Données projet'!$B$114,BY22+BX23-CG22)))</f>
        <v>60</v>
      </c>
      <c r="BZ23" s="13">
        <f>BY23*VLOOKUP('Données projet'!$B$12,Paramètres!$A$1:$I$89,3,0)*VLOOKUP('Données projet'!$B$12,Paramètres!$A$1:$I$89,5,0)</f>
        <v>54.287999999999997</v>
      </c>
      <c r="CA23" s="13">
        <f t="shared" si="39"/>
        <v>15.715795896526746</v>
      </c>
      <c r="CB23" s="20">
        <f t="shared" si="10"/>
        <v>121.9232778531174</v>
      </c>
      <c r="CC23" s="59">
        <f t="shared" si="11"/>
        <v>338.43798074001313</v>
      </c>
      <c r="CD23" s="59">
        <f ca="1">AVERAGE(OFFSET($CC$3,0,0,'Données projet'!$E$12+1,1))-AVERAGE(OFFSET($H$3,0,0,'Données projet'!$E$12+1,1))</f>
        <v>357.68828740212223</v>
      </c>
      <c r="CE23" s="59">
        <f t="shared" si="40"/>
        <v>236.76626845829483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6.32</v>
      </c>
      <c r="CT23" s="12">
        <f>IF('Données projet'!$A$140&gt;35,CT22+CS23-DB22,IF(A23&lt;'Données projet'!$A$140,$CQ$205^A23,IF(A23='Données projet'!$A$140,'Données projet'!$B$140,CT22+CS23-DB22)))</f>
        <v>57.401820934596145</v>
      </c>
      <c r="CU23" s="17">
        <f>CT23*VLOOKUP('Données projet'!$B$13,Paramètres!$A$1:$I$89,3,0)*VLOOKUP('Données projet'!$B$13,Paramètres!$A$1:$I$89,5,0)</f>
        <v>37.609673076347391</v>
      </c>
      <c r="CV23" s="13">
        <f t="shared" si="41"/>
        <v>11.362836420031128</v>
      </c>
      <c r="CW23" s="20">
        <f t="shared" si="13"/>
        <v>85.293787372859256</v>
      </c>
      <c r="CX23" s="59">
        <f t="shared" si="14"/>
        <v>301.80849025975499</v>
      </c>
      <c r="CY23" s="59">
        <f ca="1">AVERAGE(OFFSET($CX$3,0,0,'Données projet'!$E$13+1,1))-AVERAGE(OFFSET($H$3,0,0,'Données projet'!$E$13+1,1))</f>
        <v>220.18342986563667</v>
      </c>
      <c r="CZ23" s="59">
        <f t="shared" si="42"/>
        <v>347.84382145531163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3</v>
      </c>
      <c r="DO23" s="12">
        <f>IF('Données projet'!$A$166&gt;35,DO22+DN23-DW22,IF(A23&lt;'Données projet'!$A$166,$DL$205^A23,IF(A23='Données projet'!$A$166,'Données projet'!$B$166,DO22+DN23-DW22)))</f>
        <v>60</v>
      </c>
      <c r="DP23" s="17">
        <f>DO23*VLOOKUP('Données projet'!$B$14,Paramètres!$A$1:$I$89,3,0)*VLOOKUP('Données projet'!$B$14,Paramètres!$A$1:$I$89,5,0)</f>
        <v>60.84</v>
      </c>
      <c r="DQ23" s="13">
        <f t="shared" si="43"/>
        <v>17.380475216531455</v>
      </c>
      <c r="DR23" s="20">
        <f t="shared" si="16"/>
        <v>136.23399433545893</v>
      </c>
      <c r="DS23" s="59">
        <f t="shared" si="17"/>
        <v>352.74869722235462</v>
      </c>
      <c r="DT23" s="59">
        <f ca="1">AVERAGE(OFFSET($DS$3,0,0,'Données projet'!$E$14+1,1))-AVERAGE(OFFSET($H$3,0,0,'Données projet'!$E$14+1,1))</f>
        <v>392.49465607243178</v>
      </c>
      <c r="DU23" s="59">
        <f t="shared" si="44"/>
        <v>258.031856676031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3.04</v>
      </c>
      <c r="EJ23" s="12">
        <f>IF('Données projet'!$A$192&gt;35,EJ22+EI23-ER22,IF(A23&lt;'Données projet'!$A$192,$EG$205^A23,IF(A23='Données projet'!$A$192,'Données projet'!$B$192,EJ22+EI23-ER22)))</f>
        <v>31.963245745340544</v>
      </c>
      <c r="EK23" s="17">
        <f>EJ23*VLOOKUP('Données projet'!$B$15,Paramètres!$A$1:$I$89,3,0)*VLOOKUP('Données projet'!$B$15,Paramètres!$A$1:$I$89,5,0)</f>
        <v>27.424464849502193</v>
      </c>
      <c r="EL23" s="13">
        <f t="shared" si="45"/>
        <v>8.5958918853519464</v>
      </c>
      <c r="EM23" s="20">
        <f t="shared" si="19"/>
        <v>62.735454646537619</v>
      </c>
      <c r="EN23" s="59">
        <f t="shared" si="20"/>
        <v>279.25015753343337</v>
      </c>
      <c r="EO23" s="59">
        <f ca="1">AVERAGE(OFFSET($EN$3,0,0,'Données projet'!$E$15+1,1))-AVERAGE(OFFSET($H$3,0,0,'Données projet'!$E$15+1,1))</f>
        <v>294.24530606293143</v>
      </c>
      <c r="EP23" s="59">
        <f t="shared" si="46"/>
        <v>275.88160405468193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3.04</v>
      </c>
      <c r="FE23" s="12">
        <f>IF('Données projet'!$A$218&gt;35,FE22+FD23-FM22,IF(A23&lt;'Données projet'!$A$218,$FB$205^A23,IF(A23='Données projet'!$A$218,'Données projet'!$B$218,FE22+FD23-FM22)))</f>
        <v>31.963245745340544</v>
      </c>
      <c r="FF23" s="17">
        <f>FE23*VLOOKUP('Données projet'!$B$16,Paramètres!$A$1:$I$89,3,0)*VLOOKUP('Données projet'!$B$16,Paramètres!$A$1:$I$89,5,0)</f>
        <v>23.435451780483685</v>
      </c>
      <c r="FG23" s="13">
        <f t="shared" si="47"/>
        <v>7.4812150585742847</v>
      </c>
      <c r="FH23" s="20">
        <f t="shared" si="22"/>
        <v>53.846528078025962</v>
      </c>
      <c r="FI23" s="59">
        <f t="shared" si="23"/>
        <v>270.36123096492167</v>
      </c>
      <c r="FJ23" s="59">
        <f ca="1">AVERAGE(OFFSET($FI$3,0,0,'Données projet'!$E$16+1,1))-AVERAGE(OFFSET($H$3,0,0,'Données projet'!$E$16+1,1))</f>
        <v>214.31585175697521</v>
      </c>
      <c r="FK23" s="59">
        <f t="shared" si="48"/>
        <v>244.60383864821372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0</v>
      </c>
      <c r="FS23" s="21">
        <f>EXP(-LN(2)/2)*FS22+(1-EXP(-LN(2)/2))/(LN(2)/2)*FM23*FP23*VLOOKUP('Données projet'!$B$16,Paramètres!$A$1:$I$89,3,0)*0.475*44/12</f>
        <v>0</v>
      </c>
      <c r="FT23" s="22">
        <f t="shared" si="24"/>
        <v>0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6.32</v>
      </c>
      <c r="FZ23" s="12">
        <f>IF('Données projet'!$A$244&gt;35,FZ22+FY23-GH22,IF(A23&lt;'Données projet'!$A$244,$FW$205^A23,IF(A23='Données projet'!$A$244,'Données projet'!$B$244,FZ22+FY23-GH22)))</f>
        <v>57.401820934596145</v>
      </c>
      <c r="GA23" s="17">
        <f>FZ23*VLOOKUP('Données projet'!$B$17,Paramètres!$A$1:$I$89,3,0)*VLOOKUP('Données projet'!$B$17,Paramètres!$A$1:$I$89,5,0)</f>
        <v>45.668888735564693</v>
      </c>
      <c r="GB23" s="13">
        <f t="shared" si="49"/>
        <v>13.489401746998775</v>
      </c>
      <c r="GC23" s="20">
        <f t="shared" si="25"/>
        <v>103.0340225904647</v>
      </c>
      <c r="GD23" s="59">
        <f t="shared" si="26"/>
        <v>319.54872547736045</v>
      </c>
      <c r="GE23" s="59">
        <f ca="1">AVERAGE(OFFSET($GD$3,0,0,'Données projet'!$E$17+1,1))-AVERAGE(OFFSET($H$3,0,0,'Données projet'!$E$17+1,1))</f>
        <v>308.33954512886351</v>
      </c>
      <c r="GF23" s="59">
        <f t="shared" si="50"/>
        <v>408.79075392716277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489.02376019073216</v>
      </c>
      <c r="S24" s="59">
        <f ca="1">AVERAGE(OFFSET($R$3,0,0,'Données projet'!$E$9+1,1))-AVERAGE(OFFSET($H$3,0,0,'Données projet'!$E$9+1,1))</f>
        <v>342.84342155097613</v>
      </c>
      <c r="T24" s="59">
        <f t="shared" si="34"/>
        <v>565.68976940602215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3.04</v>
      </c>
      <c r="AI24" s="13">
        <f>IF('Données projet'!$A$62&gt;35,AI23+AH24-AQ23,IF(A24&lt;'Données projet'!$A$62,$AF$205^A24,IF(A24='Données projet'!$A$62,'Données projet'!$B$62,AI23+AH24-AQ23)))</f>
        <v>38.008735156169401</v>
      </c>
      <c r="AJ24" s="13">
        <f>AI24*VLOOKUP('Données projet'!$B$10,Paramètres!$A$1:$I$89,3,0)*VLOOKUP('Données projet'!$B$10,Paramètres!$A$1:$I$89,5,0)</f>
        <v>36.169112374610805</v>
      </c>
      <c r="AK24" s="13">
        <f t="shared" si="35"/>
        <v>10.977397481804015</v>
      </c>
      <c r="AL24" s="20">
        <f t="shared" si="4"/>
        <v>82.113504666589151</v>
      </c>
      <c r="AM24" s="59">
        <f t="shared" si="5"/>
        <v>300.97103304246355</v>
      </c>
      <c r="AN24" s="59">
        <f ca="1">AVERAGE(OFFSET($AM$3,0,0,'Données projet'!$E$10+1,1))-AVERAGE(OFFSET($H$3,0,0,'Données projet'!$E$10+1,1))</f>
        <v>320.33056209214476</v>
      </c>
      <c r="AO24" s="59">
        <f t="shared" si="36"/>
        <v>299.27200854723446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420.77816539924061</v>
      </c>
      <c r="BI24" s="59">
        <f ca="1">AVERAGE(OFFSET($BH$3,0,0,'Données projet'!$E$11+1,1))-AVERAGE(OFFSET($H$3,0,0,'Données projet'!$E$11+1,1))</f>
        <v>256.85706398254547</v>
      </c>
      <c r="BJ24" s="59">
        <f t="shared" si="38"/>
        <v>363.68094621014734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0.372</v>
      </c>
      <c r="BO24" s="16">
        <f>IF(ISNA(VLOOKUP(A24,'Données projet'!$A$87:$I$107,7,0)),0%,VLOOKUP(A24,'Données projet'!$A$87:$I$107,7,0))</f>
        <v>0.375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12.526989828206736</v>
      </c>
      <c r="BR24" s="21">
        <f>EXP(-LN(2)/2)*BR23+(1-EXP(-LN(2)/2))/(LN(2)/2)*BL24*BO24*VLOOKUP('Données projet'!$B$11,Paramètres!$A$1:$I$89,3,0)*0.475*44/12</f>
        <v>9.3864018007843093</v>
      </c>
      <c r="BS24" s="22">
        <f t="shared" si="9"/>
        <v>21.913391628991043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</v>
      </c>
      <c r="BY24" s="12">
        <f>IF('Données projet'!$A$114&gt;35,BY23+BX24-CG23,IF(A24&lt;'Données projet'!$A$114,$BV$205^A24,IF(A24='Données projet'!$A$114,'Données projet'!$B$114,BY23+BX24-CG23)))</f>
        <v>63</v>
      </c>
      <c r="BZ24" s="13">
        <f>BY24*VLOOKUP('Données projet'!$B$12,Paramètres!$A$1:$I$89,3,0)*VLOOKUP('Données projet'!$B$12,Paramètres!$A$1:$I$89,5,0)</f>
        <v>57.002400000000002</v>
      </c>
      <c r="CA24" s="13">
        <f t="shared" si="39"/>
        <v>16.4081359066458</v>
      </c>
      <c r="CB24" s="20">
        <f t="shared" si="10"/>
        <v>127.85668337074144</v>
      </c>
      <c r="CC24" s="59">
        <f t="shared" si="11"/>
        <v>346.71421174661583</v>
      </c>
      <c r="CD24" s="59">
        <f ca="1">AVERAGE(OFFSET($CC$3,0,0,'Données projet'!$E$12+1,1))-AVERAGE(OFFSET($H$3,0,0,'Données projet'!$E$12+1,1))</f>
        <v>357.68828740212223</v>
      </c>
      <c r="CE24" s="59">
        <f t="shared" si="40"/>
        <v>236.76626845829483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6.32</v>
      </c>
      <c r="CT24" s="12">
        <f>IF('Données projet'!$A$140&gt;35,CT23+CS24-DB23,IF(A24&lt;'Données projet'!$A$140,$CQ$205^A24,IF(A24='Données projet'!$A$140,'Données projet'!$B$140,CT23+CS24-DB23)))</f>
        <v>70.28650572879647</v>
      </c>
      <c r="CU24" s="17">
        <f>CT24*VLOOKUP('Données projet'!$B$13,Paramètres!$A$1:$I$89,3,0)*VLOOKUP('Données projet'!$B$13,Paramètres!$A$1:$I$89,5,0)</f>
        <v>46.051718553507449</v>
      </c>
      <c r="CV24" s="13">
        <f t="shared" si="41"/>
        <v>13.589268846046169</v>
      </c>
      <c r="CW24" s="20">
        <f t="shared" si="13"/>
        <v>103.87471972088922</v>
      </c>
      <c r="CX24" s="59">
        <f t="shared" si="14"/>
        <v>322.73224809676361</v>
      </c>
      <c r="CY24" s="59">
        <f ca="1">AVERAGE(OFFSET($CX$3,0,0,'Données projet'!$E$13+1,1))-AVERAGE(OFFSET($H$3,0,0,'Données projet'!$E$13+1,1))</f>
        <v>220.18342986563667</v>
      </c>
      <c r="CZ24" s="59">
        <f t="shared" si="42"/>
        <v>347.84382145531163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3</v>
      </c>
      <c r="DO24" s="12">
        <f>IF('Données projet'!$A$166&gt;35,DO23+DN24-DW23,IF(A24&lt;'Données projet'!$A$166,$DL$205^A24,IF(A24='Données projet'!$A$166,'Données projet'!$B$166,DO23+DN24-DW23)))</f>
        <v>63</v>
      </c>
      <c r="DP24" s="17">
        <f>DO24*VLOOKUP('Données projet'!$B$14,Paramètres!$A$1:$I$89,3,0)*VLOOKUP('Données projet'!$B$14,Paramètres!$A$1:$I$89,5,0)</f>
        <v>63.882000000000005</v>
      </c>
      <c r="DQ24" s="13">
        <f t="shared" si="43"/>
        <v>18.146150621487983</v>
      </c>
      <c r="DR24" s="20">
        <f t="shared" si="16"/>
        <v>142.86569566575824</v>
      </c>
      <c r="DS24" s="59">
        <f t="shared" si="17"/>
        <v>361.72322404163265</v>
      </c>
      <c r="DT24" s="59">
        <f ca="1">AVERAGE(OFFSET($DS$3,0,0,'Données projet'!$E$14+1,1))-AVERAGE(OFFSET($H$3,0,0,'Données projet'!$E$14+1,1))</f>
        <v>392.49465607243178</v>
      </c>
      <c r="DU24" s="59">
        <f t="shared" si="44"/>
        <v>258.031856676031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3.04</v>
      </c>
      <c r="EJ24" s="12">
        <f>IF('Données projet'!$A$192&gt;35,EJ23+EI24-ER23,IF(A24&lt;'Données projet'!$A$192,$EG$205^A24,IF(A24='Données projet'!$A$192,'Données projet'!$B$192,EJ23+EI24-ER23)))</f>
        <v>38.008735156169401</v>
      </c>
      <c r="EK24" s="17">
        <f>EJ24*VLOOKUP('Données projet'!$B$15,Paramètres!$A$1:$I$89,3,0)*VLOOKUP('Données projet'!$B$15,Paramètres!$A$1:$I$89,5,0)</f>
        <v>32.611494763993349</v>
      </c>
      <c r="EL24" s="13">
        <f t="shared" si="45"/>
        <v>10.017663056489747</v>
      </c>
      <c r="EM24" s="20">
        <f t="shared" si="19"/>
        <v>74.245783204008049</v>
      </c>
      <c r="EN24" s="59">
        <f t="shared" si="20"/>
        <v>293.10331157988242</v>
      </c>
      <c r="EO24" s="59">
        <f ca="1">AVERAGE(OFFSET($EN$3,0,0,'Données projet'!$E$15+1,1))-AVERAGE(OFFSET($H$3,0,0,'Données projet'!$E$15+1,1))</f>
        <v>294.24530606293143</v>
      </c>
      <c r="EP24" s="59">
        <f t="shared" si="46"/>
        <v>275.88160405468193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3.04</v>
      </c>
      <c r="FE24" s="12">
        <f>IF('Données projet'!$A$218&gt;35,FE23+FD24-FM23,IF(A24&lt;'Données projet'!$A$218,$FB$205^A24,IF(A24='Données projet'!$A$218,'Données projet'!$B$218,FE23+FD24-FM23)))</f>
        <v>38.008735156169401</v>
      </c>
      <c r="FF24" s="17">
        <f>FE24*VLOOKUP('Données projet'!$B$16,Paramètres!$A$1:$I$89,3,0)*VLOOKUP('Données projet'!$B$16,Paramètres!$A$1:$I$89,5,0)</f>
        <v>27.868004616503402</v>
      </c>
      <c r="FG24" s="13">
        <f t="shared" si="47"/>
        <v>8.7186173010906725</v>
      </c>
      <c r="FH24" s="20">
        <f t="shared" si="22"/>
        <v>63.721699839809681</v>
      </c>
      <c r="FI24" s="59">
        <f t="shared" si="23"/>
        <v>282.57922821568405</v>
      </c>
      <c r="FJ24" s="59">
        <f ca="1">AVERAGE(OFFSET($FI$3,0,0,'Données projet'!$E$16+1,1))-AVERAGE(OFFSET($H$3,0,0,'Données projet'!$E$16+1,1))</f>
        <v>214.31585175697521</v>
      </c>
      <c r="FK24" s="59">
        <f t="shared" si="48"/>
        <v>244.60383864821372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0</v>
      </c>
      <c r="FS24" s="21">
        <f>EXP(-LN(2)/2)*FS23+(1-EXP(-LN(2)/2))/(LN(2)/2)*FM24*FP24*VLOOKUP('Données projet'!$B$16,Paramètres!$A$1:$I$89,3,0)*0.475*44/12</f>
        <v>0</v>
      </c>
      <c r="FT24" s="22">
        <f t="shared" si="24"/>
        <v>0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6.32</v>
      </c>
      <c r="FZ24" s="12">
        <f>IF('Données projet'!$A$244&gt;35,FZ23+FY24-GH23,IF(A24&lt;'Données projet'!$A$244,$FW$205^A24,IF(A24='Données projet'!$A$244,'Données projet'!$B$244,FZ23+FY24-GH23)))</f>
        <v>70.28650572879647</v>
      </c>
      <c r="GA24" s="17">
        <f>FZ24*VLOOKUP('Données projet'!$B$17,Paramètres!$A$1:$I$89,3,0)*VLOOKUP('Données projet'!$B$17,Paramètres!$A$1:$I$89,5,0)</f>
        <v>55.919943957830476</v>
      </c>
      <c r="GB24" s="13">
        <f t="shared" si="49"/>
        <v>16.132513057139388</v>
      </c>
      <c r="GC24" s="20">
        <f t="shared" si="25"/>
        <v>125.49136263440583</v>
      </c>
      <c r="GD24" s="59">
        <f t="shared" si="26"/>
        <v>344.34889101028023</v>
      </c>
      <c r="GE24" s="59">
        <f ca="1">AVERAGE(OFFSET($GD$3,0,0,'Données projet'!$E$17+1,1))-AVERAGE(OFFSET($H$3,0,0,'Données projet'!$E$17+1,1))</f>
        <v>308.33954512886351</v>
      </c>
      <c r="GF24" s="59">
        <f t="shared" si="50"/>
        <v>408.79075392716277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525.90122843294318</v>
      </c>
      <c r="S25" s="59">
        <f ca="1">AVERAGE(OFFSET($R$3,0,0,'Données projet'!$E$9+1,1))-AVERAGE(OFFSET($H$3,0,0,'Données projet'!$E$9+1,1))</f>
        <v>342.84342155097613</v>
      </c>
      <c r="T25" s="59">
        <f t="shared" si="34"/>
        <v>565.68976940602215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3.04</v>
      </c>
      <c r="AI25" s="13">
        <f>IF('Données projet'!$A$62&gt;35,AI24+AH25-AQ24,IF(A25&lt;'Données projet'!$A$62,$AF$205^A25,IF(A25='Données projet'!$A$62,'Données projet'!$B$62,AI24+AH25-AQ24)))</f>
        <v>45.197661078660147</v>
      </c>
      <c r="AJ25" s="13">
        <f>AI25*VLOOKUP('Données projet'!$B$10,Paramètres!$A$1:$I$89,3,0)*VLOOKUP('Données projet'!$B$10,Paramètres!$A$1:$I$89,5,0)</f>
        <v>43.010094282452997</v>
      </c>
      <c r="AK25" s="13">
        <f t="shared" si="35"/>
        <v>12.793072630108957</v>
      </c>
      <c r="AL25" s="20">
        <f t="shared" si="4"/>
        <v>97.190515706045403</v>
      </c>
      <c r="AM25" s="59">
        <f t="shared" si="5"/>
        <v>318.37142960951383</v>
      </c>
      <c r="AN25" s="59">
        <f ca="1">AVERAGE(OFFSET($AM$3,0,0,'Données projet'!$E$10+1,1))-AVERAGE(OFFSET($H$3,0,0,'Données projet'!$E$10+1,1))</f>
        <v>320.33056209214476</v>
      </c>
      <c r="AO25" s="59">
        <f t="shared" si="36"/>
        <v>299.27200854723446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409.60545844710282</v>
      </c>
      <c r="BI25" s="59">
        <f ca="1">AVERAGE(OFFSET($BH$3,0,0,'Données projet'!$E$11+1,1))-AVERAGE(OFFSET($H$3,0,0,'Données projet'!$E$11+1,1))</f>
        <v>256.85706398254547</v>
      </c>
      <c r="BJ25" s="59">
        <f t="shared" si="38"/>
        <v>363.68094621014734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12.184438632588659</v>
      </c>
      <c r="BR25" s="21">
        <f>EXP(-LN(2)/2)*BR24+(1-EXP(-LN(2)/2))/(LN(2)/2)*BL25*BO25*VLOOKUP('Données projet'!$B$11,Paramètres!$A$1:$I$89,3,0)*0.475*44/12</f>
        <v>6.6371883642762066</v>
      </c>
      <c r="BS25" s="22">
        <f t="shared" si="9"/>
        <v>18.821626996864865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</v>
      </c>
      <c r="BY25" s="12">
        <f>IF('Données projet'!$A$114&gt;35,BY24+BX25-CG24,IF(A25&lt;'Données projet'!$A$114,$BV$205^A25,IF(A25='Données projet'!$A$114,'Données projet'!$B$114,BY24+BX25-CG24)))</f>
        <v>66</v>
      </c>
      <c r="BZ25" s="13">
        <f>BY25*VLOOKUP('Données projet'!$B$12,Paramètres!$A$1:$I$89,3,0)*VLOOKUP('Données projet'!$B$12,Paramètres!$A$1:$I$89,5,0)</f>
        <v>59.716799999999992</v>
      </c>
      <c r="CA25" s="13">
        <f t="shared" si="39"/>
        <v>17.096647463151516</v>
      </c>
      <c r="CB25" s="20">
        <f t="shared" si="10"/>
        <v>133.78342099832221</v>
      </c>
      <c r="CC25" s="59">
        <f t="shared" si="11"/>
        <v>354.96433490179061</v>
      </c>
      <c r="CD25" s="59">
        <f ca="1">AVERAGE(OFFSET($CC$3,0,0,'Données projet'!$E$12+1,1))-AVERAGE(OFFSET($H$3,0,0,'Données projet'!$E$12+1,1))</f>
        <v>357.68828740212223</v>
      </c>
      <c r="CE25" s="59">
        <f t="shared" si="40"/>
        <v>236.76626845829483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6.32</v>
      </c>
      <c r="CT25" s="12">
        <f>IF('Données projet'!$A$140&gt;35,CT24+CS25-DB24,IF(A25&lt;'Données projet'!$A$140,$CQ$205^A25,IF(A25='Données projet'!$A$140,'Données projet'!$B$140,CT24+CS25-DB24)))</f>
        <v>86.063347941400892</v>
      </c>
      <c r="CU25" s="17">
        <f>CT25*VLOOKUP('Données projet'!$B$13,Paramètres!$A$1:$I$89,3,0)*VLOOKUP('Données projet'!$B$13,Paramètres!$A$1:$I$89,5,0)</f>
        <v>56.388705571205868</v>
      </c>
      <c r="CV25" s="13">
        <f t="shared" si="41"/>
        <v>16.251948100262723</v>
      </c>
      <c r="CW25" s="20">
        <f t="shared" si="13"/>
        <v>126.51580514447444</v>
      </c>
      <c r="CX25" s="59">
        <f t="shared" si="14"/>
        <v>347.69671904794285</v>
      </c>
      <c r="CY25" s="59">
        <f ca="1">AVERAGE(OFFSET($CX$3,0,0,'Données projet'!$E$13+1,1))-AVERAGE(OFFSET($H$3,0,0,'Données projet'!$E$13+1,1))</f>
        <v>220.18342986563667</v>
      </c>
      <c r="CZ25" s="59">
        <f t="shared" si="42"/>
        <v>347.84382145531163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3</v>
      </c>
      <c r="DO25" s="12">
        <f>IF('Données projet'!$A$166&gt;35,DO24+DN25-DW24,IF(A25&lt;'Données projet'!$A$166,$DL$205^A25,IF(A25='Données projet'!$A$166,'Données projet'!$B$166,DO24+DN25-DW24)))</f>
        <v>66</v>
      </c>
      <c r="DP25" s="17">
        <f>DO25*VLOOKUP('Données projet'!$B$14,Paramètres!$A$1:$I$89,3,0)*VLOOKUP('Données projet'!$B$14,Paramètres!$A$1:$I$89,5,0)</f>
        <v>66.924000000000007</v>
      </c>
      <c r="DQ25" s="13">
        <f t="shared" si="43"/>
        <v>18.90759204786767</v>
      </c>
      <c r="DR25" s="20">
        <f t="shared" si="16"/>
        <v>149.49002281670286</v>
      </c>
      <c r="DS25" s="59">
        <f t="shared" si="17"/>
        <v>370.67093672017126</v>
      </c>
      <c r="DT25" s="59">
        <f ca="1">AVERAGE(OFFSET($DS$3,0,0,'Données projet'!$E$14+1,1))-AVERAGE(OFFSET($H$3,0,0,'Données projet'!$E$14+1,1))</f>
        <v>392.49465607243178</v>
      </c>
      <c r="DU25" s="59">
        <f t="shared" si="44"/>
        <v>258.031856676031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3.04</v>
      </c>
      <c r="EJ25" s="12">
        <f>IF('Données projet'!$A$192&gt;35,EJ24+EI25-ER24,IF(A25&lt;'Données projet'!$A$192,$EG$205^A25,IF(A25='Données projet'!$A$192,'Données projet'!$B$192,EJ24+EI25-ER24)))</f>
        <v>45.197661078660147</v>
      </c>
      <c r="EK25" s="17">
        <f>EJ25*VLOOKUP('Données projet'!$B$15,Paramètres!$A$1:$I$89,3,0)*VLOOKUP('Données projet'!$B$15,Paramètres!$A$1:$I$89,5,0)</f>
        <v>38.779593205490414</v>
      </c>
      <c r="EL25" s="13">
        <f t="shared" si="45"/>
        <v>11.674596941402855</v>
      </c>
      <c r="EM25" s="20">
        <f t="shared" si="19"/>
        <v>87.874381172505764</v>
      </c>
      <c r="EN25" s="59">
        <f t="shared" si="20"/>
        <v>309.05529507597419</v>
      </c>
      <c r="EO25" s="59">
        <f ca="1">AVERAGE(OFFSET($EN$3,0,0,'Données projet'!$E$15+1,1))-AVERAGE(OFFSET($H$3,0,0,'Données projet'!$E$15+1,1))</f>
        <v>294.24530606293143</v>
      </c>
      <c r="EP25" s="59">
        <f t="shared" si="46"/>
        <v>275.88160405468193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3.04</v>
      </c>
      <c r="FE25" s="12">
        <f>IF('Données projet'!$A$218&gt;35,FE24+FD25-FM24,IF(A25&lt;'Données projet'!$A$218,$FB$205^A25,IF(A25='Données projet'!$A$218,'Données projet'!$B$218,FE24+FD25-FM24)))</f>
        <v>45.197661078660147</v>
      </c>
      <c r="FF25" s="17">
        <f>FE25*VLOOKUP('Données projet'!$B$16,Paramètres!$A$1:$I$89,3,0)*VLOOKUP('Données projet'!$B$16,Paramètres!$A$1:$I$89,5,0)</f>
        <v>33.138925102873621</v>
      </c>
      <c r="FG25" s="13">
        <f t="shared" si="47"/>
        <v>10.160687408091144</v>
      </c>
      <c r="FH25" s="20">
        <f t="shared" si="22"/>
        <v>75.413491789930291</v>
      </c>
      <c r="FI25" s="59">
        <f t="shared" si="23"/>
        <v>296.5944056933987</v>
      </c>
      <c r="FJ25" s="59">
        <f ca="1">AVERAGE(OFFSET($FI$3,0,0,'Données projet'!$E$16+1,1))-AVERAGE(OFFSET($H$3,0,0,'Données projet'!$E$16+1,1))</f>
        <v>214.31585175697521</v>
      </c>
      <c r="FK25" s="59">
        <f t="shared" si="48"/>
        <v>244.60383864821372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0</v>
      </c>
      <c r="FS25" s="21">
        <f>EXP(-LN(2)/2)*FS24+(1-EXP(-LN(2)/2))/(LN(2)/2)*FM25*FP25*VLOOKUP('Données projet'!$B$16,Paramètres!$A$1:$I$89,3,0)*0.475*44/12</f>
        <v>0</v>
      </c>
      <c r="FT25" s="22">
        <f t="shared" si="24"/>
        <v>0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6.32</v>
      </c>
      <c r="FZ25" s="12">
        <f>IF('Données projet'!$A$244&gt;35,FZ24+FY25-GH24,IF(A25&lt;'Données projet'!$A$244,$FW$205^A25,IF(A25='Données projet'!$A$244,'Données projet'!$B$244,FZ24+FY25-GH24)))</f>
        <v>86.063347941400892</v>
      </c>
      <c r="GA25" s="17">
        <f>FZ25*VLOOKUP('Données projet'!$B$17,Paramètres!$A$1:$I$89,3,0)*VLOOKUP('Données projet'!$B$17,Paramètres!$A$1:$I$89,5,0)</f>
        <v>68.471999622178558</v>
      </c>
      <c r="GB25" s="13">
        <f t="shared" si="49"/>
        <v>19.293515192152764</v>
      </c>
      <c r="GC25" s="20">
        <f t="shared" si="25"/>
        <v>152.8582716349604</v>
      </c>
      <c r="GD25" s="59">
        <f t="shared" si="26"/>
        <v>374.0391855384288</v>
      </c>
      <c r="GE25" s="59">
        <f ca="1">AVERAGE(OFFSET($GD$3,0,0,'Données projet'!$E$17+1,1))-AVERAGE(OFFSET($H$3,0,0,'Données projet'!$E$17+1,1))</f>
        <v>308.33954512886351</v>
      </c>
      <c r="GF25" s="59">
        <f t="shared" si="50"/>
        <v>408.79075392716277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562.67242887204497</v>
      </c>
      <c r="S26" s="59">
        <f ca="1">AVERAGE(OFFSET($R$3,0,0,'Données projet'!$E$9+1,1))-AVERAGE(OFFSET($H$3,0,0,'Données projet'!$E$9+1,1))</f>
        <v>342.84342155097613</v>
      </c>
      <c r="T26" s="59">
        <f t="shared" si="34"/>
        <v>565.68976940602215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3.04</v>
      </c>
      <c r="AI26" s="13">
        <f>IF('Données projet'!$A$62&gt;35,AI25+AH26-AQ25,IF(A26&lt;'Données projet'!$A$62,$AF$205^A26,IF(A26='Données projet'!$A$62,'Données projet'!$B$62,AI25+AH26-AQ25)))</f>
        <v>53.746291703417761</v>
      </c>
      <c r="AJ26" s="13">
        <f>AI26*VLOOKUP('Données projet'!$B$10,Paramètres!$A$1:$I$89,3,0)*VLOOKUP('Données projet'!$B$10,Paramètres!$A$1:$I$89,5,0)</f>
        <v>51.144971184972334</v>
      </c>
      <c r="AK26" s="13">
        <f t="shared" si="35"/>
        <v>14.90906269819672</v>
      </c>
      <c r="AL26" s="20">
        <f t="shared" si="4"/>
        <v>115.04410901318609</v>
      </c>
      <c r="AM26" s="59">
        <f t="shared" si="5"/>
        <v>338.5293057227326</v>
      </c>
      <c r="AN26" s="59">
        <f ca="1">AVERAGE(OFFSET($AM$3,0,0,'Données projet'!$E$10+1,1))-AVERAGE(OFFSET($H$3,0,0,'Données projet'!$E$10+1,1))</f>
        <v>320.33056209214476</v>
      </c>
      <c r="AO26" s="59">
        <f t="shared" si="36"/>
        <v>299.27200854723446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433.4933635108406</v>
      </c>
      <c r="BI26" s="59">
        <f ca="1">AVERAGE(OFFSET($BH$3,0,0,'Données projet'!$E$11+1,1))-AVERAGE(OFFSET($H$3,0,0,'Données projet'!$E$11+1,1))</f>
        <v>256.85706398254547</v>
      </c>
      <c r="BJ26" s="59">
        <f t="shared" si="38"/>
        <v>363.68094621014734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11.851254517428742</v>
      </c>
      <c r="BR26" s="21">
        <f>EXP(-LN(2)/2)*BR25+(1-EXP(-LN(2)/2))/(LN(2)/2)*BL26*BO26*VLOOKUP('Données projet'!$B$11,Paramètres!$A$1:$I$89,3,0)*0.475*44/12</f>
        <v>4.6932009003921555</v>
      </c>
      <c r="BS26" s="22">
        <f t="shared" si="9"/>
        <v>16.544455417820899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</v>
      </c>
      <c r="BY26" s="12">
        <f>IF('Données projet'!$A$114&gt;35,BY25+BX26-CG25,IF(A26&lt;'Données projet'!$A$114,$BV$205^A26,IF(A26='Données projet'!$A$114,'Données projet'!$B$114,BY25+BX26-CG25)))</f>
        <v>69</v>
      </c>
      <c r="BZ26" s="13">
        <f>BY26*VLOOKUP('Données projet'!$B$12,Paramètres!$A$1:$I$89,3,0)*VLOOKUP('Données projet'!$B$12,Paramètres!$A$1:$I$89,5,0)</f>
        <v>62.431199999999997</v>
      </c>
      <c r="CA26" s="13">
        <f t="shared" si="39"/>
        <v>17.781524466058684</v>
      </c>
      <c r="CB26" s="20">
        <f t="shared" si="10"/>
        <v>139.70382844505221</v>
      </c>
      <c r="CC26" s="59">
        <f t="shared" si="11"/>
        <v>363.18902515459871</v>
      </c>
      <c r="CD26" s="59">
        <f ca="1">AVERAGE(OFFSET($CC$3,0,0,'Données projet'!$E$12+1,1))-AVERAGE(OFFSET($H$3,0,0,'Données projet'!$E$12+1,1))</f>
        <v>357.68828740212223</v>
      </c>
      <c r="CE26" s="59">
        <f t="shared" si="40"/>
        <v>236.76626845829483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6.32</v>
      </c>
      <c r="CT26" s="12">
        <f>IF('Données projet'!$A$140&gt;35,CT25+CS26-DB25,IF(A26&lt;'Données projet'!$A$140,$CQ$205^A26,IF(A26='Données projet'!$A$140,'Données projet'!$B$140,CT25+CS26-DB25)))</f>
        <v>105.38153493449337</v>
      </c>
      <c r="CU26" s="17">
        <f>CT26*VLOOKUP('Données projet'!$B$13,Paramètres!$A$1:$I$89,3,0)*VLOOKUP('Données projet'!$B$13,Paramètres!$A$1:$I$89,5,0)</f>
        <v>69.045981689080065</v>
      </c>
      <c r="CV26" s="13">
        <f t="shared" si="41"/>
        <v>19.436352319314164</v>
      </c>
      <c r="CW26" s="20">
        <f t="shared" si="13"/>
        <v>154.1067317312866</v>
      </c>
      <c r="CX26" s="59">
        <f t="shared" si="14"/>
        <v>377.5919284408331</v>
      </c>
      <c r="CY26" s="59">
        <f ca="1">AVERAGE(OFFSET($CX$3,0,0,'Données projet'!$E$13+1,1))-AVERAGE(OFFSET($H$3,0,0,'Données projet'!$E$13+1,1))</f>
        <v>220.18342986563667</v>
      </c>
      <c r="CZ26" s="59">
        <f t="shared" si="42"/>
        <v>347.84382145531163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3</v>
      </c>
      <c r="DO26" s="12">
        <f>IF('Données projet'!$A$166&gt;35,DO25+DN26-DW25,IF(A26&lt;'Données projet'!$A$166,$DL$205^A26,IF(A26='Données projet'!$A$166,'Données projet'!$B$166,DO25+DN26-DW25)))</f>
        <v>69</v>
      </c>
      <c r="DP26" s="17">
        <f>DO26*VLOOKUP('Données projet'!$B$14,Paramètres!$A$1:$I$89,3,0)*VLOOKUP('Données projet'!$B$14,Paramètres!$A$1:$I$89,5,0)</f>
        <v>69.966000000000008</v>
      </c>
      <c r="DQ26" s="13">
        <f t="shared" si="43"/>
        <v>19.665013934342461</v>
      </c>
      <c r="DR26" s="20">
        <f t="shared" si="16"/>
        <v>156.10734926897979</v>
      </c>
      <c r="DS26" s="59">
        <f t="shared" si="17"/>
        <v>379.59254597852629</v>
      </c>
      <c r="DT26" s="59">
        <f ca="1">AVERAGE(OFFSET($DS$3,0,0,'Données projet'!$E$14+1,1))-AVERAGE(OFFSET($H$3,0,0,'Données projet'!$E$14+1,1))</f>
        <v>392.49465607243178</v>
      </c>
      <c r="DU26" s="59">
        <f t="shared" si="44"/>
        <v>258.031856676031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3.04</v>
      </c>
      <c r="EJ26" s="12">
        <f>IF('Données projet'!$A$192&gt;35,EJ25+EI26-ER25,IF(A26&lt;'Données projet'!$A$192,$EG$205^A26,IF(A26='Données projet'!$A$192,'Données projet'!$B$192,EJ25+EI26-ER25)))</f>
        <v>53.746291703417761</v>
      </c>
      <c r="EK26" s="17">
        <f>EJ26*VLOOKUP('Données projet'!$B$15,Paramètres!$A$1:$I$89,3,0)*VLOOKUP('Données projet'!$B$15,Paramètres!$A$1:$I$89,5,0)</f>
        <v>46.114318281532448</v>
      </c>
      <c r="EL26" s="13">
        <f t="shared" si="45"/>
        <v>13.605589744398129</v>
      </c>
      <c r="EM26" s="20">
        <f t="shared" si="19"/>
        <v>104.01217314516242</v>
      </c>
      <c r="EN26" s="59">
        <f t="shared" si="20"/>
        <v>327.49736985470895</v>
      </c>
      <c r="EO26" s="59">
        <f ca="1">AVERAGE(OFFSET($EN$3,0,0,'Données projet'!$E$15+1,1))-AVERAGE(OFFSET($H$3,0,0,'Données projet'!$E$15+1,1))</f>
        <v>294.24530606293143</v>
      </c>
      <c r="EP26" s="59">
        <f t="shared" si="46"/>
        <v>275.88160405468193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3.04</v>
      </c>
      <c r="FE26" s="12">
        <f>IF('Données projet'!$A$218&gt;35,FE25+FD26-FM25,IF(A26&lt;'Données projet'!$A$218,$FB$205^A26,IF(A26='Données projet'!$A$218,'Données projet'!$B$218,FE25+FD26-FM25)))</f>
        <v>53.746291703417761</v>
      </c>
      <c r="FF26" s="17">
        <f>FE26*VLOOKUP('Données projet'!$B$16,Paramètres!$A$1:$I$89,3,0)*VLOOKUP('Données projet'!$B$16,Paramètres!$A$1:$I$89,5,0)</f>
        <v>39.406781076945897</v>
      </c>
      <c r="FG26" s="13">
        <f t="shared" si="47"/>
        <v>11.84127769801605</v>
      </c>
      <c r="FH26" s="20">
        <f t="shared" si="22"/>
        <v>89.257035699725392</v>
      </c>
      <c r="FI26" s="59">
        <f t="shared" si="23"/>
        <v>312.74223240927188</v>
      </c>
      <c r="FJ26" s="59">
        <f ca="1">AVERAGE(OFFSET($FI$3,0,0,'Données projet'!$E$16+1,1))-AVERAGE(OFFSET($H$3,0,0,'Données projet'!$E$16+1,1))</f>
        <v>214.31585175697521</v>
      </c>
      <c r="FK26" s="59">
        <f t="shared" si="48"/>
        <v>244.60383864821372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0</v>
      </c>
      <c r="FS26" s="21">
        <f>EXP(-LN(2)/2)*FS25+(1-EXP(-LN(2)/2))/(LN(2)/2)*FM26*FP26*VLOOKUP('Données projet'!$B$16,Paramètres!$A$1:$I$89,3,0)*0.475*44/12</f>
        <v>0</v>
      </c>
      <c r="FT26" s="22">
        <f t="shared" si="24"/>
        <v>0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6.32</v>
      </c>
      <c r="FZ26" s="12">
        <f>IF('Données projet'!$A$244&gt;35,FZ25+FY26-GH25,IF(A26&lt;'Données projet'!$A$244,$FW$205^A26,IF(A26='Données projet'!$A$244,'Données projet'!$B$244,FZ25+FY26-GH25)))</f>
        <v>105.38153493449337</v>
      </c>
      <c r="GA26" s="17">
        <f>FZ26*VLOOKUP('Données projet'!$B$17,Paramètres!$A$1:$I$89,3,0)*VLOOKUP('Données projet'!$B$17,Paramètres!$A$1:$I$89,5,0)</f>
        <v>83.84154919388294</v>
      </c>
      <c r="GB26" s="13">
        <f t="shared" si="49"/>
        <v>23.073883600862558</v>
      </c>
      <c r="GC26" s="20">
        <f t="shared" si="25"/>
        <v>186.21104545084839</v>
      </c>
      <c r="GD26" s="59">
        <f t="shared" si="26"/>
        <v>409.69624216039489</v>
      </c>
      <c r="GE26" s="59">
        <f ca="1">AVERAGE(OFFSET($GD$3,0,0,'Données projet'!$E$17+1,1))-AVERAGE(OFFSET($H$3,0,0,'Données projet'!$E$17+1,1))</f>
        <v>308.33954512886351</v>
      </c>
      <c r="GF26" s="59">
        <f t="shared" si="50"/>
        <v>408.79075392716277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599.34778739492015</v>
      </c>
      <c r="S27" s="59">
        <f ca="1">AVERAGE(OFFSET($R$3,0,0,'Données projet'!$E$9+1,1))-AVERAGE(OFFSET($H$3,0,0,'Données projet'!$E$9+1,1))</f>
        <v>342.84342155097613</v>
      </c>
      <c r="T27" s="59">
        <f t="shared" si="34"/>
        <v>565.68976940602215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3.04</v>
      </c>
      <c r="AI27" s="13">
        <f>IF('Données projet'!$A$62&gt;35,AI26+AH27-AQ26,IF(A27&lt;'Données projet'!$A$62,$AF$205^A27,IF(A27='Données projet'!$A$62,'Données projet'!$B$62,AI26+AH27-AQ26)))</f>
        <v>63.911799923486328</v>
      </c>
      <c r="AJ27" s="13">
        <f>AI27*VLOOKUP('Données projet'!$B$10,Paramètres!$A$1:$I$89,3,0)*VLOOKUP('Données projet'!$B$10,Paramètres!$A$1:$I$89,5,0)</f>
        <v>60.818468807189589</v>
      </c>
      <c r="AK27" s="13">
        <f t="shared" si="35"/>
        <v>17.375040145994053</v>
      </c>
      <c r="AL27" s="20">
        <f t="shared" si="4"/>
        <v>136.18702809346152</v>
      </c>
      <c r="AM27" s="59">
        <f t="shared" si="5"/>
        <v>361.95773627708132</v>
      </c>
      <c r="AN27" s="59">
        <f ca="1">AVERAGE(OFFSET($AM$3,0,0,'Données projet'!$E$10+1,1))-AVERAGE(OFFSET($H$3,0,0,'Données projet'!$E$10+1,1))</f>
        <v>320.33056209214476</v>
      </c>
      <c r="AO27" s="59">
        <f t="shared" si="36"/>
        <v>299.27200854723446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457.31131354668469</v>
      </c>
      <c r="BI27" s="59">
        <f ca="1">AVERAGE(OFFSET($BH$3,0,0,'Données projet'!$E$11+1,1))-AVERAGE(OFFSET($H$3,0,0,'Données projet'!$E$11+1,1))</f>
        <v>256.85706398254547</v>
      </c>
      <c r="BJ27" s="59">
        <f t="shared" si="38"/>
        <v>363.68094621014734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0.40326000000000001</v>
      </c>
      <c r="BO27" s="16">
        <f>IF(ISNA(VLOOKUP(A27,'Données projet'!$A$87:$I$107,7,0)),0%,VLOOKUP(A27,'Données projet'!$A$87:$I$107,7,0))</f>
        <v>0.33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21.169527789625754</v>
      </c>
      <c r="BR27" s="21">
        <f>EXP(-LN(2)/2)*BR26+(1-EXP(-LN(2)/2))/(LN(2)/2)*BL27*BO27*VLOOKUP('Données projet'!$B$11,Paramètres!$A$1:$I$89,3,0)*0.475*44/12</f>
        <v>10.079923148630948</v>
      </c>
      <c r="BS27" s="22">
        <f t="shared" si="9"/>
        <v>31.2494509382567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</v>
      </c>
      <c r="BY27" s="12">
        <f>IF('Données projet'!$A$114&gt;35,BY26+BX27-CG26,IF(A27&lt;'Données projet'!$A$114,$BV$205^A27,IF(A27='Données projet'!$A$114,'Données projet'!$B$114,BY26+BX27-CG26)))</f>
        <v>72</v>
      </c>
      <c r="BZ27" s="13">
        <f>BY27*VLOOKUP('Données projet'!$B$12,Paramètres!$A$1:$I$89,3,0)*VLOOKUP('Données projet'!$B$12,Paramètres!$A$1:$I$89,5,0)</f>
        <v>65.145600000000002</v>
      </c>
      <c r="CA27" s="13">
        <f t="shared" si="39"/>
        <v>18.462943001028204</v>
      </c>
      <c r="CB27" s="20">
        <f t="shared" si="10"/>
        <v>145.61821239345747</v>
      </c>
      <c r="CC27" s="59">
        <f t="shared" si="11"/>
        <v>371.38892057707727</v>
      </c>
      <c r="CD27" s="59">
        <f ca="1">AVERAGE(OFFSET($CC$3,0,0,'Données projet'!$E$12+1,1))-AVERAGE(OFFSET($H$3,0,0,'Données projet'!$E$12+1,1))</f>
        <v>357.68828740212223</v>
      </c>
      <c r="CE27" s="59">
        <f t="shared" si="40"/>
        <v>236.76626845829483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6.32</v>
      </c>
      <c r="CT27" s="12">
        <f>IF('Données projet'!$A$140&gt;35,CT26+CS27-DB26,IF(A27&lt;'Données projet'!$A$140,$CQ$205^A27,IF(A27='Données projet'!$A$140,'Données projet'!$B$140,CT26+CS27-DB26)))</f>
        <v>129.0359737424024</v>
      </c>
      <c r="CU27" s="17">
        <f>CT27*VLOOKUP('Données projet'!$B$13,Paramètres!$A$1:$I$89,3,0)*VLOOKUP('Données projet'!$B$13,Paramètres!$A$1:$I$89,5,0)</f>
        <v>84.544369996022056</v>
      </c>
      <c r="CV27" s="13">
        <f t="shared" si="41"/>
        <v>23.244708212820456</v>
      </c>
      <c r="CW27" s="20">
        <f t="shared" si="13"/>
        <v>187.73264454706737</v>
      </c>
      <c r="CX27" s="59">
        <f t="shared" si="14"/>
        <v>413.5033527306872</v>
      </c>
      <c r="CY27" s="59">
        <f ca="1">AVERAGE(OFFSET($CX$3,0,0,'Données projet'!$E$13+1,1))-AVERAGE(OFFSET($H$3,0,0,'Données projet'!$E$13+1,1))</f>
        <v>220.18342986563667</v>
      </c>
      <c r="CZ27" s="59">
        <f t="shared" si="42"/>
        <v>347.84382145531163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3</v>
      </c>
      <c r="DO27" s="12">
        <f>IF('Données projet'!$A$166&gt;35,DO26+DN27-DW26,IF(A27&lt;'Données projet'!$A$166,$DL$205^A27,IF(A27='Données projet'!$A$166,'Données projet'!$B$166,DO26+DN27-DW26)))</f>
        <v>72</v>
      </c>
      <c r="DP27" s="17">
        <f>DO27*VLOOKUP('Données projet'!$B$14,Paramètres!$A$1:$I$89,3,0)*VLOOKUP('Données projet'!$B$14,Paramètres!$A$1:$I$89,5,0)</f>
        <v>73.00800000000001</v>
      </c>
      <c r="DQ27" s="13">
        <f t="shared" si="43"/>
        <v>20.418611018263636</v>
      </c>
      <c r="DR27" s="20">
        <f t="shared" si="16"/>
        <v>162.7180141901425</v>
      </c>
      <c r="DS27" s="59">
        <f t="shared" si="17"/>
        <v>388.4887223737623</v>
      </c>
      <c r="DT27" s="59">
        <f ca="1">AVERAGE(OFFSET($DS$3,0,0,'Données projet'!$E$14+1,1))-AVERAGE(OFFSET($H$3,0,0,'Données projet'!$E$14+1,1))</f>
        <v>392.49465607243178</v>
      </c>
      <c r="DU27" s="59">
        <f t="shared" si="44"/>
        <v>258.031856676031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3.04</v>
      </c>
      <c r="EJ27" s="12">
        <f>IF('Données projet'!$A$192&gt;35,EJ26+EI27-ER26,IF(A27&lt;'Données projet'!$A$192,$EG$205^A27,IF(A27='Données projet'!$A$192,'Données projet'!$B$192,EJ26+EI27-ER26)))</f>
        <v>63.911799923486328</v>
      </c>
      <c r="EK27" s="17">
        <f>EJ27*VLOOKUP('Données projet'!$B$15,Paramètres!$A$1:$I$89,3,0)*VLOOKUP('Données projet'!$B$15,Paramètres!$A$1:$I$89,5,0)</f>
        <v>54.836324334351275</v>
      </c>
      <c r="EL27" s="13">
        <f t="shared" si="45"/>
        <v>15.855971150180702</v>
      </c>
      <c r="EM27" s="20">
        <f t="shared" si="19"/>
        <v>123.12241463555988</v>
      </c>
      <c r="EN27" s="59">
        <f t="shared" si="20"/>
        <v>348.89312281917967</v>
      </c>
      <c r="EO27" s="59">
        <f ca="1">AVERAGE(OFFSET($EN$3,0,0,'Données projet'!$E$15+1,1))-AVERAGE(OFFSET($H$3,0,0,'Données projet'!$E$15+1,1))</f>
        <v>294.24530606293143</v>
      </c>
      <c r="EP27" s="59">
        <f t="shared" si="46"/>
        <v>275.88160405468193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3.04</v>
      </c>
      <c r="FE27" s="12">
        <f>IF('Données projet'!$A$218&gt;35,FE26+FD27-FM26,IF(A27&lt;'Données projet'!$A$218,$FB$205^A27,IF(A27='Données projet'!$A$218,'Données projet'!$B$218,FE26+FD27-FM26)))</f>
        <v>63.911799923486328</v>
      </c>
      <c r="FF27" s="17">
        <f>FE27*VLOOKUP('Données projet'!$B$16,Paramètres!$A$1:$I$89,3,0)*VLOOKUP('Données projet'!$B$16,Paramètres!$A$1:$I$89,5,0)</f>
        <v>46.860131703900173</v>
      </c>
      <c r="FG27" s="13">
        <f t="shared" si="47"/>
        <v>13.799839704730598</v>
      </c>
      <c r="FH27" s="20">
        <f t="shared" si="22"/>
        <v>105.64945020336525</v>
      </c>
      <c r="FI27" s="59">
        <f t="shared" si="23"/>
        <v>331.42015838698507</v>
      </c>
      <c r="FJ27" s="59">
        <f ca="1">AVERAGE(OFFSET($FI$3,0,0,'Données projet'!$E$16+1,1))-AVERAGE(OFFSET($H$3,0,0,'Données projet'!$E$16+1,1))</f>
        <v>214.31585175697521</v>
      </c>
      <c r="FK27" s="59">
        <f t="shared" si="48"/>
        <v>244.60383864821372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0</v>
      </c>
      <c r="FS27" s="21">
        <f>EXP(-LN(2)/2)*FS26+(1-EXP(-LN(2)/2))/(LN(2)/2)*FM27*FP27*VLOOKUP('Données projet'!$B$16,Paramètres!$A$1:$I$89,3,0)*0.475*44/12</f>
        <v>0</v>
      </c>
      <c r="FT27" s="22">
        <f t="shared" si="24"/>
        <v>0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6.32</v>
      </c>
      <c r="FZ27" s="12">
        <f>IF('Données projet'!$A$244&gt;35,FZ26+FY27-GH26,IF(A27&lt;'Données projet'!$A$244,$FW$205^A27,IF(A27='Données projet'!$A$244,'Données projet'!$B$244,FZ26+FY27-GH26)))</f>
        <v>129.0359737424024</v>
      </c>
      <c r="GA27" s="17">
        <f>FZ27*VLOOKUP('Données projet'!$B$17,Paramètres!$A$1:$I$89,3,0)*VLOOKUP('Données projet'!$B$17,Paramètres!$A$1:$I$89,5,0)</f>
        <v>102.66102070945536</v>
      </c>
      <c r="GB27" s="13">
        <f t="shared" si="49"/>
        <v>27.594976815976896</v>
      </c>
      <c r="GC27" s="20">
        <f t="shared" si="25"/>
        <v>226.86252902346121</v>
      </c>
      <c r="GD27" s="59">
        <f t="shared" si="26"/>
        <v>452.63323720708104</v>
      </c>
      <c r="GE27" s="59">
        <f ca="1">AVERAGE(OFFSET($GD$3,0,0,'Données projet'!$E$17+1,1))-AVERAGE(OFFSET($H$3,0,0,'Données projet'!$E$17+1,1))</f>
        <v>308.33954512886351</v>
      </c>
      <c r="GF27" s="59">
        <f t="shared" si="50"/>
        <v>408.79075392716277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635.93571346101373</v>
      </c>
      <c r="S28" s="59">
        <f ca="1">AVERAGE(OFFSET($R$3,0,0,'Données projet'!$E$9+1,1))-AVERAGE(OFFSET($H$3,0,0,'Données projet'!$E$9+1,1))</f>
        <v>342.84342155097613</v>
      </c>
      <c r="T28" s="59">
        <f t="shared" si="34"/>
        <v>565.68976940602215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0.27500000000000002</v>
      </c>
      <c r="Y28" s="16">
        <f>IF(ISNA(VLOOKUP(A28,'Données projet'!$A$35:$I$55,7,0)),0%,VLOOKUP(A28,'Données projet'!$A$35:$I$55,7,0))</f>
        <v>0.5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10.968652047913231</v>
      </c>
      <c r="AB28" s="21">
        <f>EXP(-LN(2)/2)*AB27+(1-EXP(-LN(2)/2))/(LN(2)/2)*V28*Y28*VLOOKUP('Données projet'!$B$9,Paramètres!$A$1:$I$89,3,0)*0.475*44/12</f>
        <v>17.088782066566949</v>
      </c>
      <c r="AC28" s="22">
        <f t="shared" si="3"/>
        <v>28.057434114480181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76</v>
      </c>
      <c r="AG28" s="12">
        <f>VLOOKUP(A28,'Données projet'!$A$61:$I$81,9,0)</f>
        <v>3.04</v>
      </c>
      <c r="AH28" s="12">
        <f t="array" ref="AH28">INDEX(AG:AG,MIN(IF(ISNUMBER(AG28:AG224),ROW(AG28:AG224),"")))</f>
        <v>3.04</v>
      </c>
      <c r="AI28" s="13">
        <f>IF('Données projet'!$A$62&gt;35,AI27+AH28-AQ27,IF(A28&lt;'Données projet'!$A$62,$AF$205^A28,IF(A28='Données projet'!$A$62,'Données projet'!$B$62,AI27+AH28-AQ27)))</f>
        <v>76</v>
      </c>
      <c r="AJ28" s="13">
        <f>AI28*VLOOKUP('Données projet'!$B$10,Paramètres!$A$1:$I$89,3,0)*VLOOKUP('Données projet'!$B$10,Paramètres!$A$1:$I$89,5,0)</f>
        <v>72.321600000000004</v>
      </c>
      <c r="AK28" s="13">
        <f t="shared" si="35"/>
        <v>20.248893319861061</v>
      </c>
      <c r="AL28" s="20">
        <f t="shared" si="4"/>
        <v>161.22694253209136</v>
      </c>
      <c r="AM28" s="59">
        <f t="shared" si="5"/>
        <v>389.26471649842347</v>
      </c>
      <c r="AN28" s="59">
        <f ca="1">AVERAGE(OFFSET($AM$3,0,0,'Données projet'!$E$10+1,1))-AVERAGE(OFFSET($H$3,0,0,'Données projet'!$E$10+1,1))</f>
        <v>320.33056209214476</v>
      </c>
      <c r="AO28" s="59">
        <f t="shared" si="36"/>
        <v>299.27200854723446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14.333333333333334</v>
      </c>
      <c r="BD28" s="12">
        <f>IF('Données projet'!$A$88&gt;35,BD27+BC28-BL27,IF(A28&lt;'Données projet'!$A$88,$BA$205^A28,IF(A28='Données projet'!$A$88,'Données projet'!$B$88,BD27+BC28-BL27)))</f>
        <v>153.33333333333334</v>
      </c>
      <c r="BE28" s="13">
        <f>BD28*VLOOKUP('Données projet'!$B$11,Paramètres!$A$1:$I$89,3,0)*VLOOKUP('Données projet'!$B$11,Paramètres!$A$1:$I$89,5,0)</f>
        <v>95.680000000000021</v>
      </c>
      <c r="BF28" s="13">
        <f t="shared" si="37"/>
        <v>25.930186937101965</v>
      </c>
      <c r="BG28" s="20">
        <f t="shared" si="7"/>
        <v>211.80440891545263</v>
      </c>
      <c r="BH28" s="59">
        <f t="shared" si="8"/>
        <v>439.84218288178477</v>
      </c>
      <c r="BI28" s="59">
        <f ca="1">AVERAGE(OFFSET($BH$3,0,0,'Données projet'!$E$11+1,1))-AVERAGE(OFFSET($H$3,0,0,'Données projet'!$E$11+1,1))</f>
        <v>256.85706398254547</v>
      </c>
      <c r="BJ28" s="59">
        <f t="shared" si="38"/>
        <v>363.68094621014734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20.590645938961355</v>
      </c>
      <c r="BR28" s="21">
        <f>EXP(-LN(2)/2)*BR27+(1-EXP(-LN(2)/2))/(LN(2)/2)*BL28*BO28*VLOOKUP('Données projet'!$B$11,Paramètres!$A$1:$I$89,3,0)*0.475*44/12</f>
        <v>7.1275820122361999</v>
      </c>
      <c r="BS28" s="22">
        <f t="shared" si="9"/>
        <v>27.718227951197555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</v>
      </c>
      <c r="BY28" s="12">
        <f>IF('Données projet'!$A$114&gt;35,BY27+BX28-CG27,IF(A28&lt;'Données projet'!$A$114,$BV$205^A28,IF(A28='Données projet'!$A$114,'Données projet'!$B$114,BY27+BX28-CG27)))</f>
        <v>75</v>
      </c>
      <c r="BZ28" s="13">
        <f>BY28*VLOOKUP('Données projet'!$B$12,Paramètres!$A$1:$I$89,3,0)*VLOOKUP('Données projet'!$B$12,Paramètres!$A$1:$I$89,5,0)</f>
        <v>67.86</v>
      </c>
      <c r="CA28" s="13">
        <f t="shared" si="39"/>
        <v>19.141063649731766</v>
      </c>
      <c r="CB28" s="20">
        <f t="shared" si="10"/>
        <v>151.52685252328283</v>
      </c>
      <c r="CC28" s="59">
        <f t="shared" si="11"/>
        <v>379.56462648961497</v>
      </c>
      <c r="CD28" s="59">
        <f ca="1">AVERAGE(OFFSET($CC$3,0,0,'Données projet'!$E$12+1,1))-AVERAGE(OFFSET($H$3,0,0,'Données projet'!$E$12+1,1))</f>
        <v>357.68828740212223</v>
      </c>
      <c r="CE28" s="59">
        <f t="shared" si="40"/>
        <v>236.76626845829483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158</v>
      </c>
      <c r="CR28" s="12">
        <f>VLOOKUP(A28,'Données projet'!$A$139:$I$159,9,0)</f>
        <v>6.32</v>
      </c>
      <c r="CS28" s="12">
        <f t="array" ref="CS28">INDEX(CR:CR,MIN(IF(ISNUMBER(CR28:CR224),ROW(CR28:CR224),"")))</f>
        <v>6.32</v>
      </c>
      <c r="CT28" s="12">
        <f>IF('Données projet'!$A$140&gt;35,CT27+CS28-DB27,IF(A28&lt;'Données projet'!$A$140,$CQ$205^A28,IF(A28='Données projet'!$A$140,'Données projet'!$B$140,CT27+CS28-DB27)))</f>
        <v>158</v>
      </c>
      <c r="CU28" s="17">
        <f>CT28*VLOOKUP('Données projet'!$B$13,Paramètres!$A$1:$I$89,3,0)*VLOOKUP('Données projet'!$B$13,Paramètres!$A$1:$I$89,5,0)</f>
        <v>103.52160000000001</v>
      </c>
      <c r="CV28" s="13">
        <f t="shared" si="41"/>
        <v>27.79927277621136</v>
      </c>
      <c r="CW28" s="20">
        <f t="shared" si="13"/>
        <v>228.71718675190144</v>
      </c>
      <c r="CX28" s="59">
        <f t="shared" si="14"/>
        <v>456.75496071823352</v>
      </c>
      <c r="CY28" s="59">
        <f ca="1">AVERAGE(OFFSET($CX$3,0,0,'Données projet'!$E$13+1,1))-AVERAGE(OFFSET($H$3,0,0,'Données projet'!$E$13+1,1))</f>
        <v>220.18342986563667</v>
      </c>
      <c r="CZ28" s="59">
        <f t="shared" si="42"/>
        <v>347.84382145531163</v>
      </c>
      <c r="DA28" s="15">
        <f>IF(ISNA(VLOOKUP(A28,'Données projet'!$A$139:$I$159,3,0)),0,VLOOKUP(A28,'Données projet'!$A$139:$I$159,3,0))</f>
        <v>1</v>
      </c>
      <c r="DB28" s="15">
        <f>IF(ISNA(VLOOKUP(A28,'Données projet'!$A$139:$I$159,4,0)),0,VLOOKUP(A28,'Données projet'!$A$139:$I$159,4,0))</f>
        <v>15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1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9.2729825167417541</v>
      </c>
      <c r="DI28" s="22">
        <f t="shared" si="15"/>
        <v>9.2729825167417541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3</v>
      </c>
      <c r="DO28" s="12">
        <f>IF('Données projet'!$A$166&gt;35,DO27+DN28-DW27,IF(A28&lt;'Données projet'!$A$166,$DL$205^A28,IF(A28='Données projet'!$A$166,'Données projet'!$B$166,DO27+DN28-DW27)))</f>
        <v>75</v>
      </c>
      <c r="DP28" s="17">
        <f>DO28*VLOOKUP('Données projet'!$B$14,Paramètres!$A$1:$I$89,3,0)*VLOOKUP('Données projet'!$B$14,Paramètres!$A$1:$I$89,5,0)</f>
        <v>76.05</v>
      </c>
      <c r="DQ28" s="13">
        <f t="shared" si="43"/>
        <v>21.16856089074928</v>
      </c>
      <c r="DR28" s="20">
        <f t="shared" si="16"/>
        <v>169.32232688472163</v>
      </c>
      <c r="DS28" s="59">
        <f t="shared" si="17"/>
        <v>397.36010085105374</v>
      </c>
      <c r="DT28" s="59">
        <f ca="1">AVERAGE(OFFSET($DS$3,0,0,'Données projet'!$E$14+1,1))-AVERAGE(OFFSET($H$3,0,0,'Données projet'!$E$14+1,1))</f>
        <v>392.49465607243178</v>
      </c>
      <c r="DU28" s="59">
        <f t="shared" si="44"/>
        <v>258.031856676031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>
        <f>VLOOKUP(A28,'Données projet'!$A$191:$I$211,2,0)</f>
        <v>76</v>
      </c>
      <c r="EH28" s="12">
        <f>VLOOKUP(A28,'Données projet'!$A$191:$I$211,9,0)</f>
        <v>3.04</v>
      </c>
      <c r="EI28" s="12">
        <f t="array" ref="EI28">INDEX(EH:EH,MIN(IF(ISNUMBER(EH28:EH224),ROW(EH28:EH224),"")))</f>
        <v>3.04</v>
      </c>
      <c r="EJ28" s="12">
        <f>IF('Données projet'!$A$192&gt;35,EJ27+EI28-ER27,IF(A28&lt;'Données projet'!$A$192,$EG$205^A28,IF(A28='Données projet'!$A$192,'Données projet'!$B$192,EJ27+EI28-ER27)))</f>
        <v>76</v>
      </c>
      <c r="EK28" s="17">
        <f>EJ28*VLOOKUP('Données projet'!$B$15,Paramètres!$A$1:$I$89,3,0)*VLOOKUP('Données projet'!$B$15,Paramètres!$A$1:$I$89,5,0)</f>
        <v>65.208000000000013</v>
      </c>
      <c r="EL28" s="13">
        <f t="shared" si="45"/>
        <v>18.478568429485204</v>
      </c>
      <c r="EM28" s="20">
        <f t="shared" si="19"/>
        <v>145.75410668135342</v>
      </c>
      <c r="EN28" s="59">
        <f t="shared" si="20"/>
        <v>373.7918806476855</v>
      </c>
      <c r="EO28" s="59">
        <f ca="1">AVERAGE(OFFSET($EN$3,0,0,'Données projet'!$E$15+1,1))-AVERAGE(OFFSET($H$3,0,0,'Données projet'!$E$15+1,1))</f>
        <v>294.24530606293143</v>
      </c>
      <c r="EP28" s="59">
        <f t="shared" si="46"/>
        <v>275.88160405468193</v>
      </c>
      <c r="EQ28" s="15">
        <f>IF(ISNA(VLOOKUP(A28,'Données projet'!$A$191:$I$211,3,0)),0,VLOOKUP(A28,'Données projet'!$A$191:$I$211,3,0))</f>
        <v>1</v>
      </c>
      <c r="ER28" s="15">
        <f>IF(ISNA(VLOOKUP(A28,'Données projet'!$A$191:$I$211,4,0)),0,VLOOKUP(A28,'Données projet'!$A$191:$I$211,4,0))</f>
        <v>7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>
        <f>VLOOKUP(A28,'Données projet'!$A$217:$I$237,2,0)</f>
        <v>76</v>
      </c>
      <c r="FC28" s="12">
        <f>VLOOKUP(A28,'Données projet'!$A$217:$I$237,9,0)</f>
        <v>3.04</v>
      </c>
      <c r="FD28" s="12">
        <f t="array" ref="FD28">INDEX(FC:FC,MIN(IF(ISNUMBER(FC28:FC224),ROW(FC28:FC224),"")))</f>
        <v>3.04</v>
      </c>
      <c r="FE28" s="12">
        <f>IF('Données projet'!$A$218&gt;35,FE27+FD28-FM27,IF(A28&lt;'Données projet'!$A$218,$FB$205^A28,IF(A28='Données projet'!$A$218,'Données projet'!$B$218,FE27+FD28-FM27)))</f>
        <v>76</v>
      </c>
      <c r="FF28" s="17">
        <f>FE28*VLOOKUP('Données projet'!$B$16,Paramètres!$A$1:$I$89,3,0)*VLOOKUP('Données projet'!$B$16,Paramètres!$A$1:$I$89,5,0)</f>
        <v>55.723199999999999</v>
      </c>
      <c r="FG28" s="13">
        <f t="shared" si="47"/>
        <v>16.082350294695448</v>
      </c>
      <c r="FH28" s="20">
        <f t="shared" si="22"/>
        <v>125.0613334299279</v>
      </c>
      <c r="FI28" s="59">
        <f t="shared" si="23"/>
        <v>353.09910739626002</v>
      </c>
      <c r="FJ28" s="59">
        <f ca="1">AVERAGE(OFFSET($FI$3,0,0,'Données projet'!$E$16+1,1))-AVERAGE(OFFSET($H$3,0,0,'Données projet'!$E$16+1,1))</f>
        <v>214.31585175697521</v>
      </c>
      <c r="FK28" s="59">
        <f t="shared" si="48"/>
        <v>244.60383864821372</v>
      </c>
      <c r="FL28" s="15">
        <f>IF(ISNA(VLOOKUP(A28,'Données projet'!$A$217:$I$237,3,0)),0,VLOOKUP(A28,'Données projet'!$A$217:$I$237,3,0))</f>
        <v>1</v>
      </c>
      <c r="FM28" s="15">
        <f>IF(ISNA(VLOOKUP(A28,'Données projet'!$A$217:$I$237,4,0)),0,VLOOKUP(A28,'Données projet'!$A$217:$I$237,4,0))</f>
        <v>7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0</v>
      </c>
      <c r="FS28" s="21">
        <f>EXP(-LN(2)/2)*FS27+(1-EXP(-LN(2)/2))/(LN(2)/2)*FM28*FP28*VLOOKUP('Données projet'!$B$16,Paramètres!$A$1:$I$89,3,0)*0.475*44/12</f>
        <v>0</v>
      </c>
      <c r="FT28" s="22">
        <f t="shared" si="24"/>
        <v>0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>
        <f>VLOOKUP(A28,'Données projet'!$A$243:$I$263,2,0)</f>
        <v>158</v>
      </c>
      <c r="FX28" s="12">
        <f>VLOOKUP(A28,'Données projet'!$A$243:$I$263,9,0)</f>
        <v>6.32</v>
      </c>
      <c r="FY28" s="12">
        <f t="array" ref="FY28">INDEX(FX:FX,MIN(IF(ISNUMBER(FX28:FX224),ROW(FX28:FX224),"")))</f>
        <v>6.32</v>
      </c>
      <c r="FZ28" s="12">
        <f>IF('Données projet'!$A$244&gt;35,FZ27+FY28-GH27,IF(A28&lt;'Données projet'!$A$244,$FW$205^A28,IF(A28='Données projet'!$A$244,'Données projet'!$B$244,FZ27+FY28-GH27)))</f>
        <v>158</v>
      </c>
      <c r="GA28" s="17">
        <f>FZ28*VLOOKUP('Données projet'!$B$17,Paramètres!$A$1:$I$89,3,0)*VLOOKUP('Données projet'!$B$17,Paramètres!$A$1:$I$89,5,0)</f>
        <v>125.70480000000001</v>
      </c>
      <c r="GB28" s="13">
        <f t="shared" si="49"/>
        <v>33.001932342496389</v>
      </c>
      <c r="GC28" s="20">
        <f t="shared" si="25"/>
        <v>276.41422549651458</v>
      </c>
      <c r="GD28" s="59">
        <f t="shared" si="26"/>
        <v>504.45199946284669</v>
      </c>
      <c r="GE28" s="59">
        <f ca="1">AVERAGE(OFFSET($GD$3,0,0,'Données projet'!$E$17+1,1))-AVERAGE(OFFSET($H$3,0,0,'Données projet'!$E$17+1,1))</f>
        <v>308.33954512886351</v>
      </c>
      <c r="GF28" s="59">
        <f t="shared" si="50"/>
        <v>408.79075392716277</v>
      </c>
      <c r="GG28" s="15">
        <f>IF(ISNA(VLOOKUP(A28,'Données projet'!$A$243:$I$263,3,0)),0,VLOOKUP(A28,'Données projet'!$A$243:$I$263,3,0))</f>
        <v>1</v>
      </c>
      <c r="GH28" s="15">
        <f>IF(ISNA(VLOOKUP(A28,'Données projet'!$A$243:$I$263,4,0)),0,VLOOKUP(A28,'Données projet'!$A$243:$I$263,4,0))</f>
        <v>15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607.23930258812345</v>
      </c>
      <c r="S29" s="59">
        <f ca="1">AVERAGE(OFFSET($R$3,0,0,'Données projet'!$E$9+1,1))-AVERAGE(OFFSET($H$3,0,0,'Données projet'!$E$9+1,1))</f>
        <v>342.84342155097613</v>
      </c>
      <c r="T29" s="59">
        <f t="shared" si="34"/>
        <v>565.68976940602215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10.668713680846702</v>
      </c>
      <c r="AB29" s="21">
        <f>EXP(-LN(2)/2)*AB28+(1-EXP(-LN(2)/2))/(LN(2)/2)*V29*Y29*VLOOKUP('Données projet'!$B$9,Paramètres!$A$1:$I$89,3,0)*0.475*44/12</f>
        <v>12.083593681488555</v>
      </c>
      <c r="AC29" s="22">
        <f t="shared" si="3"/>
        <v>22.752307362335259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9.4</v>
      </c>
      <c r="AI29" s="13">
        <f>IF('Données projet'!$A$62&gt;35,AI28+AH29-AQ28,IF(A29&lt;'Données projet'!$A$62,$AF$205^A29,IF(A29='Données projet'!$A$62,'Données projet'!$B$62,AI28+AH29-AQ28)))</f>
        <v>78.400000000000006</v>
      </c>
      <c r="AJ29" s="13">
        <f>AI29*VLOOKUP('Données projet'!$B$10,Paramètres!$A$1:$I$89,3,0)*VLOOKUP('Données projet'!$B$10,Paramètres!$A$1:$I$89,5,0)</f>
        <v>74.605440000000016</v>
      </c>
      <c r="AK29" s="13">
        <f t="shared" si="35"/>
        <v>20.812874965175848</v>
      </c>
      <c r="AL29" s="20">
        <f t="shared" si="4"/>
        <v>166.18689856434796</v>
      </c>
      <c r="AM29" s="59">
        <f t="shared" si="5"/>
        <v>396.47361261353814</v>
      </c>
      <c r="AN29" s="59">
        <f ca="1">AVERAGE(OFFSET($AM$3,0,0,'Données projet'!$E$10+1,1))-AVERAGE(OFFSET($H$3,0,0,'Données projet'!$E$10+1,1))</f>
        <v>320.33056209214476</v>
      </c>
      <c r="AO29" s="59">
        <f t="shared" si="36"/>
        <v>299.27200854723446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14.333333333333334</v>
      </c>
      <c r="BD29" s="12">
        <f>IF('Données projet'!$A$88&gt;35,BD28+BC29-BL28,IF(A29&lt;'Données projet'!$A$88,$BA$205^A29,IF(A29='Données projet'!$A$88,'Données projet'!$B$88,BD28+BC29-BL28)))</f>
        <v>167.66666666666669</v>
      </c>
      <c r="BE29" s="13">
        <f>BD29*VLOOKUP('Données projet'!$B$11,Paramètres!$A$1:$I$89,3,0)*VLOOKUP('Données projet'!$B$11,Paramètres!$A$1:$I$89,5,0)</f>
        <v>104.62400000000001</v>
      </c>
      <c r="BF29" s="13">
        <f t="shared" si="37"/>
        <v>28.060686982905839</v>
      </c>
      <c r="BG29" s="20">
        <f t="shared" si="7"/>
        <v>231.09249649522766</v>
      </c>
      <c r="BH29" s="59">
        <f t="shared" si="8"/>
        <v>461.37921054441784</v>
      </c>
      <c r="BI29" s="59">
        <f ca="1">AVERAGE(OFFSET($BH$3,0,0,'Données projet'!$E$11+1,1))-AVERAGE(OFFSET($H$3,0,0,'Données projet'!$E$11+1,1))</f>
        <v>256.85706398254547</v>
      </c>
      <c r="BJ29" s="59">
        <f t="shared" si="38"/>
        <v>363.68094621014734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20.027593642945448</v>
      </c>
      <c r="BR29" s="21">
        <f>EXP(-LN(2)/2)*BR28+(1-EXP(-LN(2)/2))/(LN(2)/2)*BL29*BO29*VLOOKUP('Données projet'!$B$11,Paramètres!$A$1:$I$89,3,0)*0.475*44/12</f>
        <v>5.0399615743154751</v>
      </c>
      <c r="BS29" s="22">
        <f t="shared" si="9"/>
        <v>25.067555217260924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</v>
      </c>
      <c r="BY29" s="12">
        <f>IF('Données projet'!$A$114&gt;35,BY28+BX29-CG28,IF(A29&lt;'Données projet'!$A$114,$BV$205^A29,IF(A29='Données projet'!$A$114,'Données projet'!$B$114,BY28+BX29-CG28)))</f>
        <v>78</v>
      </c>
      <c r="BZ29" s="13">
        <f>BY29*VLOOKUP('Données projet'!$B$12,Paramètres!$A$1:$I$89,3,0)*VLOOKUP('Données projet'!$B$12,Paramètres!$A$1:$I$89,5,0)</f>
        <v>70.574399999999997</v>
      </c>
      <c r="CA29" s="13">
        <f t="shared" si="39"/>
        <v>19.816033420152426</v>
      </c>
      <c r="CB29" s="20">
        <f t="shared" si="10"/>
        <v>157.43000487343213</v>
      </c>
      <c r="CC29" s="59">
        <f t="shared" si="11"/>
        <v>387.71671892262231</v>
      </c>
      <c r="CD29" s="59">
        <f ca="1">AVERAGE(OFFSET($CC$3,0,0,'Données projet'!$E$12+1,1))-AVERAGE(OFFSET($H$3,0,0,'Données projet'!$E$12+1,1))</f>
        <v>357.68828740212223</v>
      </c>
      <c r="CE29" s="59">
        <f t="shared" si="40"/>
        <v>236.76626845829483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</v>
      </c>
      <c r="CT29" s="12">
        <f>IF('Données projet'!$A$140&gt;35,CT28+CS29-DB28,IF(A29&lt;'Données projet'!$A$140,$CQ$205^A29,IF(A29='Données projet'!$A$140,'Données projet'!$B$140,CT28+CS29-DB28)))</f>
        <v>155</v>
      </c>
      <c r="CU29" s="17">
        <f>CT29*VLOOKUP('Données projet'!$B$13,Paramètres!$A$1:$I$89,3,0)*VLOOKUP('Données projet'!$B$13,Paramètres!$A$1:$I$89,5,0)</f>
        <v>101.556</v>
      </c>
      <c r="CV29" s="13">
        <f t="shared" si="41"/>
        <v>27.332359320696909</v>
      </c>
      <c r="CW29" s="20">
        <f t="shared" si="13"/>
        <v>224.48055915021379</v>
      </c>
      <c r="CX29" s="59">
        <f t="shared" si="14"/>
        <v>454.76727319940397</v>
      </c>
      <c r="CY29" s="59">
        <f ca="1">AVERAGE(OFFSET($CX$3,0,0,'Données projet'!$E$13+1,1))-AVERAGE(OFFSET($H$3,0,0,'Données projet'!$E$13+1,1))</f>
        <v>220.18342986563667</v>
      </c>
      <c r="CZ29" s="59">
        <f t="shared" si="42"/>
        <v>347.84382145531163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6.5569888194123926</v>
      </c>
      <c r="DI29" s="22">
        <f t="shared" si="15"/>
        <v>6.5569888194123926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3</v>
      </c>
      <c r="DO29" s="12">
        <f>IF('Données projet'!$A$166&gt;35,DO28+DN29-DW28,IF(A29&lt;'Données projet'!$A$166,$DL$205^A29,IF(A29='Données projet'!$A$166,'Données projet'!$B$166,DO28+DN29-DW28)))</f>
        <v>78</v>
      </c>
      <c r="DP29" s="17">
        <f>DO29*VLOOKUP('Données projet'!$B$14,Paramètres!$A$1:$I$89,3,0)*VLOOKUP('Données projet'!$B$14,Paramètres!$A$1:$I$89,5,0)</f>
        <v>79.092000000000013</v>
      </c>
      <c r="DQ29" s="13">
        <f t="shared" si="43"/>
        <v>21.915026131450009</v>
      </c>
      <c r="DR29" s="20">
        <f t="shared" si="16"/>
        <v>175.92057051227542</v>
      </c>
      <c r="DS29" s="59">
        <f t="shared" si="17"/>
        <v>406.2072845614656</v>
      </c>
      <c r="DT29" s="59">
        <f ca="1">AVERAGE(OFFSET($DS$3,0,0,'Données projet'!$E$14+1,1))-AVERAGE(OFFSET($H$3,0,0,'Données projet'!$E$14+1,1))</f>
        <v>392.49465607243178</v>
      </c>
      <c r="DU29" s="59">
        <f t="shared" si="44"/>
        <v>258.031856676031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9.4</v>
      </c>
      <c r="EJ29" s="12">
        <f>IF('Données projet'!$A$192&gt;35,EJ28+EI29-ER28,IF(A29&lt;'Données projet'!$A$192,$EG$205^A29,IF(A29='Données projet'!$A$192,'Données projet'!$B$192,EJ28+EI29-ER28)))</f>
        <v>78.400000000000006</v>
      </c>
      <c r="EK29" s="17">
        <f>EJ29*VLOOKUP('Données projet'!$B$15,Paramètres!$A$1:$I$89,3,0)*VLOOKUP('Données projet'!$B$15,Paramètres!$A$1:$I$89,5,0)</f>
        <v>67.267200000000003</v>
      </c>
      <c r="EL29" s="13">
        <f t="shared" si="45"/>
        <v>18.993242158132926</v>
      </c>
      <c r="EM29" s="20">
        <f t="shared" si="19"/>
        <v>150.23693675874819</v>
      </c>
      <c r="EN29" s="59">
        <f t="shared" si="20"/>
        <v>380.52365080793834</v>
      </c>
      <c r="EO29" s="59">
        <f ca="1">AVERAGE(OFFSET($EN$3,0,0,'Données projet'!$E$15+1,1))-AVERAGE(OFFSET($H$3,0,0,'Données projet'!$E$15+1,1))</f>
        <v>294.24530606293143</v>
      </c>
      <c r="EP29" s="59">
        <f t="shared" si="46"/>
        <v>275.88160405468193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9.4</v>
      </c>
      <c r="FE29" s="12">
        <f>IF('Données projet'!$A$218&gt;35,FE28+FD29-FM28,IF(A29&lt;'Données projet'!$A$218,$FB$205^A29,IF(A29='Données projet'!$A$218,'Données projet'!$B$218,FE28+FD29-FM28)))</f>
        <v>78.400000000000006</v>
      </c>
      <c r="FF29" s="17">
        <f>FE29*VLOOKUP('Données projet'!$B$16,Paramètres!$A$1:$I$89,3,0)*VLOOKUP('Données projet'!$B$16,Paramètres!$A$1:$I$89,5,0)</f>
        <v>57.482880000000002</v>
      </c>
      <c r="FG29" s="13">
        <f t="shared" si="47"/>
        <v>16.530283435359227</v>
      </c>
      <c r="FH29" s="20">
        <f t="shared" si="22"/>
        <v>128.9062596499173</v>
      </c>
      <c r="FI29" s="59">
        <f t="shared" si="23"/>
        <v>359.19297369910748</v>
      </c>
      <c r="FJ29" s="59">
        <f ca="1">AVERAGE(OFFSET($FI$3,0,0,'Données projet'!$E$16+1,1))-AVERAGE(OFFSET($H$3,0,0,'Données projet'!$E$16+1,1))</f>
        <v>214.31585175697521</v>
      </c>
      <c r="FK29" s="59">
        <f t="shared" si="48"/>
        <v>244.60383864821372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0</v>
      </c>
      <c r="FS29" s="21">
        <f>EXP(-LN(2)/2)*FS28+(1-EXP(-LN(2)/2))/(LN(2)/2)*FM29*FP29*VLOOKUP('Données projet'!$B$16,Paramètres!$A$1:$I$89,3,0)*0.475*44/12</f>
        <v>0</v>
      </c>
      <c r="FT29" s="22">
        <f t="shared" si="24"/>
        <v>0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12</v>
      </c>
      <c r="FZ29" s="12">
        <f>IF('Données projet'!$A$244&gt;35,FZ28+FY29-GH28,IF(A29&lt;'Données projet'!$A$244,$FW$205^A29,IF(A29='Données projet'!$A$244,'Données projet'!$B$244,FZ28+FY29-GH28)))</f>
        <v>155</v>
      </c>
      <c r="GA29" s="17">
        <f>FZ29*VLOOKUP('Données projet'!$B$17,Paramètres!$A$1:$I$89,3,0)*VLOOKUP('Données projet'!$B$17,Paramètres!$A$1:$I$89,5,0)</f>
        <v>123.318</v>
      </c>
      <c r="GB29" s="13">
        <f t="shared" si="49"/>
        <v>32.44763560269552</v>
      </c>
      <c r="GC29" s="20">
        <f t="shared" si="25"/>
        <v>271.29181534136131</v>
      </c>
      <c r="GD29" s="59">
        <f t="shared" si="26"/>
        <v>501.57852939055147</v>
      </c>
      <c r="GE29" s="59">
        <f ca="1">AVERAGE(OFFSET($GD$3,0,0,'Données projet'!$E$17+1,1))-AVERAGE(OFFSET($H$3,0,0,'Données projet'!$E$17+1,1))</f>
        <v>308.33954512886351</v>
      </c>
      <c r="GF29" s="59">
        <f t="shared" si="50"/>
        <v>408.79075392716277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642.79403795687949</v>
      </c>
      <c r="S30" s="59">
        <f ca="1">AVERAGE(OFFSET($R$3,0,0,'Données projet'!$E$9+1,1))-AVERAGE(OFFSET($H$3,0,0,'Données projet'!$E$9+1,1))</f>
        <v>342.84342155097613</v>
      </c>
      <c r="T30" s="59">
        <f t="shared" si="34"/>
        <v>565.68976940602215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10.37697714420068</v>
      </c>
      <c r="AB30" s="21">
        <f>EXP(-LN(2)/2)*AB29+(1-EXP(-LN(2)/2))/(LN(2)/2)*V30*Y30*VLOOKUP('Données projet'!$B$9,Paramètres!$A$1:$I$89,3,0)*0.475*44/12</f>
        <v>8.5443910332834765</v>
      </c>
      <c r="AC30" s="22">
        <f t="shared" si="3"/>
        <v>18.921368177484155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9.4</v>
      </c>
      <c r="AI30" s="13">
        <f>IF('Données projet'!$A$62&gt;35,AI29+AH30-AQ29,IF(A30&lt;'Données projet'!$A$62,$AF$205^A30,IF(A30='Données projet'!$A$62,'Données projet'!$B$62,AI29+AH30-AQ29)))</f>
        <v>87.800000000000011</v>
      </c>
      <c r="AJ30" s="13">
        <f>AI30*VLOOKUP('Données projet'!$B$10,Paramètres!$A$1:$I$89,3,0)*VLOOKUP('Données projet'!$B$10,Paramètres!$A$1:$I$89,5,0)</f>
        <v>83.550480000000007</v>
      </c>
      <c r="AK30" s="13">
        <f t="shared" si="35"/>
        <v>23.00308882560369</v>
      </c>
      <c r="AL30" s="20">
        <f t="shared" si="4"/>
        <v>185.58079903792643</v>
      </c>
      <c r="AM30" s="59">
        <f t="shared" si="5"/>
        <v>418.09864191048996</v>
      </c>
      <c r="AN30" s="59">
        <f ca="1">AVERAGE(OFFSET($AM$3,0,0,'Données projet'!$E$10+1,1))-AVERAGE(OFFSET($H$3,0,0,'Données projet'!$E$10+1,1))</f>
        <v>320.33056209214476</v>
      </c>
      <c r="AO30" s="59">
        <f t="shared" si="36"/>
        <v>299.27200854723446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14.333333333333334</v>
      </c>
      <c r="BD30" s="12">
        <f>IF('Données projet'!$A$88&gt;35,BD29+BC30-BL29,IF(A30&lt;'Données projet'!$A$88,$BA$205^A30,IF(A30='Données projet'!$A$88,'Données projet'!$B$88,BD29+BC30-BL29)))</f>
        <v>182.00000000000003</v>
      </c>
      <c r="BE30" s="13">
        <f>BD30*VLOOKUP('Données projet'!$B$11,Paramètres!$A$1:$I$89,3,0)*VLOOKUP('Données projet'!$B$11,Paramètres!$A$1:$I$89,5,0)</f>
        <v>113.56800000000003</v>
      </c>
      <c r="BF30" s="13">
        <f t="shared" si="37"/>
        <v>30.17006506205821</v>
      </c>
      <c r="BG30" s="20">
        <f t="shared" si="7"/>
        <v>250.34379664975143</v>
      </c>
      <c r="BH30" s="59">
        <f t="shared" si="8"/>
        <v>482.86163952231493</v>
      </c>
      <c r="BI30" s="59">
        <f ca="1">AVERAGE(OFFSET($BH$3,0,0,'Données projet'!$E$11+1,1))-AVERAGE(OFFSET($H$3,0,0,'Données projet'!$E$11+1,1))</f>
        <v>256.85706398254547</v>
      </c>
      <c r="BJ30" s="59">
        <f t="shared" si="38"/>
        <v>363.68094621014734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19.479938041573728</v>
      </c>
      <c r="BR30" s="21">
        <f>EXP(-LN(2)/2)*BR29+(1-EXP(-LN(2)/2))/(LN(2)/2)*BL30*BO30*VLOOKUP('Données projet'!$B$11,Paramètres!$A$1:$I$89,3,0)*0.475*44/12</f>
        <v>3.5637910061181004</v>
      </c>
      <c r="BS30" s="22">
        <f t="shared" si="9"/>
        <v>23.04372904769183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</v>
      </c>
      <c r="BY30" s="12">
        <f>IF('Données projet'!$A$114&gt;35,BY29+BX30-CG29,IF(A30&lt;'Données projet'!$A$114,$BV$205^A30,IF(A30='Données projet'!$A$114,'Données projet'!$B$114,BY29+BX30-CG29)))</f>
        <v>81</v>
      </c>
      <c r="BZ30" s="13">
        <f>BY30*VLOOKUP('Données projet'!$B$12,Paramètres!$A$1:$I$89,3,0)*VLOOKUP('Données projet'!$B$12,Paramètres!$A$1:$I$89,5,0)</f>
        <v>73.288799999999995</v>
      </c>
      <c r="CA30" s="13">
        <f t="shared" si="39"/>
        <v>20.487987371563225</v>
      </c>
      <c r="CB30" s="20">
        <f t="shared" si="10"/>
        <v>163.32790467213928</v>
      </c>
      <c r="CC30" s="59">
        <f t="shared" si="11"/>
        <v>395.84574754470282</v>
      </c>
      <c r="CD30" s="59">
        <f ca="1">AVERAGE(OFFSET($CC$3,0,0,'Données projet'!$E$12+1,1))-AVERAGE(OFFSET($H$3,0,0,'Données projet'!$E$12+1,1))</f>
        <v>357.68828740212223</v>
      </c>
      <c r="CE30" s="59">
        <f t="shared" si="40"/>
        <v>236.76626845829483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12</v>
      </c>
      <c r="CT30" s="12">
        <f>IF('Données projet'!$A$140&gt;35,CT29+CS30-DB29,IF(A30&lt;'Données projet'!$A$140,$CQ$205^A30,IF(A30='Données projet'!$A$140,'Données projet'!$B$140,CT29+CS30-DB29)))</f>
        <v>167</v>
      </c>
      <c r="CU30" s="17">
        <f>CT30*VLOOKUP('Données projet'!$B$13,Paramètres!$A$1:$I$89,3,0)*VLOOKUP('Données projet'!$B$13,Paramètres!$A$1:$I$89,5,0)</f>
        <v>109.41840000000001</v>
      </c>
      <c r="CV30" s="13">
        <f t="shared" si="41"/>
        <v>29.193912826430967</v>
      </c>
      <c r="CW30" s="20">
        <f t="shared" si="13"/>
        <v>241.41644483936727</v>
      </c>
      <c r="CX30" s="59">
        <f t="shared" si="14"/>
        <v>473.93428771193078</v>
      </c>
      <c r="CY30" s="59">
        <f ca="1">AVERAGE(OFFSET($CX$3,0,0,'Données projet'!$E$13+1,1))-AVERAGE(OFFSET($H$3,0,0,'Données projet'!$E$13+1,1))</f>
        <v>220.18342986563667</v>
      </c>
      <c r="CZ30" s="59">
        <f t="shared" si="42"/>
        <v>347.84382145531163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4.6364912583708779</v>
      </c>
      <c r="DI30" s="22">
        <f t="shared" si="15"/>
        <v>4.6364912583708779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3</v>
      </c>
      <c r="DO30" s="12">
        <f>IF('Données projet'!$A$166&gt;35,DO29+DN30-DW29,IF(A30&lt;'Données projet'!$A$166,$DL$205^A30,IF(A30='Données projet'!$A$166,'Données projet'!$B$166,DO29+DN30-DW29)))</f>
        <v>81</v>
      </c>
      <c r="DP30" s="17">
        <f>DO30*VLOOKUP('Données projet'!$B$14,Paramètres!$A$1:$I$89,3,0)*VLOOKUP('Données projet'!$B$14,Paramètres!$A$1:$I$89,5,0)</f>
        <v>82.134</v>
      </c>
      <c r="DQ30" s="13">
        <f t="shared" si="43"/>
        <v>22.658156105651742</v>
      </c>
      <c r="DR30" s="20">
        <f t="shared" si="16"/>
        <v>182.51300521734345</v>
      </c>
      <c r="DS30" s="59">
        <f t="shared" si="17"/>
        <v>415.03084808990695</v>
      </c>
      <c r="DT30" s="59">
        <f ca="1">AVERAGE(OFFSET($DS$3,0,0,'Données projet'!$E$14+1,1))-AVERAGE(OFFSET($H$3,0,0,'Données projet'!$E$14+1,1))</f>
        <v>392.49465607243178</v>
      </c>
      <c r="DU30" s="59">
        <f t="shared" si="44"/>
        <v>258.031856676031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9.4</v>
      </c>
      <c r="EJ30" s="12">
        <f>IF('Données projet'!$A$192&gt;35,EJ29+EI30-ER29,IF(A30&lt;'Données projet'!$A$192,$EG$205^A30,IF(A30='Données projet'!$A$192,'Données projet'!$B$192,EJ29+EI30-ER29)))</f>
        <v>87.800000000000011</v>
      </c>
      <c r="EK30" s="17">
        <f>EJ30*VLOOKUP('Données projet'!$B$15,Paramètres!$A$1:$I$89,3,0)*VLOOKUP('Données projet'!$B$15,Paramètres!$A$1:$I$89,5,0)</f>
        <v>75.332400000000021</v>
      </c>
      <c r="EL30" s="13">
        <f t="shared" si="45"/>
        <v>20.991969498724234</v>
      </c>
      <c r="EM30" s="20">
        <f t="shared" si="19"/>
        <v>167.76494354361139</v>
      </c>
      <c r="EN30" s="59">
        <f t="shared" si="20"/>
        <v>400.28278641617487</v>
      </c>
      <c r="EO30" s="59">
        <f ca="1">AVERAGE(OFFSET($EN$3,0,0,'Données projet'!$E$15+1,1))-AVERAGE(OFFSET($H$3,0,0,'Données projet'!$E$15+1,1))</f>
        <v>294.24530606293143</v>
      </c>
      <c r="EP30" s="59">
        <f t="shared" si="46"/>
        <v>275.88160405468193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9.4</v>
      </c>
      <c r="FE30" s="12">
        <f>IF('Données projet'!$A$218&gt;35,FE29+FD30-FM29,IF(A30&lt;'Données projet'!$A$218,$FB$205^A30,IF(A30='Données projet'!$A$218,'Données projet'!$B$218,FE29+FD30-FM29)))</f>
        <v>87.800000000000011</v>
      </c>
      <c r="FF30" s="17">
        <f>FE30*VLOOKUP('Données projet'!$B$16,Paramètres!$A$1:$I$89,3,0)*VLOOKUP('Données projet'!$B$16,Paramètres!$A$1:$I$89,5,0)</f>
        <v>64.374960000000016</v>
      </c>
      <c r="FG30" s="13">
        <f t="shared" si="47"/>
        <v>18.2698247508912</v>
      </c>
      <c r="FH30" s="20">
        <f t="shared" si="22"/>
        <v>143.93966677446886</v>
      </c>
      <c r="FI30" s="59">
        <f t="shared" si="23"/>
        <v>376.45750964703234</v>
      </c>
      <c r="FJ30" s="59">
        <f ca="1">AVERAGE(OFFSET($FI$3,0,0,'Données projet'!$E$16+1,1))-AVERAGE(OFFSET($H$3,0,0,'Données projet'!$E$16+1,1))</f>
        <v>214.31585175697521</v>
      </c>
      <c r="FK30" s="59">
        <f t="shared" si="48"/>
        <v>244.60383864821372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0</v>
      </c>
      <c r="FS30" s="21">
        <f>EXP(-LN(2)/2)*FS29+(1-EXP(-LN(2)/2))/(LN(2)/2)*FM30*FP30*VLOOKUP('Données projet'!$B$16,Paramètres!$A$1:$I$89,3,0)*0.475*44/12</f>
        <v>0</v>
      </c>
      <c r="FT30" s="22">
        <f t="shared" si="24"/>
        <v>0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12</v>
      </c>
      <c r="FZ30" s="12">
        <f>IF('Données projet'!$A$244&gt;35,FZ29+FY30-GH29,IF(A30&lt;'Données projet'!$A$244,$FW$205^A30,IF(A30='Données projet'!$A$244,'Données projet'!$B$244,FZ29+FY30-GH29)))</f>
        <v>167</v>
      </c>
      <c r="GA30" s="17">
        <f>FZ30*VLOOKUP('Données projet'!$B$17,Paramètres!$A$1:$I$89,3,0)*VLOOKUP('Données projet'!$B$17,Paramètres!$A$1:$I$89,5,0)</f>
        <v>132.86520000000002</v>
      </c>
      <c r="GB30" s="13">
        <f t="shared" si="49"/>
        <v>34.657580565743032</v>
      </c>
      <c r="GC30" s="20">
        <f t="shared" si="25"/>
        <v>291.76884281866916</v>
      </c>
      <c r="GD30" s="59">
        <f t="shared" si="26"/>
        <v>524.28668569123261</v>
      </c>
      <c r="GE30" s="59">
        <f ca="1">AVERAGE(OFFSET($GD$3,0,0,'Données projet'!$E$17+1,1))-AVERAGE(OFFSET($H$3,0,0,'Données projet'!$E$17+1,1))</f>
        <v>308.33954512886351</v>
      </c>
      <c r="GF30" s="59">
        <f t="shared" si="50"/>
        <v>408.79075392716277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678.27284580443427</v>
      </c>
      <c r="S31" s="59">
        <f ca="1">AVERAGE(OFFSET($R$3,0,0,'Données projet'!$E$9+1,1))-AVERAGE(OFFSET($H$3,0,0,'Données projet'!$E$9+1,1))</f>
        <v>342.84342155097613</v>
      </c>
      <c r="T31" s="59">
        <f t="shared" si="34"/>
        <v>565.68976940602215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10.093218158491002</v>
      </c>
      <c r="AB31" s="21">
        <f>EXP(-LN(2)/2)*AB30+(1-EXP(-LN(2)/2))/(LN(2)/2)*V31*Y31*VLOOKUP('Données projet'!$B$9,Paramètres!$A$1:$I$89,3,0)*0.475*44/12</f>
        <v>6.0417968407442784</v>
      </c>
      <c r="AC31" s="22">
        <f t="shared" si="3"/>
        <v>16.135014999235281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9.4</v>
      </c>
      <c r="AI31" s="13">
        <f>IF('Données projet'!$A$62&gt;35,AI30+AH31-AQ30,IF(A31&lt;'Données projet'!$A$62,$AF$205^A31,IF(A31='Données projet'!$A$62,'Données projet'!$B$62,AI30+AH31-AQ30)))</f>
        <v>97.200000000000017</v>
      </c>
      <c r="AJ31" s="13">
        <f>AI31*VLOOKUP('Données projet'!$B$10,Paramètres!$A$1:$I$89,3,0)*VLOOKUP('Données projet'!$B$10,Paramètres!$A$1:$I$89,5,0)</f>
        <v>92.495520000000013</v>
      </c>
      <c r="AK31" s="13">
        <f t="shared" si="35"/>
        <v>25.166122941067407</v>
      </c>
      <c r="AL31" s="20">
        <f t="shared" si="4"/>
        <v>204.92736145569242</v>
      </c>
      <c r="AM31" s="59">
        <f t="shared" si="5"/>
        <v>439.65883087767651</v>
      </c>
      <c r="AN31" s="59">
        <f ca="1">AVERAGE(OFFSET($AM$3,0,0,'Données projet'!$E$10+1,1))-AVERAGE(OFFSET($H$3,0,0,'Données projet'!$E$10+1,1))</f>
        <v>320.33056209214476</v>
      </c>
      <c r="AO31" s="59">
        <f t="shared" si="36"/>
        <v>299.27200854723446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14.333333333333334</v>
      </c>
      <c r="BD31" s="12">
        <f>IF('Données projet'!$A$88&gt;35,BD30+BC31-BL30,IF(A31&lt;'Données projet'!$A$88,$BA$205^A31,IF(A31='Données projet'!$A$88,'Données projet'!$B$88,BD30+BC31-BL30)))</f>
        <v>196.33333333333337</v>
      </c>
      <c r="BE31" s="13">
        <f>BD31*VLOOKUP('Données projet'!$B$11,Paramètres!$A$1:$I$89,3,0)*VLOOKUP('Données projet'!$B$11,Paramètres!$A$1:$I$89,5,0)</f>
        <v>122.51200000000001</v>
      </c>
      <c r="BF31" s="13">
        <f t="shared" si="37"/>
        <v>32.260173749374388</v>
      </c>
      <c r="BG31" s="20">
        <f t="shared" si="7"/>
        <v>269.56153594682706</v>
      </c>
      <c r="BH31" s="59">
        <f t="shared" si="8"/>
        <v>504.29300536881112</v>
      </c>
      <c r="BI31" s="59">
        <f ca="1">AVERAGE(OFFSET($BH$3,0,0,'Données projet'!$E$11+1,1))-AVERAGE(OFFSET($H$3,0,0,'Données projet'!$E$11+1,1))</f>
        <v>256.85706398254547</v>
      </c>
      <c r="BJ31" s="59">
        <f t="shared" si="38"/>
        <v>363.68094621014734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18.947258111421476</v>
      </c>
      <c r="BR31" s="21">
        <f>EXP(-LN(2)/2)*BR30+(1-EXP(-LN(2)/2))/(LN(2)/2)*BL31*BO31*VLOOKUP('Données projet'!$B$11,Paramètres!$A$1:$I$89,3,0)*0.475*44/12</f>
        <v>2.519980787157738</v>
      </c>
      <c r="BS31" s="22">
        <f t="shared" si="9"/>
        <v>21.467238898579215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</v>
      </c>
      <c r="BY31" s="12">
        <f>IF('Données projet'!$A$114&gt;35,BY30+BX31-CG30,IF(A31&lt;'Données projet'!$A$114,$BV$205^A31,IF(A31='Données projet'!$A$114,'Données projet'!$B$114,BY30+BX31-CG30)))</f>
        <v>84</v>
      </c>
      <c r="BZ31" s="13">
        <f>BY31*VLOOKUP('Données projet'!$B$12,Paramètres!$A$1:$I$89,3,0)*VLOOKUP('Données projet'!$B$12,Paramètres!$A$1:$I$89,5,0)</f>
        <v>76.003200000000007</v>
      </c>
      <c r="CA31" s="13">
        <f t="shared" si="39"/>
        <v>21.157049992000456</v>
      </c>
      <c r="CB31" s="20">
        <f t="shared" si="10"/>
        <v>169.22076873606747</v>
      </c>
      <c r="CC31" s="59">
        <f t="shared" si="11"/>
        <v>403.95223815805156</v>
      </c>
      <c r="CD31" s="59">
        <f ca="1">AVERAGE(OFFSET($CC$3,0,0,'Données projet'!$E$12+1,1))-AVERAGE(OFFSET($H$3,0,0,'Données projet'!$E$12+1,1))</f>
        <v>357.68828740212223</v>
      </c>
      <c r="CE31" s="59">
        <f t="shared" si="40"/>
        <v>236.76626845829483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</v>
      </c>
      <c r="CT31" s="12">
        <f>IF('Données projet'!$A$140&gt;35,CT30+CS31-DB30,IF(A31&lt;'Données projet'!$A$140,$CQ$205^A31,IF(A31='Données projet'!$A$140,'Données projet'!$B$140,CT30+CS31-DB30)))</f>
        <v>179</v>
      </c>
      <c r="CU31" s="17">
        <f>CT31*VLOOKUP('Données projet'!$B$13,Paramètres!$A$1:$I$89,3,0)*VLOOKUP('Données projet'!$B$13,Paramètres!$A$1:$I$89,5,0)</f>
        <v>117.2808</v>
      </c>
      <c r="CV31" s="13">
        <f t="shared" si="41"/>
        <v>31.039947007582366</v>
      </c>
      <c r="CW31" s="20">
        <f t="shared" si="13"/>
        <v>258.32530103820591</v>
      </c>
      <c r="CX31" s="59">
        <f t="shared" si="14"/>
        <v>493.05677046019002</v>
      </c>
      <c r="CY31" s="59">
        <f ca="1">AVERAGE(OFFSET($CX$3,0,0,'Données projet'!$E$13+1,1))-AVERAGE(OFFSET($H$3,0,0,'Données projet'!$E$13+1,1))</f>
        <v>220.18342986563667</v>
      </c>
      <c r="CZ31" s="59">
        <f t="shared" si="42"/>
        <v>347.84382145531163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3.2784944097061972</v>
      </c>
      <c r="DI31" s="22">
        <f t="shared" si="15"/>
        <v>3.2784944097061972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3</v>
      </c>
      <c r="DO31" s="12">
        <f>IF('Données projet'!$A$166&gt;35,DO30+DN31-DW30,IF(A31&lt;'Données projet'!$A$166,$DL$205^A31,IF(A31='Données projet'!$A$166,'Données projet'!$B$166,DO30+DN31-DW30)))</f>
        <v>84</v>
      </c>
      <c r="DP31" s="17">
        <f>DO31*VLOOKUP('Données projet'!$B$14,Paramètres!$A$1:$I$89,3,0)*VLOOKUP('Données projet'!$B$14,Paramètres!$A$1:$I$89,5,0)</f>
        <v>85.176000000000002</v>
      </c>
      <c r="DQ31" s="13">
        <f t="shared" si="43"/>
        <v>23.398088487656441</v>
      </c>
      <c r="DR31" s="20">
        <f t="shared" si="16"/>
        <v>189.09987078266829</v>
      </c>
      <c r="DS31" s="59">
        <f t="shared" si="17"/>
        <v>423.83134020465241</v>
      </c>
      <c r="DT31" s="59">
        <f ca="1">AVERAGE(OFFSET($DS$3,0,0,'Données projet'!$E$14+1,1))-AVERAGE(OFFSET($H$3,0,0,'Données projet'!$E$14+1,1))</f>
        <v>392.49465607243178</v>
      </c>
      <c r="DU31" s="59">
        <f t="shared" si="44"/>
        <v>258.031856676031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9.4</v>
      </c>
      <c r="EJ31" s="12">
        <f>IF('Données projet'!$A$192&gt;35,EJ30+EI31-ER30,IF(A31&lt;'Données projet'!$A$192,$EG$205^A31,IF(A31='Données projet'!$A$192,'Données projet'!$B$192,EJ30+EI31-ER30)))</f>
        <v>97.200000000000017</v>
      </c>
      <c r="EK31" s="17">
        <f>EJ31*VLOOKUP('Données projet'!$B$15,Paramètres!$A$1:$I$89,3,0)*VLOOKUP('Données projet'!$B$15,Paramètres!$A$1:$I$89,5,0)</f>
        <v>83.397600000000025</v>
      </c>
      <c r="EL31" s="13">
        <f t="shared" si="45"/>
        <v>22.965893371329315</v>
      </c>
      <c r="EM31" s="20">
        <f t="shared" si="19"/>
        <v>185.24975095506525</v>
      </c>
      <c r="EN31" s="59">
        <f t="shared" si="20"/>
        <v>419.98122037704934</v>
      </c>
      <c r="EO31" s="59">
        <f ca="1">AVERAGE(OFFSET($EN$3,0,0,'Données projet'!$E$15+1,1))-AVERAGE(OFFSET($H$3,0,0,'Données projet'!$E$15+1,1))</f>
        <v>294.24530606293143</v>
      </c>
      <c r="EP31" s="59">
        <f t="shared" si="46"/>
        <v>275.88160405468193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9.4</v>
      </c>
      <c r="FE31" s="12">
        <f>IF('Données projet'!$A$218&gt;35,FE30+FD31-FM30,IF(A31&lt;'Données projet'!$A$218,$FB$205^A31,IF(A31='Données projet'!$A$218,'Données projet'!$B$218,FE30+FD31-FM30)))</f>
        <v>97.200000000000017</v>
      </c>
      <c r="FF31" s="17">
        <f>FE31*VLOOKUP('Données projet'!$B$16,Paramètres!$A$1:$I$89,3,0)*VLOOKUP('Données projet'!$B$16,Paramètres!$A$1:$I$89,5,0)</f>
        <v>71.267040000000009</v>
      </c>
      <c r="FG31" s="13">
        <f t="shared" si="47"/>
        <v>19.987779001267146</v>
      </c>
      <c r="FH31" s="20">
        <f t="shared" si="22"/>
        <v>158.93547642720696</v>
      </c>
      <c r="FI31" s="59">
        <f t="shared" si="23"/>
        <v>393.66694584919105</v>
      </c>
      <c r="FJ31" s="59">
        <f ca="1">AVERAGE(OFFSET($FI$3,0,0,'Données projet'!$E$16+1,1))-AVERAGE(OFFSET($H$3,0,0,'Données projet'!$E$16+1,1))</f>
        <v>214.31585175697521</v>
      </c>
      <c r="FK31" s="59">
        <f t="shared" si="48"/>
        <v>244.60383864821372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0</v>
      </c>
      <c r="FS31" s="21">
        <f>EXP(-LN(2)/2)*FS30+(1-EXP(-LN(2)/2))/(LN(2)/2)*FM31*FP31*VLOOKUP('Données projet'!$B$16,Paramètres!$A$1:$I$89,3,0)*0.475*44/12</f>
        <v>0</v>
      </c>
      <c r="FT31" s="22">
        <f t="shared" si="24"/>
        <v>0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12</v>
      </c>
      <c r="FZ31" s="12">
        <f>IF('Données projet'!$A$244&gt;35,FZ30+FY31-GH30,IF(A31&lt;'Données projet'!$A$244,$FW$205^A31,IF(A31='Données projet'!$A$244,'Données projet'!$B$244,FZ30+FY31-GH30)))</f>
        <v>179</v>
      </c>
      <c r="GA31" s="17">
        <f>FZ31*VLOOKUP('Données projet'!$B$17,Paramètres!$A$1:$I$89,3,0)*VLOOKUP('Données projet'!$B$17,Paramètres!$A$1:$I$89,5,0)</f>
        <v>142.41240000000002</v>
      </c>
      <c r="GB31" s="13">
        <f t="shared" si="49"/>
        <v>36.849101748283736</v>
      </c>
      <c r="GC31" s="20">
        <f t="shared" si="25"/>
        <v>312.21378221159426</v>
      </c>
      <c r="GD31" s="59">
        <f t="shared" si="26"/>
        <v>546.94525163357832</v>
      </c>
      <c r="GE31" s="59">
        <f ca="1">AVERAGE(OFFSET($GD$3,0,0,'Données projet'!$E$17+1,1))-AVERAGE(OFFSET($H$3,0,0,'Données projet'!$E$17+1,1))</f>
        <v>308.33954512886351</v>
      </c>
      <c r="GF31" s="59">
        <f t="shared" si="50"/>
        <v>408.79075392716277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713.6810212890191</v>
      </c>
      <c r="S32" s="59">
        <f ca="1">AVERAGE(OFFSET($R$3,0,0,'Données projet'!$E$9+1,1))-AVERAGE(OFFSET($H$3,0,0,'Données projet'!$E$9+1,1))</f>
        <v>342.84342155097613</v>
      </c>
      <c r="T32" s="59">
        <f t="shared" si="34"/>
        <v>565.68976940602215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9.8172185771677913</v>
      </c>
      <c r="AB32" s="21">
        <f>EXP(-LN(2)/2)*AB31+(1-EXP(-LN(2)/2))/(LN(2)/2)*V32*Y32*VLOOKUP('Données projet'!$B$9,Paramètres!$A$1:$I$89,3,0)*0.475*44/12</f>
        <v>4.2721955166417391</v>
      </c>
      <c r="AC32" s="22">
        <f t="shared" si="3"/>
        <v>14.08941409380953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9.4</v>
      </c>
      <c r="AI32" s="13">
        <f>IF('Données projet'!$A$62&gt;35,AI31+AH32-AQ31,IF(A32&lt;'Données projet'!$A$62,$AF$205^A32,IF(A32='Données projet'!$A$62,'Données projet'!$B$62,AI31+AH32-AQ31)))</f>
        <v>106.60000000000002</v>
      </c>
      <c r="AJ32" s="13">
        <f>AI32*VLOOKUP('Données projet'!$B$10,Paramètres!$A$1:$I$89,3,0)*VLOOKUP('Données projet'!$B$10,Paramètres!$A$1:$I$89,5,0)</f>
        <v>101.44056000000002</v>
      </c>
      <c r="AK32" s="13">
        <f t="shared" si="35"/>
        <v>27.304904898847315</v>
      </c>
      <c r="AL32" s="20">
        <f t="shared" si="4"/>
        <v>224.23168469882577</v>
      </c>
      <c r="AM32" s="59">
        <f t="shared" si="5"/>
        <v>461.15958202160164</v>
      </c>
      <c r="AN32" s="59">
        <f ca="1">AVERAGE(OFFSET($AM$3,0,0,'Données projet'!$E$10+1,1))-AVERAGE(OFFSET($H$3,0,0,'Données projet'!$E$10+1,1))</f>
        <v>320.33056209214476</v>
      </c>
      <c r="AO32" s="59">
        <f t="shared" si="36"/>
        <v>299.27200854723446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14.333333333333334</v>
      </c>
      <c r="BD32" s="12">
        <f>IF('Données projet'!$A$88&gt;35,BD31+BC32-BL31,IF(A32&lt;'Données projet'!$A$88,$BA$205^A32,IF(A32='Données projet'!$A$88,'Données projet'!$B$88,BD31+BC32-BL31)))</f>
        <v>210.66666666666671</v>
      </c>
      <c r="BE32" s="13">
        <f>BD32*VLOOKUP('Données projet'!$B$11,Paramètres!$A$1:$I$89,3,0)*VLOOKUP('Données projet'!$B$11,Paramètres!$A$1:$I$89,5,0)</f>
        <v>131.45600000000002</v>
      </c>
      <c r="BF32" s="13">
        <f t="shared" si="37"/>
        <v>34.332579787495149</v>
      </c>
      <c r="BG32" s="20">
        <f t="shared" si="7"/>
        <v>288.74844312988745</v>
      </c>
      <c r="BH32" s="59">
        <f t="shared" si="8"/>
        <v>525.67634045266323</v>
      </c>
      <c r="BI32" s="59">
        <f ca="1">AVERAGE(OFFSET($BH$3,0,0,'Données projet'!$E$11+1,1))-AVERAGE(OFFSET($H$3,0,0,'Données projet'!$E$11+1,1))</f>
        <v>256.85706398254547</v>
      </c>
      <c r="BJ32" s="59">
        <f t="shared" si="38"/>
        <v>363.68094621014734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18.429144341971657</v>
      </c>
      <c r="BR32" s="21">
        <f>EXP(-LN(2)/2)*BR31+(1-EXP(-LN(2)/2))/(LN(2)/2)*BL32*BO32*VLOOKUP('Données projet'!$B$11,Paramètres!$A$1:$I$89,3,0)*0.475*44/12</f>
        <v>1.7818955030590506</v>
      </c>
      <c r="BS32" s="22">
        <f t="shared" si="9"/>
        <v>20.211039845030708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</v>
      </c>
      <c r="BY32" s="12">
        <f>IF('Données projet'!$A$114&gt;35,BY31+BX32-CG31,IF(A32&lt;'Données projet'!$A$114,$BV$205^A32,IF(A32='Données projet'!$A$114,'Données projet'!$B$114,BY31+BX32-CG31)))</f>
        <v>87</v>
      </c>
      <c r="BZ32" s="13">
        <f>BY32*VLOOKUP('Données projet'!$B$12,Paramètres!$A$1:$I$89,3,0)*VLOOKUP('Données projet'!$B$12,Paramètres!$A$1:$I$89,5,0)</f>
        <v>78.71759999999999</v>
      </c>
      <c r="CA32" s="13">
        <f t="shared" si="39"/>
        <v>21.823336373425391</v>
      </c>
      <c r="CB32" s="20">
        <f t="shared" si="10"/>
        <v>175.1087975170492</v>
      </c>
      <c r="CC32" s="59">
        <f t="shared" si="11"/>
        <v>412.03669483982503</v>
      </c>
      <c r="CD32" s="59">
        <f ca="1">AVERAGE(OFFSET($CC$3,0,0,'Données projet'!$E$12+1,1))-AVERAGE(OFFSET($H$3,0,0,'Données projet'!$E$12+1,1))</f>
        <v>357.68828740212223</v>
      </c>
      <c r="CE32" s="59">
        <f t="shared" si="40"/>
        <v>236.76626845829483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</v>
      </c>
      <c r="CT32" s="12">
        <f>IF('Données projet'!$A$140&gt;35,CT31+CS32-DB31,IF(A32&lt;'Données projet'!$A$140,$CQ$205^A32,IF(A32='Données projet'!$A$140,'Données projet'!$B$140,CT31+CS32-DB31)))</f>
        <v>191</v>
      </c>
      <c r="CU32" s="17">
        <f>CT32*VLOOKUP('Données projet'!$B$13,Paramètres!$A$1:$I$89,3,0)*VLOOKUP('Données projet'!$B$13,Paramètres!$A$1:$I$89,5,0)</f>
        <v>125.14320000000001</v>
      </c>
      <c r="CV32" s="13">
        <f t="shared" si="41"/>
        <v>32.871620642334328</v>
      </c>
      <c r="CW32" s="20">
        <f t="shared" si="13"/>
        <v>275.20914595206563</v>
      </c>
      <c r="CX32" s="59">
        <f t="shared" si="14"/>
        <v>512.13704327484152</v>
      </c>
      <c r="CY32" s="59">
        <f ca="1">AVERAGE(OFFSET($CX$3,0,0,'Données projet'!$E$13+1,1))-AVERAGE(OFFSET($H$3,0,0,'Données projet'!$E$13+1,1))</f>
        <v>220.18342986563667</v>
      </c>
      <c r="CZ32" s="59">
        <f t="shared" si="42"/>
        <v>347.84382145531163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2.3182456291854394</v>
      </c>
      <c r="DI32" s="22">
        <f t="shared" si="15"/>
        <v>2.3182456291854394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3</v>
      </c>
      <c r="DO32" s="12">
        <f>IF('Données projet'!$A$166&gt;35,DO31+DN32-DW31,IF(A32&lt;'Données projet'!$A$166,$DL$205^A32,IF(A32='Données projet'!$A$166,'Données projet'!$B$166,DO31+DN32-DW31)))</f>
        <v>87</v>
      </c>
      <c r="DP32" s="17">
        <f>DO32*VLOOKUP('Données projet'!$B$14,Paramètres!$A$1:$I$89,3,0)*VLOOKUP('Données projet'!$B$14,Paramètres!$A$1:$I$89,5,0)</f>
        <v>88.218000000000004</v>
      </c>
      <c r="DQ32" s="13">
        <f t="shared" si="43"/>
        <v>24.134950560421586</v>
      </c>
      <c r="DR32" s="20">
        <f t="shared" si="16"/>
        <v>195.68138889273428</v>
      </c>
      <c r="DS32" s="59">
        <f t="shared" si="17"/>
        <v>432.60928621551011</v>
      </c>
      <c r="DT32" s="59">
        <f ca="1">AVERAGE(OFFSET($DS$3,0,0,'Données projet'!$E$14+1,1))-AVERAGE(OFFSET($H$3,0,0,'Données projet'!$E$14+1,1))</f>
        <v>392.49465607243178</v>
      </c>
      <c r="DU32" s="59">
        <f t="shared" si="44"/>
        <v>258.031856676031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9.4</v>
      </c>
      <c r="EJ32" s="12">
        <f>IF('Données projet'!$A$192&gt;35,EJ31+EI32-ER31,IF(A32&lt;'Données projet'!$A$192,$EG$205^A32,IF(A32='Données projet'!$A$192,'Données projet'!$B$192,EJ31+EI32-ER31)))</f>
        <v>106.60000000000002</v>
      </c>
      <c r="EK32" s="17">
        <f>EJ32*VLOOKUP('Données projet'!$B$15,Paramètres!$A$1:$I$89,3,0)*VLOOKUP('Données projet'!$B$15,Paramètres!$A$1:$I$89,5,0)</f>
        <v>91.46280000000003</v>
      </c>
      <c r="EL32" s="13">
        <f t="shared" si="45"/>
        <v>24.917685409456144</v>
      </c>
      <c r="EM32" s="20">
        <f t="shared" si="19"/>
        <v>202.69601208813617</v>
      </c>
      <c r="EN32" s="59">
        <f t="shared" si="20"/>
        <v>439.62390941091201</v>
      </c>
      <c r="EO32" s="59">
        <f ca="1">AVERAGE(OFFSET($EN$3,0,0,'Données projet'!$E$15+1,1))-AVERAGE(OFFSET($H$3,0,0,'Données projet'!$E$15+1,1))</f>
        <v>294.24530606293143</v>
      </c>
      <c r="EP32" s="59">
        <f t="shared" si="46"/>
        <v>275.88160405468193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9.4</v>
      </c>
      <c r="FE32" s="12">
        <f>IF('Données projet'!$A$218&gt;35,FE31+FD32-FM31,IF(A32&lt;'Données projet'!$A$218,$FB$205^A32,IF(A32='Données projet'!$A$218,'Données projet'!$B$218,FE31+FD32-FM31)))</f>
        <v>106.60000000000002</v>
      </c>
      <c r="FF32" s="17">
        <f>FE32*VLOOKUP('Données projet'!$B$16,Paramètres!$A$1:$I$89,3,0)*VLOOKUP('Données projet'!$B$16,Paramètres!$A$1:$I$89,5,0)</f>
        <v>78.159120000000016</v>
      </c>
      <c r="FG32" s="13">
        <f t="shared" si="47"/>
        <v>21.686471374506795</v>
      </c>
      <c r="FH32" s="20">
        <f t="shared" si="22"/>
        <v>173.89773831059935</v>
      </c>
      <c r="FI32" s="59">
        <f t="shared" si="23"/>
        <v>410.82563563337521</v>
      </c>
      <c r="FJ32" s="59">
        <f ca="1">AVERAGE(OFFSET($FI$3,0,0,'Données projet'!$E$16+1,1))-AVERAGE(OFFSET($H$3,0,0,'Données projet'!$E$16+1,1))</f>
        <v>214.31585175697521</v>
      </c>
      <c r="FK32" s="59">
        <f t="shared" si="48"/>
        <v>244.60383864821372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0</v>
      </c>
      <c r="FS32" s="21">
        <f>EXP(-LN(2)/2)*FS31+(1-EXP(-LN(2)/2))/(LN(2)/2)*FM32*FP32*VLOOKUP('Données projet'!$B$16,Paramètres!$A$1:$I$89,3,0)*0.475*44/12</f>
        <v>0</v>
      </c>
      <c r="FT32" s="22">
        <f t="shared" si="24"/>
        <v>0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12</v>
      </c>
      <c r="FZ32" s="12">
        <f>IF('Données projet'!$A$244&gt;35,FZ31+FY32-GH31,IF(A32&lt;'Données projet'!$A$244,$FW$205^A32,IF(A32='Données projet'!$A$244,'Données projet'!$B$244,FZ31+FY32-GH31)))</f>
        <v>191</v>
      </c>
      <c r="GA32" s="17">
        <f>FZ32*VLOOKUP('Données projet'!$B$17,Paramètres!$A$1:$I$89,3,0)*VLOOKUP('Données projet'!$B$17,Paramètres!$A$1:$I$89,5,0)</f>
        <v>151.95959999999999</v>
      </c>
      <c r="GB32" s="13">
        <f t="shared" si="49"/>
        <v>39.023574794907688</v>
      </c>
      <c r="GC32" s="20">
        <f t="shared" si="25"/>
        <v>332.6290294344642</v>
      </c>
      <c r="GD32" s="59">
        <f t="shared" si="26"/>
        <v>569.55692675724003</v>
      </c>
      <c r="GE32" s="59">
        <f ca="1">AVERAGE(OFFSET($GD$3,0,0,'Données projet'!$E$17+1,1))-AVERAGE(OFFSET($H$3,0,0,'Données projet'!$E$17+1,1))</f>
        <v>308.33954512886351</v>
      </c>
      <c r="GF32" s="59">
        <f t="shared" si="50"/>
        <v>408.79075392716277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749.02310273935552</v>
      </c>
      <c r="S33" s="59">
        <f ca="1">AVERAGE(OFFSET($R$3,0,0,'Données projet'!$E$9+1,1))-AVERAGE(OFFSET($H$3,0,0,'Données projet'!$E$9+1,1))</f>
        <v>342.84342155097613</v>
      </c>
      <c r="T33" s="59">
        <f t="shared" si="34"/>
        <v>565.68976940602215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0.34100000000000003</v>
      </c>
      <c r="Y33" s="16">
        <f>IF(ISNA(VLOOKUP(A33,'Données projet'!$A$35:$I$55,7,0)),0%,VLOOKUP(A33,'Données projet'!$A$35:$I$55,7,0))</f>
        <v>0.375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23.149894758322461</v>
      </c>
      <c r="AB33" s="21">
        <f>EXP(-LN(2)/2)*AB32+(1-EXP(-LN(2)/2))/(LN(2)/2)*V33*Y33*VLOOKUP('Données projet'!$B$9,Paramètres!$A$1:$I$89,3,0)*0.475*44/12</f>
        <v>15.837484970297352</v>
      </c>
      <c r="AC33" s="22">
        <f t="shared" si="3"/>
        <v>38.987379728619814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116</v>
      </c>
      <c r="AG33" s="12">
        <f>VLOOKUP(A33,'Données projet'!$A$61:$I$81,9,0)</f>
        <v>9.4</v>
      </c>
      <c r="AH33" s="12">
        <f t="array" ref="AH33">INDEX(AG:AG,MIN(IF(ISNUMBER(AG33:AG229),ROW(AG33:AG229),"")))</f>
        <v>9.4</v>
      </c>
      <c r="AI33" s="13">
        <f>IF('Données projet'!$A$62&gt;35,AI32+AH33-AQ32,IF(A33&lt;'Données projet'!$A$62,$AF$205^A33,IF(A33='Données projet'!$A$62,'Données projet'!$B$62,AI32+AH33-AQ32)))</f>
        <v>116.00000000000003</v>
      </c>
      <c r="AJ33" s="13">
        <f>AI33*VLOOKUP('Données projet'!$B$10,Paramètres!$A$1:$I$89,3,0)*VLOOKUP('Données projet'!$B$10,Paramètres!$A$1:$I$89,5,0)</f>
        <v>110.38560000000004</v>
      </c>
      <c r="AK33" s="13">
        <f t="shared" si="35"/>
        <v>29.421816429201407</v>
      </c>
      <c r="AL33" s="20">
        <f t="shared" si="4"/>
        <v>243.49791694752582</v>
      </c>
      <c r="AM33" s="59">
        <f t="shared" si="5"/>
        <v>482.60534188056783</v>
      </c>
      <c r="AN33" s="59">
        <f ca="1">AVERAGE(OFFSET($AM$3,0,0,'Données projet'!$E$10+1,1))-AVERAGE(OFFSET($H$3,0,0,'Données projet'!$E$10+1,1))</f>
        <v>320.33056209214476</v>
      </c>
      <c r="AO33" s="59">
        <f t="shared" si="36"/>
        <v>299.27200854723446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28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225</v>
      </c>
      <c r="BB33" s="12">
        <f>VLOOKUP(A33,'Données projet'!$A$87:$I$107,9,0)</f>
        <v>14.333333333333334</v>
      </c>
      <c r="BC33" s="12">
        <f t="array" ref="BC33">INDEX(BB:BB,MIN(IF(ISNUMBER(BB33:BB229),ROW(BB33:BB229),"")))</f>
        <v>14.333333333333334</v>
      </c>
      <c r="BD33" s="12">
        <f>IF('Données projet'!$A$88&gt;35,BD32+BC33-BL32,IF(A33&lt;'Données projet'!$A$88,$BA$205^A33,IF(A33='Données projet'!$A$88,'Données projet'!$B$88,BD32+BC33-BL32)))</f>
        <v>225.00000000000006</v>
      </c>
      <c r="BE33" s="13">
        <f>BD33*VLOOKUP('Données projet'!$B$11,Paramètres!$A$1:$I$89,3,0)*VLOOKUP('Données projet'!$B$11,Paramètres!$A$1:$I$89,5,0)</f>
        <v>140.40000000000003</v>
      </c>
      <c r="BF33" s="13">
        <f t="shared" si="37"/>
        <v>36.388624656711201</v>
      </c>
      <c r="BG33" s="20">
        <f t="shared" si="7"/>
        <v>307.90685461043876</v>
      </c>
      <c r="BH33" s="59">
        <f t="shared" si="8"/>
        <v>547.01427954348071</v>
      </c>
      <c r="BI33" s="59">
        <f ca="1">AVERAGE(OFFSET($BH$3,0,0,'Données projet'!$E$11+1,1))-AVERAGE(OFFSET($H$3,0,0,'Données projet'!$E$11+1,1))</f>
        <v>256.85706398254547</v>
      </c>
      <c r="BJ33" s="59">
        <f t="shared" si="38"/>
        <v>363.68094621014734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0.22499999999999998</v>
      </c>
      <c r="BO33" s="16">
        <f>IF(ISNA(VLOOKUP(A33,'Données projet'!$A$87:$I$107,7,0)),0%,VLOOKUP(A33,'Données projet'!$A$87:$I$107,7,0))</f>
        <v>0.31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27.757563047253079</v>
      </c>
      <c r="BR33" s="21">
        <f>EXP(-LN(2)/2)*BR32+(1-EXP(-LN(2)/2))/(LN(2)/2)*BL33*BO33*VLOOKUP('Données projet'!$B$11,Paramètres!$A$1:$I$89,3,0)*0.475*44/12</f>
        <v>12.867998222155403</v>
      </c>
      <c r="BS33" s="22">
        <f t="shared" si="9"/>
        <v>40.625561269408479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</v>
      </c>
      <c r="BY33" s="12">
        <f>IF('Données projet'!$A$114&gt;35,BY32+BX33-CG32,IF(A33&lt;'Données projet'!$A$114,$BV$205^A33,IF(A33='Données projet'!$A$114,'Données projet'!$B$114,BY32+BX33-CG32)))</f>
        <v>90</v>
      </c>
      <c r="BZ33" s="13">
        <f>BY33*VLOOKUP('Données projet'!$B$12,Paramètres!$A$1:$I$89,3,0)*VLOOKUP('Données projet'!$B$12,Paramètres!$A$1:$I$89,5,0)</f>
        <v>81.432000000000002</v>
      </c>
      <c r="CA33" s="13">
        <f t="shared" si="39"/>
        <v>22.486953220240881</v>
      </c>
      <c r="CB33" s="20">
        <f t="shared" si="10"/>
        <v>180.99217685858619</v>
      </c>
      <c r="CC33" s="59">
        <f t="shared" si="11"/>
        <v>420.09960179162817</v>
      </c>
      <c r="CD33" s="59">
        <f ca="1">AVERAGE(OFFSET($CC$3,0,0,'Données projet'!$E$12+1,1))-AVERAGE(OFFSET($H$3,0,0,'Données projet'!$E$12+1,1))</f>
        <v>357.68828740212223</v>
      </c>
      <c r="CE33" s="59">
        <f t="shared" si="40"/>
        <v>236.76626845829483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203</v>
      </c>
      <c r="CR33" s="12">
        <f>VLOOKUP(A33,'Données projet'!$A$139:$I$159,9,0)</f>
        <v>12</v>
      </c>
      <c r="CS33" s="12">
        <f t="array" ref="CS33">INDEX(CR:CR,MIN(IF(ISNUMBER(CR33:CR229),ROW(CR33:CR229),"")))</f>
        <v>12</v>
      </c>
      <c r="CT33" s="12">
        <f>IF('Données projet'!$A$140&gt;35,CT32+CS33-DB32,IF(A33&lt;'Données projet'!$A$140,$CQ$205^A33,IF(A33='Données projet'!$A$140,'Données projet'!$B$140,CT32+CS33-DB32)))</f>
        <v>203</v>
      </c>
      <c r="CU33" s="17">
        <f>CT33*VLOOKUP('Données projet'!$B$13,Paramètres!$A$1:$I$89,3,0)*VLOOKUP('Données projet'!$B$13,Paramètres!$A$1:$I$89,5,0)</f>
        <v>133.00559999999999</v>
      </c>
      <c r="CV33" s="13">
        <f t="shared" si="41"/>
        <v>34.689938673073549</v>
      </c>
      <c r="CW33" s="20">
        <f t="shared" si="13"/>
        <v>292.06972985560304</v>
      </c>
      <c r="CX33" s="59">
        <f t="shared" si="14"/>
        <v>531.177154788645</v>
      </c>
      <c r="CY33" s="59">
        <f ca="1">AVERAGE(OFFSET($CX$3,0,0,'Données projet'!$E$13+1,1))-AVERAGE(OFFSET($H$3,0,0,'Données projet'!$E$13+1,1))</f>
        <v>220.18342986563667</v>
      </c>
      <c r="CZ33" s="59">
        <f t="shared" si="42"/>
        <v>347.84382145531163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0.5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10.294030887145405</v>
      </c>
      <c r="DI33" s="22">
        <f t="shared" si="15"/>
        <v>10.294030887145405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3</v>
      </c>
      <c r="DO33" s="12">
        <f>IF('Données projet'!$A$166&gt;35,DO32+DN33-DW32,IF(A33&lt;'Données projet'!$A$166,$DL$205^A33,IF(A33='Données projet'!$A$166,'Données projet'!$B$166,DO32+DN33-DW32)))</f>
        <v>90</v>
      </c>
      <c r="DP33" s="17">
        <f>DO33*VLOOKUP('Données projet'!$B$14,Paramètres!$A$1:$I$89,3,0)*VLOOKUP('Données projet'!$B$14,Paramètres!$A$1:$I$89,5,0)</f>
        <v>91.26</v>
      </c>
      <c r="DQ33" s="13">
        <f t="shared" si="43"/>
        <v>24.868860330902777</v>
      </c>
      <c r="DR33" s="20">
        <f t="shared" si="16"/>
        <v>202.25776507632233</v>
      </c>
      <c r="DS33" s="59">
        <f t="shared" si="17"/>
        <v>441.36519000936431</v>
      </c>
      <c r="DT33" s="59">
        <f ca="1">AVERAGE(OFFSET($DS$3,0,0,'Données projet'!$E$14+1,1))-AVERAGE(OFFSET($H$3,0,0,'Données projet'!$E$14+1,1))</f>
        <v>392.49465607243178</v>
      </c>
      <c r="DU33" s="59">
        <f t="shared" si="44"/>
        <v>258.031856676031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116</v>
      </c>
      <c r="EH33" s="12">
        <f>VLOOKUP(A33,'Données projet'!$A$191:$I$211,9,0)</f>
        <v>9.4</v>
      </c>
      <c r="EI33" s="12">
        <f t="array" ref="EI33">INDEX(EH:EH,MIN(IF(ISNUMBER(EH33:EH229),ROW(EH33:EH229),"")))</f>
        <v>9.4</v>
      </c>
      <c r="EJ33" s="12">
        <f>IF('Données projet'!$A$192&gt;35,EJ32+EI33-ER32,IF(A33&lt;'Données projet'!$A$192,$EG$205^A33,IF(A33='Données projet'!$A$192,'Données projet'!$B$192,EJ32+EI33-ER32)))</f>
        <v>116.00000000000003</v>
      </c>
      <c r="EK33" s="17">
        <f>EJ33*VLOOKUP('Données projet'!$B$15,Paramètres!$A$1:$I$89,3,0)*VLOOKUP('Données projet'!$B$15,Paramètres!$A$1:$I$89,5,0)</f>
        <v>99.528000000000034</v>
      </c>
      <c r="EL33" s="13">
        <f t="shared" si="45"/>
        <v>26.849519112903323</v>
      </c>
      <c r="EM33" s="20">
        <f t="shared" si="19"/>
        <v>220.10751245497332</v>
      </c>
      <c r="EN33" s="59">
        <f t="shared" si="20"/>
        <v>459.2149373880153</v>
      </c>
      <c r="EO33" s="59">
        <f ca="1">AVERAGE(OFFSET($EN$3,0,0,'Données projet'!$E$15+1,1))-AVERAGE(OFFSET($H$3,0,0,'Données projet'!$E$15+1,1))</f>
        <v>294.24530606293143</v>
      </c>
      <c r="EP33" s="59">
        <f t="shared" si="46"/>
        <v>275.88160405468193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28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116</v>
      </c>
      <c r="FC33" s="12">
        <f>VLOOKUP(A33,'Données projet'!$A$217:$I$237,9,0)</f>
        <v>9.4</v>
      </c>
      <c r="FD33" s="12">
        <f t="array" ref="FD33">INDEX(FC:FC,MIN(IF(ISNUMBER(FC33:FC229),ROW(FC33:FC229),"")))</f>
        <v>9.4</v>
      </c>
      <c r="FE33" s="12">
        <f>IF('Données projet'!$A$218&gt;35,FE32+FD33-FM32,IF(A33&lt;'Données projet'!$A$218,$FB$205^A33,IF(A33='Données projet'!$A$218,'Données projet'!$B$218,FE32+FD33-FM32)))</f>
        <v>116.00000000000003</v>
      </c>
      <c r="FF33" s="17">
        <f>FE33*VLOOKUP('Données projet'!$B$16,Paramètres!$A$1:$I$89,3,0)*VLOOKUP('Données projet'!$B$16,Paramètres!$A$1:$I$89,5,0)</f>
        <v>85.051200000000023</v>
      </c>
      <c r="FG33" s="13">
        <f t="shared" si="47"/>
        <v>23.367793520672741</v>
      </c>
      <c r="FH33" s="20">
        <f t="shared" si="22"/>
        <v>188.82974704850506</v>
      </c>
      <c r="FI33" s="59">
        <f t="shared" si="23"/>
        <v>427.93717198154707</v>
      </c>
      <c r="FJ33" s="59">
        <f ca="1">AVERAGE(OFFSET($FI$3,0,0,'Données projet'!$E$16+1,1))-AVERAGE(OFFSET($H$3,0,0,'Données projet'!$E$16+1,1))</f>
        <v>214.31585175697521</v>
      </c>
      <c r="FK33" s="59">
        <f t="shared" si="48"/>
        <v>244.60383864821372</v>
      </c>
      <c r="FL33" s="15">
        <f>IF(ISNA(VLOOKUP(A33,'Données projet'!$A$217:$I$237,3,0)),0,VLOOKUP(A33,'Données projet'!$A$217:$I$237,3,0))</f>
        <v>2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0</v>
      </c>
      <c r="FS33" s="21">
        <f>EXP(-LN(2)/2)*FS32+(1-EXP(-LN(2)/2))/(LN(2)/2)*FM33*FP33*VLOOKUP('Données projet'!$B$16,Paramètres!$A$1:$I$89,3,0)*0.475*44/12</f>
        <v>0</v>
      </c>
      <c r="FT33" s="22">
        <f t="shared" si="24"/>
        <v>0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203</v>
      </c>
      <c r="FX33" s="12">
        <f>VLOOKUP(A33,'Données projet'!$A$243:$I$263,9,0)</f>
        <v>12</v>
      </c>
      <c r="FY33" s="12">
        <f t="array" ref="FY33">INDEX(FX:FX,MIN(IF(ISNUMBER(FX33:FX229),ROW(FX33:FX229),"")))</f>
        <v>12</v>
      </c>
      <c r="FZ33" s="12">
        <f>IF('Données projet'!$A$244&gt;35,FZ32+FY33-GH32,IF(A33&lt;'Données projet'!$A$244,$FW$205^A33,IF(A33='Données projet'!$A$244,'Données projet'!$B$244,FZ32+FY33-GH32)))</f>
        <v>203</v>
      </c>
      <c r="GA33" s="17">
        <f>FZ33*VLOOKUP('Données projet'!$B$17,Paramètres!$A$1:$I$89,3,0)*VLOOKUP('Données projet'!$B$17,Paramètres!$A$1:$I$89,5,0)</f>
        <v>161.5068</v>
      </c>
      <c r="GB33" s="13">
        <f t="shared" si="49"/>
        <v>41.182192723897103</v>
      </c>
      <c r="GC33" s="20">
        <f t="shared" si="25"/>
        <v>353.01666232745418</v>
      </c>
      <c r="GD33" s="59">
        <f t="shared" si="26"/>
        <v>592.12408726049614</v>
      </c>
      <c r="GE33" s="59">
        <f ca="1">AVERAGE(OFFSET($GD$3,0,0,'Données projet'!$E$17+1,1))-AVERAGE(OFFSET($H$3,0,0,'Données projet'!$E$17+1,1))</f>
        <v>308.33954512886351</v>
      </c>
      <c r="GF33" s="59">
        <f t="shared" si="50"/>
        <v>408.79075392716277</v>
      </c>
      <c r="GG33" s="15">
        <f>IF(ISNA(VLOOKUP(A33,'Données projet'!$A$243:$I$263,3,0)),0,VLOOKUP(A33,'Données projet'!$A$243:$I$263,3,0))</f>
        <v>2</v>
      </c>
      <c r="GH33" s="15">
        <f>IF(ISNA(VLOOKUP(A33,'Données projet'!$A$243:$I$263,4,0)),0,VLOOKUP(A33,'Données projet'!$A$243:$I$263,4,0))</f>
        <v>28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0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0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718.69753838592476</v>
      </c>
      <c r="S34" s="59">
        <f ca="1">AVERAGE(OFFSET($R$3,0,0,'Données projet'!$E$9+1,1))-AVERAGE(OFFSET($H$3,0,0,'Données projet'!$E$9+1,1))</f>
        <v>342.84342155097613</v>
      </c>
      <c r="T34" s="59">
        <f t="shared" si="34"/>
        <v>565.68976940602215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22.516859668756076</v>
      </c>
      <c r="AB34" s="21">
        <f>EXP(-LN(2)/2)*AB33+(1-EXP(-LN(2)/2))/(LN(2)/2)*V34*Y34*VLOOKUP('Données projet'!$B$9,Paramètres!$A$1:$I$89,3,0)*0.475*44/12</f>
        <v>11.198793019437286</v>
      </c>
      <c r="AC34" s="22">
        <f t="shared" si="3"/>
        <v>33.715652688193359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10.199999999999999</v>
      </c>
      <c r="AI34" s="13">
        <f>IF('Données projet'!$A$62&gt;35,AI33+AH34-AQ33,IF(A34&lt;'Données projet'!$A$62,$AF$205^A34,IF(A34='Données projet'!$A$62,'Données projet'!$B$62,AI33+AH34-AQ33)))</f>
        <v>98.200000000000031</v>
      </c>
      <c r="AJ34" s="13">
        <f>AI34*VLOOKUP('Données projet'!$B$10,Paramètres!$A$1:$I$89,3,0)*VLOOKUP('Données projet'!$B$10,Paramètres!$A$1:$I$89,5,0)</f>
        <v>93.447120000000027</v>
      </c>
      <c r="AK34" s="13">
        <f t="shared" si="35"/>
        <v>25.394760001885793</v>
      </c>
      <c r="AL34" s="20">
        <f t="shared" si="4"/>
        <v>206.98294100328442</v>
      </c>
      <c r="AM34" s="59">
        <f t="shared" si="5"/>
        <v>447.03106421610198</v>
      </c>
      <c r="AN34" s="59">
        <f ca="1">AVERAGE(OFFSET($AM$3,0,0,'Données projet'!$E$10+1,1))-AVERAGE(OFFSET($H$3,0,0,'Données projet'!$E$10+1,1))</f>
        <v>320.33056209214476</v>
      </c>
      <c r="AO34" s="59">
        <f t="shared" si="36"/>
        <v>299.27200854723446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12.666666666666666</v>
      </c>
      <c r="BD34" s="12">
        <f>IF('Données projet'!$A$88&gt;35,BD33+BC34-BL33,IF(A34&lt;'Données projet'!$A$88,$BA$205^A34,IF(A34='Données projet'!$A$88,'Données projet'!$B$88,BD33+BC34-BL33)))</f>
        <v>184.66666666666671</v>
      </c>
      <c r="BE34" s="13">
        <f>BD34*VLOOKUP('Données projet'!$B$11,Paramètres!$A$1:$I$89,3,0)*VLOOKUP('Données projet'!$B$11,Paramètres!$A$1:$I$89,5,0)</f>
        <v>115.23200000000003</v>
      </c>
      <c r="BF34" s="13">
        <f t="shared" si="37"/>
        <v>30.560331138556659</v>
      </c>
      <c r="BG34" s="20">
        <f t="shared" si="7"/>
        <v>253.92164339965282</v>
      </c>
      <c r="BH34" s="59">
        <f t="shared" si="8"/>
        <v>493.96976661247038</v>
      </c>
      <c r="BI34" s="59">
        <f ca="1">AVERAGE(OFFSET($BH$3,0,0,'Données projet'!$E$11+1,1))-AVERAGE(OFFSET($H$3,0,0,'Données projet'!$E$11+1,1))</f>
        <v>256.85706398254547</v>
      </c>
      <c r="BJ34" s="59">
        <f t="shared" si="38"/>
        <v>363.68094621014734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26.998531026019144</v>
      </c>
      <c r="BR34" s="21">
        <f>EXP(-LN(2)/2)*BR33+(1-EXP(-LN(2)/2))/(LN(2)/2)*BL34*BO34*VLOOKUP('Données projet'!$B$11,Paramètres!$A$1:$I$89,3,0)*0.475*44/12</f>
        <v>9.0990488031825247</v>
      </c>
      <c r="BS34" s="22">
        <f t="shared" si="9"/>
        <v>36.097579829201671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</v>
      </c>
      <c r="BY34" s="12">
        <f>IF('Données projet'!$A$114&gt;35,BY33+BX34-CG33,IF(A34&lt;'Données projet'!$A$114,$BV$205^A34,IF(A34='Données projet'!$A$114,'Données projet'!$B$114,BY33+BX34-CG33)))</f>
        <v>93</v>
      </c>
      <c r="BZ34" s="13">
        <f>BY34*VLOOKUP('Données projet'!$B$12,Paramètres!$A$1:$I$89,3,0)*VLOOKUP('Données projet'!$B$12,Paramètres!$A$1:$I$89,5,0)</f>
        <v>84.1464</v>
      </c>
      <c r="CA34" s="13">
        <f t="shared" si="39"/>
        <v>23.14799971956144</v>
      </c>
      <c r="CB34" s="20">
        <f t="shared" si="10"/>
        <v>186.87107951156952</v>
      </c>
      <c r="CC34" s="59">
        <f t="shared" si="11"/>
        <v>426.91920272438711</v>
      </c>
      <c r="CD34" s="59">
        <f ca="1">AVERAGE(OFFSET($CC$3,0,0,'Données projet'!$E$12+1,1))-AVERAGE(OFFSET($H$3,0,0,'Données projet'!$E$12+1,1))</f>
        <v>357.68828740212223</v>
      </c>
      <c r="CE34" s="59">
        <f t="shared" si="40"/>
        <v>236.76626845829483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185.8</v>
      </c>
      <c r="CU34" s="17">
        <f>CT34*VLOOKUP('Données projet'!$B$13,Paramètres!$A$1:$I$89,3,0)*VLOOKUP('Données projet'!$B$13,Paramètres!$A$1:$I$89,5,0)</f>
        <v>121.73616000000001</v>
      </c>
      <c r="CV34" s="13">
        <f t="shared" si="41"/>
        <v>32.079590958019864</v>
      </c>
      <c r="CW34" s="20">
        <f t="shared" si="13"/>
        <v>267.8957662518846</v>
      </c>
      <c r="CX34" s="59">
        <f t="shared" si="14"/>
        <v>507.94388946470212</v>
      </c>
      <c r="CY34" s="59">
        <f ca="1">AVERAGE(OFFSET($CX$3,0,0,'Données projet'!$E$13+1,1))-AVERAGE(OFFSET($H$3,0,0,'Données projet'!$E$13+1,1))</f>
        <v>220.18342986563667</v>
      </c>
      <c r="CZ34" s="59">
        <f t="shared" si="42"/>
        <v>347.84382145531163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7.278979046044288</v>
      </c>
      <c r="DI34" s="22">
        <f t="shared" si="15"/>
        <v>7.278979046044288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3</v>
      </c>
      <c r="DO34" s="12">
        <f>IF('Données projet'!$A$166&gt;35,DO33+DN34-DW33,IF(A34&lt;'Données projet'!$A$166,$DL$205^A34,IF(A34='Données projet'!$A$166,'Données projet'!$B$166,DO33+DN34-DW33)))</f>
        <v>93</v>
      </c>
      <c r="DP34" s="17">
        <f>DO34*VLOOKUP('Données projet'!$B$14,Paramètres!$A$1:$I$89,3,0)*VLOOKUP('Données projet'!$B$14,Paramètres!$A$1:$I$89,5,0)</f>
        <v>94.302000000000007</v>
      </c>
      <c r="DQ34" s="13">
        <f t="shared" si="43"/>
        <v>25.599927492506424</v>
      </c>
      <c r="DR34" s="20">
        <f t="shared" si="16"/>
        <v>208.829190382782</v>
      </c>
      <c r="DS34" s="59">
        <f t="shared" si="17"/>
        <v>448.87731359559956</v>
      </c>
      <c r="DT34" s="59">
        <f ca="1">AVERAGE(OFFSET($DS$3,0,0,'Données projet'!$E$14+1,1))-AVERAGE(OFFSET($H$3,0,0,'Données projet'!$E$14+1,1))</f>
        <v>392.49465607243178</v>
      </c>
      <c r="DU34" s="59">
        <f t="shared" si="44"/>
        <v>258.031856676031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10.199999999999999</v>
      </c>
      <c r="EJ34" s="12">
        <f>IF('Données projet'!$A$192&gt;35,EJ33+EI34-ER33,IF(A34&lt;'Données projet'!$A$192,$EG$205^A34,IF(A34='Données projet'!$A$192,'Données projet'!$B$192,EJ33+EI34-ER33)))</f>
        <v>98.200000000000031</v>
      </c>
      <c r="EK34" s="17">
        <f>EJ34*VLOOKUP('Données projet'!$B$15,Paramètres!$A$1:$I$89,3,0)*VLOOKUP('Données projet'!$B$15,Paramètres!$A$1:$I$89,5,0)</f>
        <v>84.25560000000003</v>
      </c>
      <c r="EL34" s="13">
        <f t="shared" si="45"/>
        <v>23.174541098743855</v>
      </c>
      <c r="EM34" s="20">
        <f t="shared" si="19"/>
        <v>187.10749574697891</v>
      </c>
      <c r="EN34" s="59">
        <f t="shared" si="20"/>
        <v>427.15561895979647</v>
      </c>
      <c r="EO34" s="59">
        <f ca="1">AVERAGE(OFFSET($EN$3,0,0,'Données projet'!$E$15+1,1))-AVERAGE(OFFSET($H$3,0,0,'Données projet'!$E$15+1,1))</f>
        <v>294.24530606293143</v>
      </c>
      <c r="EP34" s="59">
        <f t="shared" si="46"/>
        <v>275.88160405468193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10.199999999999999</v>
      </c>
      <c r="FE34" s="12">
        <f>IF('Données projet'!$A$218&gt;35,FE33+FD34-FM33,IF(A34&lt;'Données projet'!$A$218,$FB$205^A34,IF(A34='Données projet'!$A$218,'Données projet'!$B$218,FE33+FD34-FM33)))</f>
        <v>98.200000000000031</v>
      </c>
      <c r="FF34" s="17">
        <f>FE34*VLOOKUP('Données projet'!$B$16,Paramètres!$A$1:$I$89,3,0)*VLOOKUP('Données projet'!$B$16,Paramètres!$A$1:$I$89,5,0)</f>
        <v>72.000240000000019</v>
      </c>
      <c r="FG34" s="13">
        <f t="shared" si="47"/>
        <v>20.169370224271123</v>
      </c>
      <c r="FH34" s="20">
        <f t="shared" si="22"/>
        <v>160.52873780727222</v>
      </c>
      <c r="FI34" s="59">
        <f t="shared" si="23"/>
        <v>400.57686102008978</v>
      </c>
      <c r="FJ34" s="59">
        <f ca="1">AVERAGE(OFFSET($FI$3,0,0,'Données projet'!$E$16+1,1))-AVERAGE(OFFSET($H$3,0,0,'Données projet'!$E$16+1,1))</f>
        <v>214.31585175697521</v>
      </c>
      <c r="FK34" s="59">
        <f t="shared" si="48"/>
        <v>244.60383864821372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0</v>
      </c>
      <c r="FS34" s="21">
        <f>EXP(-LN(2)/2)*FS33+(1-EXP(-LN(2)/2))/(LN(2)/2)*FM34*FP34*VLOOKUP('Données projet'!$B$16,Paramètres!$A$1:$I$89,3,0)*0.475*44/12</f>
        <v>0</v>
      </c>
      <c r="FT34" s="22">
        <f t="shared" si="24"/>
        <v>0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10.8</v>
      </c>
      <c r="FZ34" s="12">
        <f>IF('Données projet'!$A$244&gt;35,FZ33+FY34-GH33,IF(A34&lt;'Données projet'!$A$244,$FW$205^A34,IF(A34='Données projet'!$A$244,'Données projet'!$B$244,FZ33+FY34-GH33)))</f>
        <v>185.8</v>
      </c>
      <c r="GA34" s="17">
        <f>FZ34*VLOOKUP('Données projet'!$B$17,Paramètres!$A$1:$I$89,3,0)*VLOOKUP('Données projet'!$B$17,Paramètres!$A$1:$I$89,5,0)</f>
        <v>147.82248000000001</v>
      </c>
      <c r="GB34" s="13">
        <f t="shared" si="49"/>
        <v>38.083316023917</v>
      </c>
      <c r="GC34" s="20">
        <f t="shared" si="25"/>
        <v>323.78592807498882</v>
      </c>
      <c r="GD34" s="59">
        <f t="shared" si="26"/>
        <v>563.83405128780635</v>
      </c>
      <c r="GE34" s="59">
        <f ca="1">AVERAGE(OFFSET($GD$3,0,0,'Données projet'!$E$17+1,1))-AVERAGE(OFFSET($H$3,0,0,'Données projet'!$E$17+1,1))</f>
        <v>308.33954512886351</v>
      </c>
      <c r="GF34" s="59">
        <f t="shared" si="50"/>
        <v>408.79075392716277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0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0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752.30839060763969</v>
      </c>
      <c r="S35" s="59">
        <f ca="1">AVERAGE(OFFSET($R$3,0,0,'Données projet'!$E$9+1,1))-AVERAGE(OFFSET($H$3,0,0,'Données projet'!$E$9+1,1))</f>
        <v>342.84342155097613</v>
      </c>
      <c r="T35" s="59">
        <f t="shared" si="34"/>
        <v>565.68976940602215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21.901134957003755</v>
      </c>
      <c r="AB35" s="21">
        <f>EXP(-LN(2)/2)*AB34+(1-EXP(-LN(2)/2))/(LN(2)/2)*V35*Y35*VLOOKUP('Données projet'!$B$9,Paramètres!$A$1:$I$89,3,0)*0.475*44/12</f>
        <v>7.9187424851486776</v>
      </c>
      <c r="AC35" s="22">
        <f t="shared" si="3"/>
        <v>29.819877442152432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10.199999999999999</v>
      </c>
      <c r="AI35" s="13">
        <f>IF('Données projet'!$A$62&gt;35,AI34+AH35-AQ34,IF(A35&lt;'Données projet'!$A$62,$AF$205^A35,IF(A35='Données projet'!$A$62,'Données projet'!$B$62,AI34+AH35-AQ34)))</f>
        <v>108.40000000000003</v>
      </c>
      <c r="AJ35" s="13">
        <f>AI35*VLOOKUP('Données projet'!$B$10,Paramètres!$A$1:$I$89,3,0)*VLOOKUP('Données projet'!$B$10,Paramètres!$A$1:$I$89,5,0)</f>
        <v>103.15344000000005</v>
      </c>
      <c r="AK35" s="13">
        <f t="shared" si="35"/>
        <v>27.711898263236939</v>
      </c>
      <c r="AL35" s="20">
        <f t="shared" si="4"/>
        <v>227.92379747513777</v>
      </c>
      <c r="AM35" s="59">
        <f t="shared" si="5"/>
        <v>468.8962999556631</v>
      </c>
      <c r="AN35" s="59">
        <f ca="1">AVERAGE(OFFSET($AM$3,0,0,'Données projet'!$E$10+1,1))-AVERAGE(OFFSET($H$3,0,0,'Données projet'!$E$10+1,1))</f>
        <v>320.33056209214476</v>
      </c>
      <c r="AO35" s="59">
        <f t="shared" si="36"/>
        <v>299.27200854723446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12.666666666666666</v>
      </c>
      <c r="BD35" s="12">
        <f>IF('Données projet'!$A$88&gt;35,BD34+BC35-BL34,IF(A35&lt;'Données projet'!$A$88,$BA$205^A35,IF(A35='Données projet'!$A$88,'Données projet'!$B$88,BD34+BC35-BL34)))</f>
        <v>197.33333333333337</v>
      </c>
      <c r="BE35" s="13">
        <f>BD35*VLOOKUP('Données projet'!$B$11,Paramètres!$A$1:$I$89,3,0)*VLOOKUP('Données projet'!$B$11,Paramètres!$A$1:$I$89,5,0)</f>
        <v>123.13600000000002</v>
      </c>
      <c r="BF35" s="13">
        <f t="shared" si="37"/>
        <v>32.405318005412667</v>
      </c>
      <c r="BG35" s="20">
        <f t="shared" si="7"/>
        <v>270.9011288594271</v>
      </c>
      <c r="BH35" s="59">
        <f t="shared" si="8"/>
        <v>511.87363133995245</v>
      </c>
      <c r="BI35" s="59">
        <f ca="1">AVERAGE(OFFSET($BH$3,0,0,'Données projet'!$E$11+1,1))-AVERAGE(OFFSET($H$3,0,0,'Données projet'!$E$11+1,1))</f>
        <v>256.85706398254547</v>
      </c>
      <c r="BJ35" s="59">
        <f t="shared" si="38"/>
        <v>363.68094621014734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26.260254775321609</v>
      </c>
      <c r="BR35" s="21">
        <f>EXP(-LN(2)/2)*BR34+(1-EXP(-LN(2)/2))/(LN(2)/2)*BL35*BO35*VLOOKUP('Données projet'!$B$11,Paramètres!$A$1:$I$89,3,0)*0.475*44/12</f>
        <v>6.4339991110777035</v>
      </c>
      <c r="BS35" s="22">
        <f t="shared" si="9"/>
        <v>32.694253886399309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</v>
      </c>
      <c r="BY35" s="12">
        <f>IF('Données projet'!$A$114&gt;35,BY34+BX35-CG34,IF(A35&lt;'Données projet'!$A$114,$BV$205^A35,IF(A35='Données projet'!$A$114,'Données projet'!$B$114,BY34+BX35-CG34)))</f>
        <v>96</v>
      </c>
      <c r="BZ35" s="13">
        <f>BY35*VLOOKUP('Données projet'!$B$12,Paramètres!$A$1:$I$89,3,0)*VLOOKUP('Données projet'!$B$12,Paramètres!$A$1:$I$89,5,0)</f>
        <v>86.860799999999998</v>
      </c>
      <c r="CA35" s="13">
        <f t="shared" si="39"/>
        <v>23.806568296036275</v>
      </c>
      <c r="CB35" s="20">
        <f t="shared" si="10"/>
        <v>192.74566644892982</v>
      </c>
      <c r="CC35" s="59">
        <f t="shared" si="11"/>
        <v>433.71816892945515</v>
      </c>
      <c r="CD35" s="59">
        <f ca="1">AVERAGE(OFFSET($CC$3,0,0,'Données projet'!$E$12+1,1))-AVERAGE(OFFSET($H$3,0,0,'Données projet'!$E$12+1,1))</f>
        <v>357.68828740212223</v>
      </c>
      <c r="CE35" s="59">
        <f t="shared" si="40"/>
        <v>236.76626845829483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196.60000000000002</v>
      </c>
      <c r="CU35" s="17">
        <f>CT35*VLOOKUP('Données projet'!$B$13,Paramètres!$A$1:$I$89,3,0)*VLOOKUP('Données projet'!$B$13,Paramètres!$A$1:$I$89,5,0)</f>
        <v>128.81232</v>
      </c>
      <c r="CV35" s="13">
        <f t="shared" si="41"/>
        <v>33.721774934127183</v>
      </c>
      <c r="CW35" s="20">
        <f t="shared" si="13"/>
        <v>283.08021534360483</v>
      </c>
      <c r="CX35" s="59">
        <f t="shared" si="14"/>
        <v>524.05271782413013</v>
      </c>
      <c r="CY35" s="59">
        <f ca="1">AVERAGE(OFFSET($CX$3,0,0,'Données projet'!$E$13+1,1))-AVERAGE(OFFSET($H$3,0,0,'Données projet'!$E$13+1,1))</f>
        <v>220.18342986563667</v>
      </c>
      <c r="CZ35" s="59">
        <f t="shared" si="42"/>
        <v>347.84382145531163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5.1470154435727036</v>
      </c>
      <c r="DI35" s="22">
        <f t="shared" si="15"/>
        <v>5.1470154435727036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3</v>
      </c>
      <c r="DO35" s="12">
        <f>IF('Données projet'!$A$166&gt;35,DO34+DN35-DW34,IF(A35&lt;'Données projet'!$A$166,$DL$205^A35,IF(A35='Données projet'!$A$166,'Données projet'!$B$166,DO34+DN35-DW34)))</f>
        <v>96</v>
      </c>
      <c r="DP35" s="17">
        <f>DO35*VLOOKUP('Données projet'!$B$14,Paramètres!$A$1:$I$89,3,0)*VLOOKUP('Données projet'!$B$14,Paramètres!$A$1:$I$89,5,0)</f>
        <v>97.344000000000008</v>
      </c>
      <c r="DQ35" s="13">
        <f t="shared" si="43"/>
        <v>26.328254259866473</v>
      </c>
      <c r="DR35" s="20">
        <f t="shared" si="16"/>
        <v>215.3958428359341</v>
      </c>
      <c r="DS35" s="59">
        <f t="shared" si="17"/>
        <v>456.36834531645945</v>
      </c>
      <c r="DT35" s="59">
        <f ca="1">AVERAGE(OFFSET($DS$3,0,0,'Données projet'!$E$14+1,1))-AVERAGE(OFFSET($H$3,0,0,'Données projet'!$E$14+1,1))</f>
        <v>392.49465607243178</v>
      </c>
      <c r="DU35" s="59">
        <f t="shared" si="44"/>
        <v>258.031856676031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10.199999999999999</v>
      </c>
      <c r="EJ35" s="12">
        <f>IF('Données projet'!$A$192&gt;35,EJ34+EI35-ER34,IF(A35&lt;'Données projet'!$A$192,$EG$205^A35,IF(A35='Données projet'!$A$192,'Données projet'!$B$192,EJ34+EI35-ER34)))</f>
        <v>108.40000000000003</v>
      </c>
      <c r="EK35" s="17">
        <f>EJ35*VLOOKUP('Données projet'!$B$15,Paramètres!$A$1:$I$89,3,0)*VLOOKUP('Données projet'!$B$15,Paramètres!$A$1:$I$89,5,0)</f>
        <v>93.00720000000004</v>
      </c>
      <c r="EL35" s="13">
        <f t="shared" si="45"/>
        <v>25.289096064617418</v>
      </c>
      <c r="EM35" s="20">
        <f t="shared" si="19"/>
        <v>206.03271564587536</v>
      </c>
      <c r="EN35" s="59">
        <f t="shared" si="20"/>
        <v>447.00521812640068</v>
      </c>
      <c r="EO35" s="59">
        <f ca="1">AVERAGE(OFFSET($EN$3,0,0,'Données projet'!$E$15+1,1))-AVERAGE(OFFSET($H$3,0,0,'Données projet'!$E$15+1,1))</f>
        <v>294.24530606293143</v>
      </c>
      <c r="EP35" s="59">
        <f t="shared" si="46"/>
        <v>275.88160405468193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10.199999999999999</v>
      </c>
      <c r="FE35" s="12">
        <f>IF('Données projet'!$A$218&gt;35,FE34+FD35-FM34,IF(A35&lt;'Données projet'!$A$218,$FB$205^A35,IF(A35='Données projet'!$A$218,'Données projet'!$B$218,FE34+FD35-FM34)))</f>
        <v>108.40000000000003</v>
      </c>
      <c r="FF35" s="17">
        <f>FE35*VLOOKUP('Données projet'!$B$16,Paramètres!$A$1:$I$89,3,0)*VLOOKUP('Données projet'!$B$16,Paramètres!$A$1:$I$89,5,0)</f>
        <v>79.478880000000032</v>
      </c>
      <c r="FG35" s="13">
        <f t="shared" si="47"/>
        <v>22.009719156513249</v>
      </c>
      <c r="FH35" s="20">
        <f t="shared" si="22"/>
        <v>176.75931019759398</v>
      </c>
      <c r="FI35" s="59">
        <f t="shared" si="23"/>
        <v>417.7318126781193</v>
      </c>
      <c r="FJ35" s="59">
        <f ca="1">AVERAGE(OFFSET($FI$3,0,0,'Données projet'!$E$16+1,1))-AVERAGE(OFFSET($H$3,0,0,'Données projet'!$E$16+1,1))</f>
        <v>214.31585175697521</v>
      </c>
      <c r="FK35" s="59">
        <f t="shared" si="48"/>
        <v>244.60383864821372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0</v>
      </c>
      <c r="FS35" s="21">
        <f>EXP(-LN(2)/2)*FS34+(1-EXP(-LN(2)/2))/(LN(2)/2)*FM35*FP35*VLOOKUP('Données projet'!$B$16,Paramètres!$A$1:$I$89,3,0)*0.475*44/12</f>
        <v>0</v>
      </c>
      <c r="FT35" s="22">
        <f t="shared" si="24"/>
        <v>0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10.8</v>
      </c>
      <c r="FZ35" s="12">
        <f>IF('Données projet'!$A$244&gt;35,FZ34+FY35-GH34,IF(A35&lt;'Données projet'!$A$244,$FW$205^A35,IF(A35='Données projet'!$A$244,'Données projet'!$B$244,FZ34+FY35-GH34)))</f>
        <v>196.60000000000002</v>
      </c>
      <c r="GA35" s="17">
        <f>FZ35*VLOOKUP('Données projet'!$B$17,Paramètres!$A$1:$I$89,3,0)*VLOOKUP('Données projet'!$B$17,Paramètres!$A$1:$I$89,5,0)</f>
        <v>156.41496000000004</v>
      </c>
      <c r="GB35" s="13">
        <f t="shared" si="49"/>
        <v>40.032836247330962</v>
      </c>
      <c r="GC35" s="20">
        <f t="shared" si="25"/>
        <v>342.14657846410142</v>
      </c>
      <c r="GD35" s="59">
        <f t="shared" si="26"/>
        <v>583.11908094462672</v>
      </c>
      <c r="GE35" s="59">
        <f ca="1">AVERAGE(OFFSET($GD$3,0,0,'Données projet'!$E$17+1,1))-AVERAGE(OFFSET($H$3,0,0,'Données projet'!$E$17+1,1))</f>
        <v>308.33954512886351</v>
      </c>
      <c r="GF35" s="59">
        <f t="shared" si="50"/>
        <v>408.79075392716277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0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0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785.85909108888177</v>
      </c>
      <c r="S36" s="59">
        <f ca="1">AVERAGE(OFFSET($R$3,0,0,'Données projet'!$E$9+1,1))-AVERAGE(OFFSET($H$3,0,0,'Données projet'!$E$9+1,1))</f>
        <v>342.84342155097613</v>
      </c>
      <c r="T36" s="59">
        <f t="shared" si="34"/>
        <v>565.68976940602215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21.302247269873856</v>
      </c>
      <c r="AB36" s="21">
        <f>EXP(-LN(2)/2)*AB35+(1-EXP(-LN(2)/2))/(LN(2)/2)*V36*Y36*VLOOKUP('Données projet'!$B$9,Paramètres!$A$1:$I$89,3,0)*0.475*44/12</f>
        <v>5.5993965097186438</v>
      </c>
      <c r="AC36" s="22">
        <f t="shared" si="3"/>
        <v>26.901643779592501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10.199999999999999</v>
      </c>
      <c r="AI36" s="13">
        <f>IF('Données projet'!$A$62&gt;35,AI35+AH36-AQ35,IF(A36&lt;'Données projet'!$A$62,$AF$205^A36,IF(A36='Données projet'!$A$62,'Données projet'!$B$62,AI35+AH36-AQ35)))</f>
        <v>118.60000000000004</v>
      </c>
      <c r="AJ36" s="13">
        <f>AI36*VLOOKUP('Données projet'!$B$10,Paramètres!$A$1:$I$89,3,0)*VLOOKUP('Données projet'!$B$10,Paramètres!$A$1:$I$89,5,0)</f>
        <v>112.85976000000004</v>
      </c>
      <c r="AK36" s="13">
        <f t="shared" si="35"/>
        <v>30.003756582475035</v>
      </c>
      <c r="AL36" s="20">
        <f t="shared" si="4"/>
        <v>248.82062471447747</v>
      </c>
      <c r="AM36" s="59">
        <f t="shared" si="5"/>
        <v>490.70147054901821</v>
      </c>
      <c r="AN36" s="59">
        <f ca="1">AVERAGE(OFFSET($AM$3,0,0,'Données projet'!$E$10+1,1))-AVERAGE(OFFSET($H$3,0,0,'Données projet'!$E$10+1,1))</f>
        <v>320.33056209214476</v>
      </c>
      <c r="AO36" s="59">
        <f t="shared" si="36"/>
        <v>299.27200854723446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12.666666666666666</v>
      </c>
      <c r="BD36" s="12">
        <f>IF('Données projet'!$A$88&gt;35,BD35+BC36-BL35,IF(A36&lt;'Données projet'!$A$88,$BA$205^A36,IF(A36='Données projet'!$A$88,'Données projet'!$B$88,BD35+BC36-BL35)))</f>
        <v>210.00000000000003</v>
      </c>
      <c r="BE36" s="13">
        <f>BD36*VLOOKUP('Données projet'!$B$11,Paramètres!$A$1:$I$89,3,0)*VLOOKUP('Données projet'!$B$11,Paramètres!$A$1:$I$89,5,0)</f>
        <v>131.04000000000002</v>
      </c>
      <c r="BF36" s="13">
        <f t="shared" si="37"/>
        <v>34.236561238949918</v>
      </c>
      <c r="BG36" s="20">
        <f t="shared" si="7"/>
        <v>287.85667749117118</v>
      </c>
      <c r="BH36" s="59">
        <f t="shared" si="8"/>
        <v>529.73752332571189</v>
      </c>
      <c r="BI36" s="59">
        <f ca="1">AVERAGE(OFFSET($BH$3,0,0,'Données projet'!$E$11+1,1))-AVERAGE(OFFSET($H$3,0,0,'Données projet'!$E$11+1,1))</f>
        <v>256.85706398254547</v>
      </c>
      <c r="BJ36" s="59">
        <f t="shared" si="38"/>
        <v>363.68094621014734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25.542166727523661</v>
      </c>
      <c r="BR36" s="21">
        <f>EXP(-LN(2)/2)*BR35+(1-EXP(-LN(2)/2))/(LN(2)/2)*BL36*BO36*VLOOKUP('Données projet'!$B$11,Paramètres!$A$1:$I$89,3,0)*0.475*44/12</f>
        <v>4.5495244015912633</v>
      </c>
      <c r="BS36" s="22">
        <f t="shared" si="9"/>
        <v>30.091691129114924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</v>
      </c>
      <c r="BY36" s="12">
        <f>IF('Données projet'!$A$114&gt;35,BY35+BX36-CG35,IF(A36&lt;'Données projet'!$A$114,$BV$205^A36,IF(A36='Données projet'!$A$114,'Données projet'!$B$114,BY35+BX36-CG35)))</f>
        <v>99</v>
      </c>
      <c r="BZ36" s="13">
        <f>BY36*VLOOKUP('Données projet'!$B$12,Paramètres!$A$1:$I$89,3,0)*VLOOKUP('Données projet'!$B$12,Paramètres!$A$1:$I$89,5,0)</f>
        <v>89.575199999999995</v>
      </c>
      <c r="CA36" s="13">
        <f t="shared" si="39"/>
        <v>24.462745269668691</v>
      </c>
      <c r="CB36" s="20">
        <f t="shared" si="10"/>
        <v>198.6160880113396</v>
      </c>
      <c r="CC36" s="59">
        <f t="shared" si="11"/>
        <v>440.49693384588033</v>
      </c>
      <c r="CD36" s="59">
        <f ca="1">AVERAGE(OFFSET($CC$3,0,0,'Données projet'!$E$12+1,1))-AVERAGE(OFFSET($H$3,0,0,'Données projet'!$E$12+1,1))</f>
        <v>357.68828740212223</v>
      </c>
      <c r="CE36" s="59">
        <f t="shared" si="40"/>
        <v>236.76626845829483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207.40000000000003</v>
      </c>
      <c r="CU36" s="17">
        <f>CT36*VLOOKUP('Données projet'!$B$13,Paramètres!$A$1:$I$89,3,0)*VLOOKUP('Données projet'!$B$13,Paramètres!$A$1:$I$89,5,0)</f>
        <v>135.88848000000002</v>
      </c>
      <c r="CV36" s="13">
        <f t="shared" si="41"/>
        <v>35.353486228582142</v>
      </c>
      <c r="CW36" s="20">
        <f t="shared" si="13"/>
        <v>298.24642451478059</v>
      </c>
      <c r="CX36" s="59">
        <f t="shared" si="14"/>
        <v>540.12727034932129</v>
      </c>
      <c r="CY36" s="59">
        <f ca="1">AVERAGE(OFFSET($CX$3,0,0,'Données projet'!$E$13+1,1))-AVERAGE(OFFSET($H$3,0,0,'Données projet'!$E$13+1,1))</f>
        <v>220.18342986563667</v>
      </c>
      <c r="CZ36" s="59">
        <f t="shared" si="42"/>
        <v>347.84382145531163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3.6394895230221449</v>
      </c>
      <c r="DI36" s="22">
        <f t="shared" si="15"/>
        <v>3.6394895230221449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3</v>
      </c>
      <c r="DO36" s="12">
        <f>IF('Données projet'!$A$166&gt;35,DO35+DN36-DW35,IF(A36&lt;'Données projet'!$A$166,$DL$205^A36,IF(A36='Données projet'!$A$166,'Données projet'!$B$166,DO35+DN36-DW35)))</f>
        <v>99</v>
      </c>
      <c r="DP36" s="17">
        <f>DO36*VLOOKUP('Données projet'!$B$14,Paramètres!$A$1:$I$89,3,0)*VLOOKUP('Données projet'!$B$14,Paramètres!$A$1:$I$89,5,0)</f>
        <v>100.38600000000001</v>
      </c>
      <c r="DQ36" s="13">
        <f t="shared" si="43"/>
        <v>27.05393609634266</v>
      </c>
      <c r="DR36" s="20">
        <f t="shared" si="16"/>
        <v>221.95788870113014</v>
      </c>
      <c r="DS36" s="59">
        <f t="shared" si="17"/>
        <v>463.83873453567088</v>
      </c>
      <c r="DT36" s="59">
        <f ca="1">AVERAGE(OFFSET($DS$3,0,0,'Données projet'!$E$14+1,1))-AVERAGE(OFFSET($H$3,0,0,'Données projet'!$E$14+1,1))</f>
        <v>392.49465607243178</v>
      </c>
      <c r="DU36" s="59">
        <f t="shared" si="44"/>
        <v>258.031856676031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10.199999999999999</v>
      </c>
      <c r="EJ36" s="12">
        <f>IF('Données projet'!$A$192&gt;35,EJ35+EI36-ER35,IF(A36&lt;'Données projet'!$A$192,$EG$205^A36,IF(A36='Données projet'!$A$192,'Données projet'!$B$192,EJ35+EI36-ER35)))</f>
        <v>118.60000000000004</v>
      </c>
      <c r="EK36" s="17">
        <f>EJ36*VLOOKUP('Données projet'!$B$15,Paramètres!$A$1:$I$89,3,0)*VLOOKUP('Données projet'!$B$15,Paramètres!$A$1:$I$89,5,0)</f>
        <v>101.75880000000005</v>
      </c>
      <c r="EL36" s="13">
        <f t="shared" si="45"/>
        <v>27.380581268956313</v>
      </c>
      <c r="EM36" s="20">
        <f t="shared" si="19"/>
        <v>224.91775571009896</v>
      </c>
      <c r="EN36" s="59">
        <f t="shared" si="20"/>
        <v>466.79860154463972</v>
      </c>
      <c r="EO36" s="59">
        <f ca="1">AVERAGE(OFFSET($EN$3,0,0,'Données projet'!$E$15+1,1))-AVERAGE(OFFSET($H$3,0,0,'Données projet'!$E$15+1,1))</f>
        <v>294.24530606293143</v>
      </c>
      <c r="EP36" s="59">
        <f t="shared" si="46"/>
        <v>275.88160405468193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10.199999999999999</v>
      </c>
      <c r="FE36" s="12">
        <f>IF('Données projet'!$A$218&gt;35,FE35+FD36-FM35,IF(A36&lt;'Données projet'!$A$218,$FB$205^A36,IF(A36='Données projet'!$A$218,'Données projet'!$B$218,FE35+FD36-FM35)))</f>
        <v>118.60000000000004</v>
      </c>
      <c r="FF36" s="17">
        <f>FE36*VLOOKUP('Données projet'!$B$16,Paramètres!$A$1:$I$89,3,0)*VLOOKUP('Données projet'!$B$16,Paramètres!$A$1:$I$89,5,0)</f>
        <v>86.957520000000017</v>
      </c>
      <c r="FG36" s="13">
        <f t="shared" si="47"/>
        <v>23.829989910749791</v>
      </c>
      <c r="FH36" s="20">
        <f t="shared" si="22"/>
        <v>192.95491309455588</v>
      </c>
      <c r="FI36" s="59">
        <f t="shared" si="23"/>
        <v>434.83575892909664</v>
      </c>
      <c r="FJ36" s="59">
        <f ca="1">AVERAGE(OFFSET($FI$3,0,0,'Données projet'!$E$16+1,1))-AVERAGE(OFFSET($H$3,0,0,'Données projet'!$E$16+1,1))</f>
        <v>214.31585175697521</v>
      </c>
      <c r="FK36" s="59">
        <f t="shared" si="48"/>
        <v>244.60383864821372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0</v>
      </c>
      <c r="FS36" s="21">
        <f>EXP(-LN(2)/2)*FS35+(1-EXP(-LN(2)/2))/(LN(2)/2)*FM36*FP36*VLOOKUP('Données projet'!$B$16,Paramètres!$A$1:$I$89,3,0)*0.475*44/12</f>
        <v>0</v>
      </c>
      <c r="FT36" s="22">
        <f t="shared" si="24"/>
        <v>0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10.8</v>
      </c>
      <c r="FZ36" s="12">
        <f>IF('Données projet'!$A$244&gt;35,FZ35+FY36-GH35,IF(A36&lt;'Données projet'!$A$244,$FW$205^A36,IF(A36='Données projet'!$A$244,'Données projet'!$B$244,FZ35+FY36-GH35)))</f>
        <v>207.40000000000003</v>
      </c>
      <c r="GA36" s="17">
        <f>FZ36*VLOOKUP('Données projet'!$B$17,Paramètres!$A$1:$I$89,3,0)*VLOOKUP('Données projet'!$B$17,Paramètres!$A$1:$I$89,5,0)</f>
        <v>165.00744000000003</v>
      </c>
      <c r="GB36" s="13">
        <f t="shared" si="49"/>
        <v>41.969923817052262</v>
      </c>
      <c r="GC36" s="20">
        <f t="shared" si="25"/>
        <v>360.48557531469942</v>
      </c>
      <c r="GD36" s="59">
        <f t="shared" si="26"/>
        <v>602.36642114924018</v>
      </c>
      <c r="GE36" s="59">
        <f ca="1">AVERAGE(OFFSET($GD$3,0,0,'Données projet'!$E$17+1,1))-AVERAGE(OFFSET($H$3,0,0,'Données projet'!$E$17+1,1))</f>
        <v>308.33954512886351</v>
      </c>
      <c r="GF36" s="59">
        <f t="shared" si="50"/>
        <v>408.79075392716277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0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0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819.35293321423035</v>
      </c>
      <c r="S37" s="59">
        <f ca="1">AVERAGE(OFFSET($R$3,0,0,'Données projet'!$E$9+1,1))-AVERAGE(OFFSET($H$3,0,0,'Données projet'!$E$9+1,1))</f>
        <v>342.84342155097613</v>
      </c>
      <c r="T37" s="59">
        <f t="shared" si="34"/>
        <v>565.68976940602215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20.719736198042657</v>
      </c>
      <c r="AB37" s="21">
        <f>EXP(-LN(2)/2)*AB36+(1-EXP(-LN(2)/2))/(LN(2)/2)*V37*Y37*VLOOKUP('Données projet'!$B$9,Paramètres!$A$1:$I$89,3,0)*0.475*44/12</f>
        <v>3.9593712425743393</v>
      </c>
      <c r="AC37" s="22">
        <f t="shared" si="3"/>
        <v>24.679107440616995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10.199999999999999</v>
      </c>
      <c r="AI37" s="13">
        <f>IF('Données projet'!$A$62&gt;35,AI36+AH37-AQ36,IF(A37&lt;'Données projet'!$A$62,$AF$205^A37,IF(A37='Données projet'!$A$62,'Données projet'!$B$62,AI36+AH37-AQ36)))</f>
        <v>128.80000000000004</v>
      </c>
      <c r="AJ37" s="13">
        <f>AI37*VLOOKUP('Données projet'!$B$10,Paramètres!$A$1:$I$89,3,0)*VLOOKUP('Données projet'!$B$10,Paramètres!$A$1:$I$89,5,0)</f>
        <v>122.56608000000004</v>
      </c>
      <c r="AK37" s="13">
        <f t="shared" si="35"/>
        <v>32.27275631797108</v>
      </c>
      <c r="AL37" s="20">
        <f t="shared" si="4"/>
        <v>269.67763992046633</v>
      </c>
      <c r="AM37" s="59">
        <f t="shared" si="5"/>
        <v>512.45107138258186</v>
      </c>
      <c r="AN37" s="59">
        <f ca="1">AVERAGE(OFFSET($AM$3,0,0,'Données projet'!$E$10+1,1))-AVERAGE(OFFSET($H$3,0,0,'Données projet'!$E$10+1,1))</f>
        <v>320.33056209214476</v>
      </c>
      <c r="AO37" s="59">
        <f t="shared" si="36"/>
        <v>299.27200854723446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12.666666666666666</v>
      </c>
      <c r="BD37" s="12">
        <f>IF('Données projet'!$A$88&gt;35,BD36+BC37-BL36,IF(A37&lt;'Données projet'!$A$88,$BA$205^A37,IF(A37='Données projet'!$A$88,'Données projet'!$B$88,BD36+BC37-BL36)))</f>
        <v>222.66666666666669</v>
      </c>
      <c r="BE37" s="13">
        <f>BD37*VLOOKUP('Données projet'!$B$11,Paramètres!$A$1:$I$89,3,0)*VLOOKUP('Données projet'!$B$11,Paramètres!$A$1:$I$89,5,0)</f>
        <v>138.94400000000002</v>
      </c>
      <c r="BF37" s="13">
        <f t="shared" si="37"/>
        <v>36.054984225354175</v>
      </c>
      <c r="BG37" s="20">
        <f t="shared" si="7"/>
        <v>304.78989752582527</v>
      </c>
      <c r="BH37" s="59">
        <f t="shared" si="8"/>
        <v>547.56332898794085</v>
      </c>
      <c r="BI37" s="59">
        <f ca="1">AVERAGE(OFFSET($BH$3,0,0,'Données projet'!$E$11+1,1))-AVERAGE(OFFSET($H$3,0,0,'Données projet'!$E$11+1,1))</f>
        <v>256.85706398254547</v>
      </c>
      <c r="BJ37" s="59">
        <f t="shared" si="38"/>
        <v>363.68094621014734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24.843714835155357</v>
      </c>
      <c r="BR37" s="21">
        <f>EXP(-LN(2)/2)*BR36+(1-EXP(-LN(2)/2))/(LN(2)/2)*BL37*BO37*VLOOKUP('Données projet'!$B$11,Paramètres!$A$1:$I$89,3,0)*0.475*44/12</f>
        <v>3.2169995555388522</v>
      </c>
      <c r="BS37" s="22">
        <f t="shared" si="9"/>
        <v>28.060714390694208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</v>
      </c>
      <c r="BY37" s="12">
        <f>IF('Données projet'!$A$114&gt;35,BY36+BX37-CG36,IF(A37&lt;'Données projet'!$A$114,$BV$205^A37,IF(A37='Données projet'!$A$114,'Données projet'!$B$114,BY36+BX37-CG36)))</f>
        <v>102</v>
      </c>
      <c r="BZ37" s="13">
        <f>BY37*VLOOKUP('Données projet'!$B$12,Paramètres!$A$1:$I$89,3,0)*VLOOKUP('Données projet'!$B$12,Paramètres!$A$1:$I$89,5,0)</f>
        <v>92.289599999999993</v>
      </c>
      <c r="CA37" s="13">
        <f t="shared" si="39"/>
        <v>25.116611431659546</v>
      </c>
      <c r="CB37" s="20">
        <f t="shared" si="10"/>
        <v>204.48248491014036</v>
      </c>
      <c r="CC37" s="59">
        <f t="shared" si="11"/>
        <v>447.25591637225591</v>
      </c>
      <c r="CD37" s="59">
        <f ca="1">AVERAGE(OFFSET($CC$3,0,0,'Données projet'!$E$12+1,1))-AVERAGE(OFFSET($H$3,0,0,'Données projet'!$E$12+1,1))</f>
        <v>357.68828740212223</v>
      </c>
      <c r="CE37" s="59">
        <f t="shared" si="40"/>
        <v>236.76626845829483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218.20000000000005</v>
      </c>
      <c r="CU37" s="17">
        <f>CT37*VLOOKUP('Données projet'!$B$13,Paramètres!$A$1:$I$89,3,0)*VLOOKUP('Données projet'!$B$13,Paramètres!$A$1:$I$89,5,0)</f>
        <v>142.96464000000003</v>
      </c>
      <c r="CV37" s="13">
        <f t="shared" si="41"/>
        <v>36.975332388300409</v>
      </c>
      <c r="CW37" s="20">
        <f t="shared" si="13"/>
        <v>313.39545190962326</v>
      </c>
      <c r="CX37" s="59">
        <f t="shared" si="14"/>
        <v>556.16888337173884</v>
      </c>
      <c r="CY37" s="59">
        <f ca="1">AVERAGE(OFFSET($CX$3,0,0,'Données projet'!$E$13+1,1))-AVERAGE(OFFSET($H$3,0,0,'Données projet'!$E$13+1,1))</f>
        <v>220.18342986563667</v>
      </c>
      <c r="CZ37" s="59">
        <f t="shared" si="42"/>
        <v>347.84382145531163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2.5735077217863522</v>
      </c>
      <c r="DI37" s="22">
        <f t="shared" si="15"/>
        <v>2.5735077217863522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3</v>
      </c>
      <c r="DO37" s="12">
        <f>IF('Données projet'!$A$166&gt;35,DO36+DN37-DW36,IF(A37&lt;'Données projet'!$A$166,$DL$205^A37,IF(A37='Données projet'!$A$166,'Données projet'!$B$166,DO36+DN37-DW36)))</f>
        <v>102</v>
      </c>
      <c r="DP37" s="17">
        <f>DO37*VLOOKUP('Données projet'!$B$14,Paramètres!$A$1:$I$89,3,0)*VLOOKUP('Données projet'!$B$14,Paramètres!$A$1:$I$89,5,0)</f>
        <v>103.428</v>
      </c>
      <c r="DQ37" s="13">
        <f t="shared" si="43"/>
        <v>27.777062350859747</v>
      </c>
      <c r="DR37" s="20">
        <f t="shared" si="16"/>
        <v>228.51548359441404</v>
      </c>
      <c r="DS37" s="59">
        <f t="shared" si="17"/>
        <v>471.28891505652962</v>
      </c>
      <c r="DT37" s="59">
        <f ca="1">AVERAGE(OFFSET($DS$3,0,0,'Données projet'!$E$14+1,1))-AVERAGE(OFFSET($H$3,0,0,'Données projet'!$E$14+1,1))</f>
        <v>392.49465607243178</v>
      </c>
      <c r="DU37" s="59">
        <f t="shared" si="44"/>
        <v>258.031856676031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10.199999999999999</v>
      </c>
      <c r="EJ37" s="12">
        <f>IF('Données projet'!$A$192&gt;35,EJ36+EI37-ER36,IF(A37&lt;'Données projet'!$A$192,$EG$205^A37,IF(A37='Données projet'!$A$192,'Données projet'!$B$192,EJ36+EI37-ER36)))</f>
        <v>128.80000000000004</v>
      </c>
      <c r="EK37" s="17">
        <f>EJ37*VLOOKUP('Données projet'!$B$15,Paramètres!$A$1:$I$89,3,0)*VLOOKUP('Données projet'!$B$15,Paramètres!$A$1:$I$89,5,0)</f>
        <v>110.51040000000005</v>
      </c>
      <c r="EL37" s="13">
        <f t="shared" si="45"/>
        <v>29.451206375056412</v>
      </c>
      <c r="EM37" s="20">
        <f t="shared" si="19"/>
        <v>243.76646443655662</v>
      </c>
      <c r="EN37" s="59">
        <f t="shared" si="20"/>
        <v>486.53989589867217</v>
      </c>
      <c r="EO37" s="59">
        <f ca="1">AVERAGE(OFFSET($EN$3,0,0,'Données projet'!$E$15+1,1))-AVERAGE(OFFSET($H$3,0,0,'Données projet'!$E$15+1,1))</f>
        <v>294.24530606293143</v>
      </c>
      <c r="EP37" s="59">
        <f t="shared" si="46"/>
        <v>275.88160405468193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10.199999999999999</v>
      </c>
      <c r="FE37" s="12">
        <f>IF('Données projet'!$A$218&gt;35,FE36+FD37-FM36,IF(A37&lt;'Données projet'!$A$218,$FB$205^A37,IF(A37='Données projet'!$A$218,'Données projet'!$B$218,FE36+FD37-FM36)))</f>
        <v>128.80000000000004</v>
      </c>
      <c r="FF37" s="17">
        <f>FE37*VLOOKUP('Données projet'!$B$16,Paramètres!$A$1:$I$89,3,0)*VLOOKUP('Données projet'!$B$16,Paramètres!$A$1:$I$89,5,0)</f>
        <v>94.436160000000029</v>
      </c>
      <c r="FG37" s="13">
        <f t="shared" si="47"/>
        <v>25.632105611020013</v>
      </c>
      <c r="FH37" s="20">
        <f t="shared" si="22"/>
        <v>209.11889593919321</v>
      </c>
      <c r="FI37" s="59">
        <f t="shared" si="23"/>
        <v>451.89232740130876</v>
      </c>
      <c r="FJ37" s="59">
        <f ca="1">AVERAGE(OFFSET($FI$3,0,0,'Données projet'!$E$16+1,1))-AVERAGE(OFFSET($H$3,0,0,'Données projet'!$E$16+1,1))</f>
        <v>214.31585175697521</v>
      </c>
      <c r="FK37" s="59">
        <f t="shared" si="48"/>
        <v>244.60383864821372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0</v>
      </c>
      <c r="FS37" s="21">
        <f>EXP(-LN(2)/2)*FS36+(1-EXP(-LN(2)/2))/(LN(2)/2)*FM37*FP37*VLOOKUP('Données projet'!$B$16,Paramètres!$A$1:$I$89,3,0)*0.475*44/12</f>
        <v>0</v>
      </c>
      <c r="FT37" s="22">
        <f t="shared" si="24"/>
        <v>0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10.8</v>
      </c>
      <c r="FZ37" s="12">
        <f>IF('Données projet'!$A$244&gt;35,FZ36+FY37-GH36,IF(A37&lt;'Données projet'!$A$244,$FW$205^A37,IF(A37='Données projet'!$A$244,'Données projet'!$B$244,FZ36+FY37-GH36)))</f>
        <v>218.20000000000005</v>
      </c>
      <c r="GA37" s="17">
        <f>FZ37*VLOOKUP('Données projet'!$B$17,Paramètres!$A$1:$I$89,3,0)*VLOOKUP('Données projet'!$B$17,Paramètres!$A$1:$I$89,5,0)</f>
        <v>173.59992000000005</v>
      </c>
      <c r="GB37" s="13">
        <f t="shared" si="49"/>
        <v>43.895299982962648</v>
      </c>
      <c r="GC37" s="20">
        <f t="shared" si="25"/>
        <v>378.80417480366003</v>
      </c>
      <c r="GD37" s="59">
        <f t="shared" si="26"/>
        <v>621.57760626577556</v>
      </c>
      <c r="GE37" s="59">
        <f ca="1">AVERAGE(OFFSET($GD$3,0,0,'Données projet'!$E$17+1,1))-AVERAGE(OFFSET($H$3,0,0,'Données projet'!$E$17+1,1))</f>
        <v>308.33954512886351</v>
      </c>
      <c r="GF37" s="59">
        <f t="shared" si="50"/>
        <v>408.79075392716277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0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0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852.79283721326169</v>
      </c>
      <c r="S38" s="59">
        <f ca="1">AVERAGE(OFFSET($R$3,0,0,'Données projet'!$E$9+1,1))-AVERAGE(OFFSET($H$3,0,0,'Données projet'!$E$9+1,1))</f>
        <v>342.84342155097613</v>
      </c>
      <c r="T38" s="59">
        <f t="shared" si="34"/>
        <v>565.68976940602215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0.36965500000000007</v>
      </c>
      <c r="Y38" s="16">
        <f>IF(ISNA(VLOOKUP(A38,'Données projet'!$A$35:$I$55,7,0)),0%,VLOOKUP(A38,'Données projet'!$A$35:$I$55,7,0))</f>
        <v>0.33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38.992788805687738</v>
      </c>
      <c r="AB38" s="21">
        <f>EXP(-LN(2)/2)*AB37+(1-EXP(-LN(2)/2))/(LN(2)/2)*V38*Y38*VLOOKUP('Données projet'!$B$9,Paramètres!$A$1:$I$89,3,0)*0.475*44/12</f>
        <v>17.211237797664118</v>
      </c>
      <c r="AC38" s="22">
        <f t="shared" si="3"/>
        <v>56.204026603351856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139</v>
      </c>
      <c r="AG38" s="12">
        <f>VLOOKUP(A38,'Données projet'!$A$61:$I$81,9,0)</f>
        <v>10.199999999999999</v>
      </c>
      <c r="AH38" s="12">
        <f t="array" ref="AH38">INDEX(AG:AG,MIN(IF(ISNUMBER(AG38:AG234),ROW(AG38:AG234),"")))</f>
        <v>10.199999999999999</v>
      </c>
      <c r="AI38" s="13">
        <f>IF('Données projet'!$A$62&gt;35,AI37+AH38-AQ37,IF(A38&lt;'Données projet'!$A$62,$AF$205^A38,IF(A38='Données projet'!$A$62,'Données projet'!$B$62,AI37+AH38-AQ37)))</f>
        <v>139.00000000000003</v>
      </c>
      <c r="AJ38" s="13">
        <f>AI38*VLOOKUP('Données projet'!$B$10,Paramètres!$A$1:$I$89,3,0)*VLOOKUP('Données projet'!$B$10,Paramètres!$A$1:$I$89,5,0)</f>
        <v>132.27240000000003</v>
      </c>
      <c r="AK38" s="13">
        <f t="shared" si="35"/>
        <v>34.520913508292487</v>
      </c>
      <c r="AL38" s="20">
        <f t="shared" si="4"/>
        <v>290.49835436027615</v>
      </c>
      <c r="AM38" s="59">
        <f t="shared" si="5"/>
        <v>534.14888708485068</v>
      </c>
      <c r="AN38" s="59">
        <f ca="1">AVERAGE(OFFSET($AM$3,0,0,'Données projet'!$E$10+1,1))-AVERAGE(OFFSET($H$3,0,0,'Données projet'!$E$10+1,1))</f>
        <v>320.33056209214476</v>
      </c>
      <c r="AO38" s="59">
        <f t="shared" si="36"/>
        <v>299.27200854723446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28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12.666666666666666</v>
      </c>
      <c r="BD38" s="12">
        <f>IF('Données projet'!$A$88&gt;35,BD37+BC38-BL37,IF(A38&lt;'Données projet'!$A$88,$BA$205^A38,IF(A38='Données projet'!$A$88,'Données projet'!$B$88,BD37+BC38-BL37)))</f>
        <v>235.33333333333334</v>
      </c>
      <c r="BE38" s="13">
        <f>BD38*VLOOKUP('Données projet'!$B$11,Paramètres!$A$1:$I$89,3,0)*VLOOKUP('Données projet'!$B$11,Paramètres!$A$1:$I$89,5,0)</f>
        <v>146.84799999999998</v>
      </c>
      <c r="BF38" s="13">
        <f t="shared" si="37"/>
        <v>37.861399361117101</v>
      </c>
      <c r="BG38" s="20">
        <f t="shared" si="7"/>
        <v>321.70220388727893</v>
      </c>
      <c r="BH38" s="59">
        <f t="shared" si="8"/>
        <v>565.3527366118534</v>
      </c>
      <c r="BI38" s="59">
        <f ca="1">AVERAGE(OFFSET($BH$3,0,0,'Données projet'!$E$11+1,1))-AVERAGE(OFFSET($H$3,0,0,'Données projet'!$E$11+1,1))</f>
        <v>256.85706398254547</v>
      </c>
      <c r="BJ38" s="59">
        <f t="shared" si="38"/>
        <v>363.68094621014734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24.164362146513852</v>
      </c>
      <c r="BR38" s="21">
        <f>EXP(-LN(2)/2)*BR37+(1-EXP(-LN(2)/2))/(LN(2)/2)*BL38*BO38*VLOOKUP('Données projet'!$B$11,Paramètres!$A$1:$I$89,3,0)*0.475*44/12</f>
        <v>2.2747622007956321</v>
      </c>
      <c r="BS38" s="22">
        <f t="shared" si="9"/>
        <v>26.439124347309484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</v>
      </c>
      <c r="BY38" s="12">
        <f>IF('Données projet'!$A$114&gt;35,BY37+BX38-CG37,IF(A38&lt;'Données projet'!$A$114,$BV$205^A38,IF(A38='Données projet'!$A$114,'Données projet'!$B$114,BY37+BX38-CG37)))</f>
        <v>105</v>
      </c>
      <c r="BZ38" s="13">
        <f>BY38*VLOOKUP('Données projet'!$B$12,Paramètres!$A$1:$I$89,3,0)*VLOOKUP('Données projet'!$B$12,Paramètres!$A$1:$I$89,5,0)</f>
        <v>95.004000000000005</v>
      </c>
      <c r="CA38" s="13">
        <f t="shared" si="39"/>
        <v>25.768242550600785</v>
      </c>
      <c r="CB38" s="20">
        <f t="shared" si="10"/>
        <v>210.34498910896306</v>
      </c>
      <c r="CC38" s="59">
        <f t="shared" si="11"/>
        <v>453.99552183353757</v>
      </c>
      <c r="CD38" s="59">
        <f ca="1">AVERAGE(OFFSET($CC$3,0,0,'Données projet'!$E$12+1,1))-AVERAGE(OFFSET($H$3,0,0,'Données projet'!$E$12+1,1))</f>
        <v>357.68828740212223</v>
      </c>
      <c r="CE38" s="59">
        <f t="shared" si="40"/>
        <v>236.76626845829483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229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229.00000000000006</v>
      </c>
      <c r="CU38" s="17">
        <f>CT38*VLOOKUP('Données projet'!$B$13,Paramètres!$A$1:$I$89,3,0)*VLOOKUP('Données projet'!$B$13,Paramètres!$A$1:$I$89,5,0)</f>
        <v>150.04080000000005</v>
      </c>
      <c r="CV38" s="13">
        <f t="shared" si="41"/>
        <v>38.587857420495176</v>
      </c>
      <c r="CW38" s="20">
        <f t="shared" si="13"/>
        <v>328.5282450073625</v>
      </c>
      <c r="CX38" s="59">
        <f t="shared" si="14"/>
        <v>572.17877773193698</v>
      </c>
      <c r="CY38" s="59">
        <f ca="1">AVERAGE(OFFSET($CX$3,0,0,'Données projet'!$E$13+1,1))-AVERAGE(OFFSET($H$3,0,0,'Données projet'!$E$13+1,1))</f>
        <v>220.18342986563667</v>
      </c>
      <c r="CZ38" s="59">
        <f t="shared" si="42"/>
        <v>347.84382145531163</v>
      </c>
      <c r="DA38" s="15">
        <f>IF(ISNA(VLOOKUP(A38,'Données projet'!$A$139:$I$159,3,0)),0,VLOOKUP(A38,'Données projet'!$A$139:$I$159,3,0))</f>
        <v>3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1.8197447615110727</v>
      </c>
      <c r="DI38" s="22">
        <f t="shared" si="15"/>
        <v>1.8197447615110727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3</v>
      </c>
      <c r="DO38" s="12">
        <f>IF('Données projet'!$A$166&gt;35,DO37+DN38-DW37,IF(A38&lt;'Données projet'!$A$166,$DL$205^A38,IF(A38='Données projet'!$A$166,'Données projet'!$B$166,DO37+DN38-DW37)))</f>
        <v>105</v>
      </c>
      <c r="DP38" s="17">
        <f>DO38*VLOOKUP('Données projet'!$B$14,Paramètres!$A$1:$I$89,3,0)*VLOOKUP('Données projet'!$B$14,Paramètres!$A$1:$I$89,5,0)</f>
        <v>106.47</v>
      </c>
      <c r="DQ38" s="13">
        <f t="shared" si="43"/>
        <v>28.49771681771891</v>
      </c>
      <c r="DR38" s="20">
        <f t="shared" si="16"/>
        <v>235.06877345752704</v>
      </c>
      <c r="DS38" s="59">
        <f t="shared" si="17"/>
        <v>478.71930618210155</v>
      </c>
      <c r="DT38" s="59">
        <f ca="1">AVERAGE(OFFSET($DS$3,0,0,'Données projet'!$E$14+1,1))-AVERAGE(OFFSET($H$3,0,0,'Données projet'!$E$14+1,1))</f>
        <v>392.49465607243178</v>
      </c>
      <c r="DU38" s="59">
        <f t="shared" si="44"/>
        <v>258.031856676031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>
        <f>VLOOKUP(A38,'Données projet'!$A$191:$I$211,2,0)</f>
        <v>139</v>
      </c>
      <c r="EH38" s="12">
        <f>VLOOKUP(A38,'Données projet'!$A$191:$I$211,9,0)</f>
        <v>10.199999999999999</v>
      </c>
      <c r="EI38" s="12">
        <f t="array" ref="EI38">INDEX(EH:EH,MIN(IF(ISNUMBER(EH38:EH234),ROW(EH38:EH234),"")))</f>
        <v>10.199999999999999</v>
      </c>
      <c r="EJ38" s="12">
        <f>IF('Données projet'!$A$192&gt;35,EJ37+EI38-ER37,IF(A38&lt;'Données projet'!$A$192,$EG$205^A38,IF(A38='Données projet'!$A$192,'Données projet'!$B$192,EJ37+EI38-ER37)))</f>
        <v>139.00000000000003</v>
      </c>
      <c r="EK38" s="17">
        <f>EJ38*VLOOKUP('Données projet'!$B$15,Paramètres!$A$1:$I$89,3,0)*VLOOKUP('Données projet'!$B$15,Paramètres!$A$1:$I$89,5,0)</f>
        <v>119.26200000000003</v>
      </c>
      <c r="EL38" s="13">
        <f t="shared" si="45"/>
        <v>31.502811162802828</v>
      </c>
      <c r="EM38" s="20">
        <f t="shared" si="19"/>
        <v>262.58204610854824</v>
      </c>
      <c r="EN38" s="59">
        <f t="shared" si="20"/>
        <v>506.23257883312272</v>
      </c>
      <c r="EO38" s="59">
        <f ca="1">AVERAGE(OFFSET($EN$3,0,0,'Données projet'!$E$15+1,1))-AVERAGE(OFFSET($H$3,0,0,'Données projet'!$E$15+1,1))</f>
        <v>294.24530606293143</v>
      </c>
      <c r="EP38" s="59">
        <f t="shared" si="46"/>
        <v>275.88160405468193</v>
      </c>
      <c r="EQ38" s="15">
        <f>IF(ISNA(VLOOKUP(A38,'Données projet'!$A$191:$I$211,3,0)),0,VLOOKUP(A38,'Données projet'!$A$191:$I$211,3,0))</f>
        <v>3</v>
      </c>
      <c r="ER38" s="15">
        <f>IF(ISNA(VLOOKUP(A38,'Données projet'!$A$191:$I$211,4,0)),0,VLOOKUP(A38,'Données projet'!$A$191:$I$211,4,0))</f>
        <v>28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139</v>
      </c>
      <c r="FC38" s="12">
        <f>VLOOKUP(A38,'Données projet'!$A$217:$I$237,9,0)</f>
        <v>10.199999999999999</v>
      </c>
      <c r="FD38" s="12">
        <f t="array" ref="FD38">INDEX(FC:FC,MIN(IF(ISNUMBER(FC38:FC234),ROW(FC38:FC234),"")))</f>
        <v>10.199999999999999</v>
      </c>
      <c r="FE38" s="12">
        <f>IF('Données projet'!$A$218&gt;35,FE37+FD38-FM37,IF(A38&lt;'Données projet'!$A$218,$FB$205^A38,IF(A38='Données projet'!$A$218,'Données projet'!$B$218,FE37+FD38-FM37)))</f>
        <v>139.00000000000003</v>
      </c>
      <c r="FF38" s="17">
        <f>FE38*VLOOKUP('Données projet'!$B$16,Paramètres!$A$1:$I$89,3,0)*VLOOKUP('Données projet'!$B$16,Paramètres!$A$1:$I$89,5,0)</f>
        <v>101.91480000000003</v>
      </c>
      <c r="FG38" s="13">
        <f t="shared" si="47"/>
        <v>27.417667462779317</v>
      </c>
      <c r="FH38" s="20">
        <f t="shared" si="22"/>
        <v>225.25404749767401</v>
      </c>
      <c r="FI38" s="59">
        <f t="shared" si="23"/>
        <v>468.90458022224851</v>
      </c>
      <c r="FJ38" s="59">
        <f ca="1">AVERAGE(OFFSET($FI$3,0,0,'Données projet'!$E$16+1,1))-AVERAGE(OFFSET($H$3,0,0,'Données projet'!$E$16+1,1))</f>
        <v>214.31585175697521</v>
      </c>
      <c r="FK38" s="59">
        <f t="shared" si="48"/>
        <v>244.60383864821372</v>
      </c>
      <c r="FL38" s="15">
        <f>IF(ISNA(VLOOKUP(A38,'Données projet'!$A$217:$I$237,3,0)),0,VLOOKUP(A38,'Données projet'!$A$217:$I$237,3,0))</f>
        <v>3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0</v>
      </c>
      <c r="FS38" s="21">
        <f>EXP(-LN(2)/2)*FS37+(1-EXP(-LN(2)/2))/(LN(2)/2)*FM38*FP38*VLOOKUP('Données projet'!$B$16,Paramètres!$A$1:$I$89,3,0)*0.475*44/12</f>
        <v>0</v>
      </c>
      <c r="FT38" s="22">
        <f t="shared" si="24"/>
        <v>0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>
        <f>VLOOKUP(A38,'Données projet'!$A$243:$I$263,2,0)</f>
        <v>229</v>
      </c>
      <c r="FX38" s="12">
        <f>VLOOKUP(A38,'Données projet'!$A$243:$I$263,9,0)</f>
        <v>10.8</v>
      </c>
      <c r="FY38" s="12">
        <f t="array" ref="FY38">INDEX(FX:FX,MIN(IF(ISNUMBER(FX38:FX234),ROW(FX38:FX234),"")))</f>
        <v>10.8</v>
      </c>
      <c r="FZ38" s="12">
        <f>IF('Données projet'!$A$244&gt;35,FZ37+FY38-GH37,IF(A38&lt;'Données projet'!$A$244,$FW$205^A38,IF(A38='Données projet'!$A$244,'Données projet'!$B$244,FZ37+FY38-GH37)))</f>
        <v>229.00000000000006</v>
      </c>
      <c r="GA38" s="17">
        <f>FZ38*VLOOKUP('Données projet'!$B$17,Paramètres!$A$1:$I$89,3,0)*VLOOKUP('Données projet'!$B$17,Paramètres!$A$1:$I$89,5,0)</f>
        <v>182.19240000000005</v>
      </c>
      <c r="GB38" s="13">
        <f t="shared" si="49"/>
        <v>45.809610563727631</v>
      </c>
      <c r="GC38" s="20">
        <f t="shared" si="25"/>
        <v>397.1035017318257</v>
      </c>
      <c r="GD38" s="59">
        <f t="shared" si="26"/>
        <v>640.75403445640018</v>
      </c>
      <c r="GE38" s="59">
        <f ca="1">AVERAGE(OFFSET($GD$3,0,0,'Données projet'!$E$17+1,1))-AVERAGE(OFFSET($H$3,0,0,'Données projet'!$E$17+1,1))</f>
        <v>308.33954512886351</v>
      </c>
      <c r="GF38" s="59">
        <f t="shared" si="50"/>
        <v>408.79075392716277</v>
      </c>
      <c r="GG38" s="15">
        <f>IF(ISNA(VLOOKUP(A38,'Données projet'!$A$243:$I$263,3,0)),0,VLOOKUP(A38,'Données projet'!$A$243:$I$263,3,0))</f>
        <v>3</v>
      </c>
      <c r="GH38" s="15">
        <f>IF(ISNA(VLOOKUP(A38,'Données projet'!$A$243:$I$263,4,0)),0,VLOOKUP(A38,'Données projet'!$A$243:$I$263,4,0))</f>
        <v>28</v>
      </c>
      <c r="GI38" s="16">
        <f>IF(ISNA(VLOOKUP(A38,'Données projet'!$A$243:$I$263,5,0)),0%,VLOOKUP(A38,'Données projet'!$A$243:$I$263,5,0)*VLOOKUP('Données projet'!$B$17,Paramètres!$A$1:$I$89,7,0))</f>
        <v>0.21200000000000002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5.2207846207652802</v>
      </c>
      <c r="GM38" s="21">
        <f>EXP(-LN(2)/25)*GM37+(1-EXP(-LN(2)/25))/(LN(2)/25)*Calculateur!GH38*Calculateur!GJ38*VLOOKUP('Données projet'!$B$17,Paramètres!$A$1:$I$89,3,0)*0.475*44/12</f>
        <v>0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5.2207846207652802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802.43374972981883</v>
      </c>
      <c r="S39" s="59">
        <f ca="1">AVERAGE(OFFSET($R$3,0,0,'Données projet'!$E$9+1,1))-AVERAGE(OFFSET($H$3,0,0,'Données projet'!$E$9+1,1))</f>
        <v>342.84342155097613</v>
      </c>
      <c r="T39" s="59">
        <f t="shared" si="34"/>
        <v>565.68976940602215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37.92652894525456</v>
      </c>
      <c r="AB39" s="21">
        <f>EXP(-LN(2)/2)*AB38+(1-EXP(-LN(2)/2))/(LN(2)/2)*V39*Y39*VLOOKUP('Données projet'!$B$9,Paramètres!$A$1:$I$89,3,0)*0.475*44/12</f>
        <v>12.170182959342519</v>
      </c>
      <c r="AC39" s="22">
        <f t="shared" si="3"/>
        <v>50.096711904597079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10.6</v>
      </c>
      <c r="AI39" s="13">
        <f>IF('Données projet'!$A$62&gt;35,AI38+AH39-AQ38,IF(A39&lt;'Données projet'!$A$62,$AF$205^A39,IF(A39='Données projet'!$A$62,'Données projet'!$B$62,AI38+AH39-AQ38)))</f>
        <v>121.60000000000002</v>
      </c>
      <c r="AJ39" s="13">
        <f>AI39*VLOOKUP('Données projet'!$B$10,Paramètres!$A$1:$I$89,3,0)*VLOOKUP('Données projet'!$B$10,Paramètres!$A$1:$I$89,5,0)</f>
        <v>115.71456000000003</v>
      </c>
      <c r="AK39" s="13">
        <f t="shared" si="35"/>
        <v>30.673385230522225</v>
      </c>
      <c r="AL39" s="20">
        <f t="shared" si="4"/>
        <v>254.95900460982625</v>
      </c>
      <c r="AM39" s="59">
        <f t="shared" si="5"/>
        <v>499.47142285086068</v>
      </c>
      <c r="AN39" s="59">
        <f ca="1">AVERAGE(OFFSET($AM$3,0,0,'Données projet'!$E$10+1,1))-AVERAGE(OFFSET($H$3,0,0,'Données projet'!$E$10+1,1))</f>
        <v>320.33056209214476</v>
      </c>
      <c r="AO39" s="59">
        <f t="shared" si="36"/>
        <v>299.27200854723446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12.666666666666666</v>
      </c>
      <c r="BC39" s="12">
        <f t="array" ref="BC39">INDEX(BB:BB,MIN(IF(ISNUMBER(BB39:BB235),ROW(BB39:BB235),"")))</f>
        <v>12.666666666666666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583.10726882325082</v>
      </c>
      <c r="BI39" s="59">
        <f ca="1">AVERAGE(OFFSET($BH$3,0,0,'Données projet'!$E$11+1,1))-AVERAGE(OFFSET($H$3,0,0,'Données projet'!$E$11+1,1))</f>
        <v>256.85706398254547</v>
      </c>
      <c r="BJ39" s="59">
        <f t="shared" si="38"/>
        <v>363.68094621014734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0.36</v>
      </c>
      <c r="BN39" s="16">
        <f>IF(ISNA(VLOOKUP(A39,'Données projet'!$A$87:$I$107,6,0)),0%,VLOOKUP(A39,'Données projet'!$A$87:$I$107,6,0)*VLOOKUP('Données projet'!$B$11,Paramètres!$A$1:$I$89,7,0))</f>
        <v>0.12</v>
      </c>
      <c r="BO39" s="16">
        <f>IF(ISNA(VLOOKUP(A39,'Données projet'!$A$87:$I$107,7,0)),0%,VLOOKUP(A39,'Données projet'!$A$87:$I$107,7,0))</f>
        <v>0.2</v>
      </c>
      <c r="BP39" s="21">
        <f>EXP(-LN(2)/35)*BP38+(1-EXP(-LN(2)/35))/(LN(2)/35)*BL39*BM39*VLOOKUP('Données projet'!$B$11,Paramètres!$A$1:$I$89,3,0)*0.475*44/12</f>
        <v>18.475965234736172</v>
      </c>
      <c r="BQ39" s="21">
        <f>EXP(-LN(2)/25)*BQ38+(1-EXP(-LN(2)/25))/(LN(2)/25)*Calculateur!BL39*Calculateur!BN39*VLOOKUP('Données projet'!$B$11,Paramètres!$A$1:$I$89,3,0)*0.475*44/12</f>
        <v>29.637992499439637</v>
      </c>
      <c r="BR39" s="21">
        <f>EXP(-LN(2)/2)*BR38+(1-EXP(-LN(2)/2))/(LN(2)/2)*BL39*BO39*VLOOKUP('Données projet'!$B$11,Paramètres!$A$1:$I$89,3,0)*0.475*44/12</f>
        <v>10.369260403110207</v>
      </c>
      <c r="BS39" s="22">
        <f t="shared" si="9"/>
        <v>58.483218137286016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</v>
      </c>
      <c r="BY39" s="12">
        <f>IF('Données projet'!$A$114&gt;35,BY38+BX39-CG38,IF(A39&lt;'Données projet'!$A$114,$BV$205^A39,IF(A39='Données projet'!$A$114,'Données projet'!$B$114,BY38+BX39-CG38)))</f>
        <v>108</v>
      </c>
      <c r="BZ39" s="13">
        <f>BY39*VLOOKUP('Données projet'!$B$12,Paramètres!$A$1:$I$89,3,0)*VLOOKUP('Données projet'!$B$12,Paramètres!$A$1:$I$89,5,0)</f>
        <v>97.718399999999988</v>
      </c>
      <c r="CA39" s="13">
        <f t="shared" si="39"/>
        <v>26.417709819192194</v>
      </c>
      <c r="CB39" s="20">
        <f t="shared" si="10"/>
        <v>216.20372460175972</v>
      </c>
      <c r="CC39" s="59">
        <f t="shared" si="11"/>
        <v>460.71614284279417</v>
      </c>
      <c r="CD39" s="59">
        <f ca="1">AVERAGE(OFFSET($CC$3,0,0,'Données projet'!$E$12+1,1))-AVERAGE(OFFSET($H$3,0,0,'Données projet'!$E$12+1,1))</f>
        <v>357.68828740212223</v>
      </c>
      <c r="CE39" s="59">
        <f t="shared" si="40"/>
        <v>236.76626845829483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9.4</v>
      </c>
      <c r="CT39" s="12">
        <f>IF('Données projet'!$A$140&gt;35,CT38+CS39-DB38,IF(A39&lt;'Données projet'!$A$140,$CQ$205^A39,IF(A39='Données projet'!$A$140,'Données projet'!$B$140,CT38+CS39-DB38)))</f>
        <v>210.40000000000006</v>
      </c>
      <c r="CU39" s="17">
        <f>CT39*VLOOKUP('Données projet'!$B$13,Paramètres!$A$1:$I$89,3,0)*VLOOKUP('Données projet'!$B$13,Paramètres!$A$1:$I$89,5,0)</f>
        <v>137.85408000000004</v>
      </c>
      <c r="CV39" s="13">
        <f t="shared" si="41"/>
        <v>35.804964283629964</v>
      </c>
      <c r="CW39" s="20">
        <f t="shared" si="13"/>
        <v>302.45616879398892</v>
      </c>
      <c r="CX39" s="59">
        <f t="shared" si="14"/>
        <v>546.96858703502335</v>
      </c>
      <c r="CY39" s="59">
        <f ca="1">AVERAGE(OFFSET($CX$3,0,0,'Données projet'!$E$13+1,1))-AVERAGE(OFFSET($H$3,0,0,'Données projet'!$E$13+1,1))</f>
        <v>220.18342986563667</v>
      </c>
      <c r="CZ39" s="59">
        <f t="shared" si="42"/>
        <v>347.84382145531163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1.2867538608931763</v>
      </c>
      <c r="DI39" s="22">
        <f t="shared" si="15"/>
        <v>1.2867538608931763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3</v>
      </c>
      <c r="DO39" s="12">
        <f>IF('Données projet'!$A$166&gt;35,DO38+DN39-DW38,IF(A39&lt;'Données projet'!$A$166,$DL$205^A39,IF(A39='Données projet'!$A$166,'Données projet'!$B$166,DO38+DN39-DW38)))</f>
        <v>108</v>
      </c>
      <c r="DP39" s="17">
        <f>DO39*VLOOKUP('Données projet'!$B$14,Paramètres!$A$1:$I$89,3,0)*VLOOKUP('Données projet'!$B$14,Paramètres!$A$1:$I$89,5,0)</f>
        <v>109.51200000000001</v>
      </c>
      <c r="DQ39" s="13">
        <f t="shared" si="43"/>
        <v>29.215978230632555</v>
      </c>
      <c r="DR39" s="20">
        <f t="shared" si="16"/>
        <v>241.61789541835174</v>
      </c>
      <c r="DS39" s="59">
        <f t="shared" si="17"/>
        <v>486.13031365938616</v>
      </c>
      <c r="DT39" s="59">
        <f ca="1">AVERAGE(OFFSET($DS$3,0,0,'Données projet'!$E$14+1,1))-AVERAGE(OFFSET($H$3,0,0,'Données projet'!$E$14+1,1))</f>
        <v>392.49465607243178</v>
      </c>
      <c r="DU39" s="59">
        <f t="shared" si="44"/>
        <v>258.031856676031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10.6</v>
      </c>
      <c r="EJ39" s="12">
        <f>IF('Données projet'!$A$192&gt;35,EJ38+EI39-ER38,IF(A39&lt;'Données projet'!$A$192,$EG$205^A39,IF(A39='Données projet'!$A$192,'Données projet'!$B$192,EJ38+EI39-ER38)))</f>
        <v>121.60000000000002</v>
      </c>
      <c r="EK39" s="17">
        <f>EJ39*VLOOKUP('Données projet'!$B$15,Paramètres!$A$1:$I$89,3,0)*VLOOKUP('Données projet'!$B$15,Paramètres!$A$1:$I$89,5,0)</f>
        <v>104.33280000000003</v>
      </c>
      <c r="EL39" s="13">
        <f t="shared" si="45"/>
        <v>27.991665469945552</v>
      </c>
      <c r="EM39" s="20">
        <f t="shared" si="19"/>
        <v>230.46511069348855</v>
      </c>
      <c r="EN39" s="59">
        <f t="shared" si="20"/>
        <v>474.97752893452298</v>
      </c>
      <c r="EO39" s="59">
        <f ca="1">AVERAGE(OFFSET($EN$3,0,0,'Données projet'!$E$15+1,1))-AVERAGE(OFFSET($H$3,0,0,'Données projet'!$E$15+1,1))</f>
        <v>294.24530606293143</v>
      </c>
      <c r="EP39" s="59">
        <f t="shared" si="46"/>
        <v>275.88160405468193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10.6</v>
      </c>
      <c r="FE39" s="12">
        <f>IF('Données projet'!$A$218&gt;35,FE38+FD39-FM38,IF(A39&lt;'Données projet'!$A$218,$FB$205^A39,IF(A39='Données projet'!$A$218,'Données projet'!$B$218,FE38+FD39-FM38)))</f>
        <v>121.60000000000002</v>
      </c>
      <c r="FF39" s="17">
        <f>FE39*VLOOKUP('Données projet'!$B$16,Paramètres!$A$1:$I$89,3,0)*VLOOKUP('Données projet'!$B$16,Paramètres!$A$1:$I$89,5,0)</f>
        <v>89.15712000000002</v>
      </c>
      <c r="FG39" s="13">
        <f t="shared" si="47"/>
        <v>24.361831444760703</v>
      </c>
      <c r="FH39" s="20">
        <f t="shared" si="22"/>
        <v>197.71217376629156</v>
      </c>
      <c r="FI39" s="59">
        <f t="shared" si="23"/>
        <v>442.22459200732601</v>
      </c>
      <c r="FJ39" s="59">
        <f ca="1">AVERAGE(OFFSET($FI$3,0,0,'Données projet'!$E$16+1,1))-AVERAGE(OFFSET($H$3,0,0,'Données projet'!$E$16+1,1))</f>
        <v>214.31585175697521</v>
      </c>
      <c r="FK39" s="59">
        <f t="shared" si="48"/>
        <v>244.60383864821372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0</v>
      </c>
      <c r="FS39" s="21">
        <f>EXP(-LN(2)/2)*FS38+(1-EXP(-LN(2)/2))/(LN(2)/2)*FM39*FP39*VLOOKUP('Données projet'!$B$16,Paramètres!$A$1:$I$89,3,0)*0.475*44/12</f>
        <v>0</v>
      </c>
      <c r="FT39" s="22">
        <f t="shared" si="24"/>
        <v>0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9.4</v>
      </c>
      <c r="FZ39" s="12">
        <f>IF('Données projet'!$A$244&gt;35,FZ38+FY39-GH38,IF(A39&lt;'Données projet'!$A$244,$FW$205^A39,IF(A39='Données projet'!$A$244,'Données projet'!$B$244,FZ38+FY39-GH38)))</f>
        <v>210.40000000000006</v>
      </c>
      <c r="GA39" s="17">
        <f>FZ39*VLOOKUP('Données projet'!$B$17,Paramètres!$A$1:$I$89,3,0)*VLOOKUP('Données projet'!$B$17,Paramètres!$A$1:$I$89,5,0)</f>
        <v>167.39424000000005</v>
      </c>
      <c r="GB39" s="13">
        <f t="shared" si="49"/>
        <v>42.505896406938142</v>
      </c>
      <c r="GC39" s="20">
        <f t="shared" si="25"/>
        <v>365.57607090875064</v>
      </c>
      <c r="GD39" s="59">
        <f t="shared" si="26"/>
        <v>610.08848914978512</v>
      </c>
      <c r="GE39" s="59">
        <f ca="1">AVERAGE(OFFSET($GD$3,0,0,'Données projet'!$E$17+1,1))-AVERAGE(OFFSET($H$3,0,0,'Données projet'!$E$17+1,1))</f>
        <v>308.33954512886351</v>
      </c>
      <c r="GF39" s="59">
        <f t="shared" si="50"/>
        <v>408.79075392716277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5.1184082187162616</v>
      </c>
      <c r="GM39" s="21">
        <f>EXP(-LN(2)/25)*GM38+(1-EXP(-LN(2)/25))/(LN(2)/25)*Calculateur!GH39*Calculateur!GJ39*VLOOKUP('Données projet'!$B$17,Paramètres!$A$1:$I$89,3,0)*0.475*44/12</f>
        <v>0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5.1184082187162616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833.50528415864119</v>
      </c>
      <c r="S40" s="59">
        <f ca="1">AVERAGE(OFFSET($R$3,0,0,'Données projet'!$E$9+1,1))-AVERAGE(OFFSET($H$3,0,0,'Données projet'!$E$9+1,1))</f>
        <v>342.84342155097613</v>
      </c>
      <c r="T40" s="59">
        <f t="shared" si="34"/>
        <v>565.68976940602215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36.889426016777101</v>
      </c>
      <c r="AB40" s="21">
        <f>EXP(-LN(2)/2)*AB39+(1-EXP(-LN(2)/2))/(LN(2)/2)*V40*Y40*VLOOKUP('Données projet'!$B$9,Paramètres!$A$1:$I$89,3,0)*0.475*44/12</f>
        <v>8.605618898832061</v>
      </c>
      <c r="AC40" s="22">
        <f t="shared" si="3"/>
        <v>45.495044915609164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10.6</v>
      </c>
      <c r="AI40" s="13">
        <f>IF('Données projet'!$A$62&gt;35,AI39+AH40-AQ39,IF(A40&lt;'Données projet'!$A$62,$AF$205^A40,IF(A40='Données projet'!$A$62,'Données projet'!$B$62,AI39+AH40-AQ39)))</f>
        <v>132.20000000000002</v>
      </c>
      <c r="AJ40" s="13">
        <f>AI40*VLOOKUP('Données projet'!$B$10,Paramètres!$A$1:$I$89,3,0)*VLOOKUP('Données projet'!$B$10,Paramètres!$A$1:$I$89,5,0)</f>
        <v>125.80152000000002</v>
      </c>
      <c r="AK40" s="13">
        <f t="shared" si="35"/>
        <v>33.024368065037862</v>
      </c>
      <c r="AL40" s="20">
        <f t="shared" si="4"/>
        <v>276.62175504660763</v>
      </c>
      <c r="AM40" s="59">
        <f t="shared" si="5"/>
        <v>521.98110701727876</v>
      </c>
      <c r="AN40" s="59">
        <f ca="1">AVERAGE(OFFSET($AM$3,0,0,'Données projet'!$E$10+1,1))-AVERAGE(OFFSET($H$3,0,0,'Données projet'!$E$10+1,1))</f>
        <v>320.33056209214476</v>
      </c>
      <c r="AO40" s="59">
        <f t="shared" si="36"/>
        <v>299.27200854723446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516.48373179981388</v>
      </c>
      <c r="BI40" s="59">
        <f ca="1">AVERAGE(OFFSET($BH$3,0,0,'Données projet'!$E$11+1,1))-AVERAGE(OFFSET($H$3,0,0,'Données projet'!$E$11+1,1))</f>
        <v>256.85706398254547</v>
      </c>
      <c r="BJ40" s="59">
        <f t="shared" si="38"/>
        <v>363.68094621014734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18.113662825709046</v>
      </c>
      <c r="BQ40" s="21">
        <f>EXP(-LN(2)/25)*BQ39+(1-EXP(-LN(2)/25))/(LN(2)/25)*Calculateur!BL40*Calculateur!BN40*VLOOKUP('Données projet'!$B$11,Paramètres!$A$1:$I$89,3,0)*0.475*44/12</f>
        <v>28.827540035948171</v>
      </c>
      <c r="BR40" s="21">
        <f>EXP(-LN(2)/2)*BR39+(1-EXP(-LN(2)/2))/(LN(2)/2)*BL40*BO40*VLOOKUP('Données projet'!$B$11,Paramètres!$A$1:$I$89,3,0)*0.475*44/12</f>
        <v>7.3321743469283813</v>
      </c>
      <c r="BS40" s="22">
        <f t="shared" si="9"/>
        <v>54.2733772085856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</v>
      </c>
      <c r="BY40" s="12">
        <f>IF('Données projet'!$A$114&gt;35,BY39+BX40-CG39,IF(A40&lt;'Données projet'!$A$114,$BV$205^A40,IF(A40='Données projet'!$A$114,'Données projet'!$B$114,BY39+BX40-CG39)))</f>
        <v>111</v>
      </c>
      <c r="BZ40" s="13">
        <f>BY40*VLOOKUP('Données projet'!$B$12,Paramètres!$A$1:$I$89,3,0)*VLOOKUP('Données projet'!$B$12,Paramètres!$A$1:$I$89,5,0)</f>
        <v>100.4328</v>
      </c>
      <c r="CA40" s="13">
        <f t="shared" si="39"/>
        <v>27.065080249927675</v>
      </c>
      <c r="CB40" s="20">
        <f t="shared" si="10"/>
        <v>222.0588081019574</v>
      </c>
      <c r="CC40" s="59">
        <f t="shared" si="11"/>
        <v>467.4181600726285</v>
      </c>
      <c r="CD40" s="59">
        <f ca="1">AVERAGE(OFFSET($CC$3,0,0,'Données projet'!$E$12+1,1))-AVERAGE(OFFSET($H$3,0,0,'Données projet'!$E$12+1,1))</f>
        <v>357.68828740212223</v>
      </c>
      <c r="CE40" s="59">
        <f t="shared" si="40"/>
        <v>236.76626845829483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9.4</v>
      </c>
      <c r="CT40" s="12">
        <f>IF('Données projet'!$A$140&gt;35,CT39+CS40-DB39,IF(A40&lt;'Données projet'!$A$140,$CQ$205^A40,IF(A40='Données projet'!$A$140,'Données projet'!$B$140,CT39+CS40-DB39)))</f>
        <v>219.80000000000007</v>
      </c>
      <c r="CU40" s="17">
        <f>CT40*VLOOKUP('Données projet'!$B$13,Paramètres!$A$1:$I$89,3,0)*VLOOKUP('Données projet'!$B$13,Paramètres!$A$1:$I$89,5,0)</f>
        <v>144.01296000000005</v>
      </c>
      <c r="CV40" s="13">
        <f t="shared" si="41"/>
        <v>37.21480075570738</v>
      </c>
      <c r="CW40" s="20">
        <f t="shared" si="13"/>
        <v>315.63834998285711</v>
      </c>
      <c r="CX40" s="59">
        <f t="shared" si="14"/>
        <v>560.99770195352824</v>
      </c>
      <c r="CY40" s="59">
        <f ca="1">AVERAGE(OFFSET($CX$3,0,0,'Données projet'!$E$13+1,1))-AVERAGE(OFFSET($H$3,0,0,'Données projet'!$E$13+1,1))</f>
        <v>220.18342986563667</v>
      </c>
      <c r="CZ40" s="59">
        <f t="shared" si="42"/>
        <v>347.84382145531163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0.90987238075553656</v>
      </c>
      <c r="DI40" s="22">
        <f t="shared" si="15"/>
        <v>0.90987238075553656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3</v>
      </c>
      <c r="DO40" s="12">
        <f>IF('Données projet'!$A$166&gt;35,DO39+DN40-DW39,IF(A40&lt;'Données projet'!$A$166,$DL$205^A40,IF(A40='Données projet'!$A$166,'Données projet'!$B$166,DO39+DN40-DW39)))</f>
        <v>111</v>
      </c>
      <c r="DP40" s="17">
        <f>DO40*VLOOKUP('Données projet'!$B$14,Paramètres!$A$1:$I$89,3,0)*VLOOKUP('Données projet'!$B$14,Paramètres!$A$1:$I$89,5,0)</f>
        <v>112.55400000000002</v>
      </c>
      <c r="DQ40" s="13">
        <f t="shared" si="43"/>
        <v>29.93192070032319</v>
      </c>
      <c r="DR40" s="20">
        <f t="shared" si="16"/>
        <v>248.16297855306297</v>
      </c>
      <c r="DS40" s="59">
        <f t="shared" si="17"/>
        <v>493.52233052373407</v>
      </c>
      <c r="DT40" s="59">
        <f ca="1">AVERAGE(OFFSET($DS$3,0,0,'Données projet'!$E$14+1,1))-AVERAGE(OFFSET($H$3,0,0,'Données projet'!$E$14+1,1))</f>
        <v>392.49465607243178</v>
      </c>
      <c r="DU40" s="59">
        <f t="shared" si="44"/>
        <v>258.031856676031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10.6</v>
      </c>
      <c r="EJ40" s="12">
        <f>IF('Données projet'!$A$192&gt;35,EJ39+EI40-ER39,IF(A40&lt;'Données projet'!$A$192,$EG$205^A40,IF(A40='Données projet'!$A$192,'Données projet'!$B$192,EJ39+EI40-ER39)))</f>
        <v>132.20000000000002</v>
      </c>
      <c r="EK40" s="17">
        <f>EJ40*VLOOKUP('Données projet'!$B$15,Paramètres!$A$1:$I$89,3,0)*VLOOKUP('Données projet'!$B$15,Paramètres!$A$1:$I$89,5,0)</f>
        <v>113.42760000000004</v>
      </c>
      <c r="EL40" s="13">
        <f t="shared" si="45"/>
        <v>30.137106037876816</v>
      </c>
      <c r="EM40" s="20">
        <f t="shared" si="19"/>
        <v>250.04186301596886</v>
      </c>
      <c r="EN40" s="59">
        <f t="shared" si="20"/>
        <v>495.40121498663996</v>
      </c>
      <c r="EO40" s="59">
        <f ca="1">AVERAGE(OFFSET($EN$3,0,0,'Données projet'!$E$15+1,1))-AVERAGE(OFFSET($H$3,0,0,'Données projet'!$E$15+1,1))</f>
        <v>294.24530606293143</v>
      </c>
      <c r="EP40" s="59">
        <f t="shared" si="46"/>
        <v>275.88160405468193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10.6</v>
      </c>
      <c r="FE40" s="12">
        <f>IF('Données projet'!$A$218&gt;35,FE39+FD40-FM39,IF(A40&lt;'Données projet'!$A$218,$FB$205^A40,IF(A40='Données projet'!$A$218,'Données projet'!$B$218,FE39+FD40-FM39)))</f>
        <v>132.20000000000002</v>
      </c>
      <c r="FF40" s="17">
        <f>FE40*VLOOKUP('Données projet'!$B$16,Paramètres!$A$1:$I$89,3,0)*VLOOKUP('Données projet'!$B$16,Paramètres!$A$1:$I$89,5,0)</f>
        <v>96.929040000000015</v>
      </c>
      <c r="FG40" s="13">
        <f t="shared" si="47"/>
        <v>26.229060872277689</v>
      </c>
      <c r="FH40" s="20">
        <f t="shared" si="22"/>
        <v>214.50035901921697</v>
      </c>
      <c r="FI40" s="59">
        <f t="shared" si="23"/>
        <v>459.85971098988807</v>
      </c>
      <c r="FJ40" s="59">
        <f ca="1">AVERAGE(OFFSET($FI$3,0,0,'Données projet'!$E$16+1,1))-AVERAGE(OFFSET($H$3,0,0,'Données projet'!$E$16+1,1))</f>
        <v>214.31585175697521</v>
      </c>
      <c r="FK40" s="59">
        <f t="shared" si="48"/>
        <v>244.60383864821372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0</v>
      </c>
      <c r="FS40" s="21">
        <f>EXP(-LN(2)/2)*FS39+(1-EXP(-LN(2)/2))/(LN(2)/2)*FM40*FP40*VLOOKUP('Données projet'!$B$16,Paramètres!$A$1:$I$89,3,0)*0.475*44/12</f>
        <v>0</v>
      </c>
      <c r="FT40" s="22">
        <f t="shared" si="24"/>
        <v>0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9.4</v>
      </c>
      <c r="FZ40" s="12">
        <f>IF('Données projet'!$A$244&gt;35,FZ39+FY40-GH39,IF(A40&lt;'Données projet'!$A$244,$FW$205^A40,IF(A40='Données projet'!$A$244,'Données projet'!$B$244,FZ39+FY40-GH39)))</f>
        <v>219.80000000000007</v>
      </c>
      <c r="GA40" s="17">
        <f>FZ40*VLOOKUP('Données projet'!$B$17,Paramètres!$A$1:$I$89,3,0)*VLOOKUP('Données projet'!$B$17,Paramètres!$A$1:$I$89,5,0)</f>
        <v>174.87288000000007</v>
      </c>
      <c r="GB40" s="13">
        <f t="shared" si="49"/>
        <v>44.179585076423635</v>
      </c>
      <c r="GC40" s="20">
        <f t="shared" si="25"/>
        <v>381.51637667477121</v>
      </c>
      <c r="GD40" s="59">
        <f t="shared" si="26"/>
        <v>626.87572864544234</v>
      </c>
      <c r="GE40" s="59">
        <f ca="1">AVERAGE(OFFSET($GD$3,0,0,'Données projet'!$E$17+1,1))-AVERAGE(OFFSET($H$3,0,0,'Données projet'!$E$17+1,1))</f>
        <v>308.33954512886351</v>
      </c>
      <c r="GF40" s="59">
        <f t="shared" si="50"/>
        <v>408.79075392716277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5.0180393554679847</v>
      </c>
      <c r="GM40" s="21">
        <f>EXP(-LN(2)/25)*GM39+(1-EXP(-LN(2)/25))/(LN(2)/25)*Calculateur!GH40*Calculateur!GJ40*VLOOKUP('Données projet'!$B$17,Paramètres!$A$1:$I$89,3,0)*0.475*44/12</f>
        <v>0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5.0180393554679847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864.52978925723198</v>
      </c>
      <c r="S41" s="59">
        <f ca="1">AVERAGE(OFFSET($R$3,0,0,'Données projet'!$E$9+1,1))-AVERAGE(OFFSET($H$3,0,0,'Données projet'!$E$9+1,1))</f>
        <v>342.84342155097613</v>
      </c>
      <c r="T41" s="59">
        <f t="shared" si="34"/>
        <v>565.68976940602215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35.880682722417731</v>
      </c>
      <c r="AB41" s="21">
        <f>EXP(-LN(2)/2)*AB40+(1-EXP(-LN(2)/2))/(LN(2)/2)*V41*Y41*VLOOKUP('Données projet'!$B$9,Paramètres!$A$1:$I$89,3,0)*0.475*44/12</f>
        <v>6.0850914796712603</v>
      </c>
      <c r="AC41" s="22">
        <f t="shared" si="3"/>
        <v>41.965774202088994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10.6</v>
      </c>
      <c r="AI41" s="13">
        <f>IF('Données projet'!$A$62&gt;35,AI40+AH41-AQ40,IF(A41&lt;'Données projet'!$A$62,$AF$205^A41,IF(A41='Données projet'!$A$62,'Données projet'!$B$62,AI40+AH41-AQ40)))</f>
        <v>142.80000000000001</v>
      </c>
      <c r="AJ41" s="13">
        <f>AI41*VLOOKUP('Données projet'!$B$10,Paramètres!$A$1:$I$89,3,0)*VLOOKUP('Données projet'!$B$10,Paramètres!$A$1:$I$89,5,0)</f>
        <v>135.88848000000002</v>
      </c>
      <c r="AK41" s="13">
        <f t="shared" si="35"/>
        <v>35.353486228582142</v>
      </c>
      <c r="AL41" s="20">
        <f t="shared" si="4"/>
        <v>298.24642451478059</v>
      </c>
      <c r="AM41" s="59">
        <f t="shared" si="5"/>
        <v>544.43801780833928</v>
      </c>
      <c r="AN41" s="59">
        <f ca="1">AVERAGE(OFFSET($AM$3,0,0,'Données projet'!$E$10+1,1))-AVERAGE(OFFSET($H$3,0,0,'Données projet'!$E$10+1,1))</f>
        <v>320.33056209214476</v>
      </c>
      <c r="AO41" s="59">
        <f t="shared" si="36"/>
        <v>299.27200854723446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532.71050636831376</v>
      </c>
      <c r="BI41" s="59">
        <f ca="1">AVERAGE(OFFSET($BH$3,0,0,'Données projet'!$E$11+1,1))-AVERAGE(OFFSET($H$3,0,0,'Données projet'!$E$11+1,1))</f>
        <v>256.85706398254547</v>
      </c>
      <c r="BJ41" s="59">
        <f t="shared" si="38"/>
        <v>363.68094621014734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17.758464945940293</v>
      </c>
      <c r="BQ41" s="21">
        <f>EXP(-LN(2)/25)*BQ40+(1-EXP(-LN(2)/25))/(LN(2)/25)*Calculateur!BL41*Calculateur!BN41*VLOOKUP('Données projet'!$B$11,Paramètres!$A$1:$I$89,3,0)*0.475*44/12</f>
        <v>28.039249437690724</v>
      </c>
      <c r="BR41" s="21">
        <f>EXP(-LN(2)/2)*BR40+(1-EXP(-LN(2)/2))/(LN(2)/2)*BL41*BO41*VLOOKUP('Données projet'!$B$11,Paramètres!$A$1:$I$89,3,0)*0.475*44/12</f>
        <v>5.1846302015551045</v>
      </c>
      <c r="BS41" s="22">
        <f t="shared" si="9"/>
        <v>50.982344585186119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</v>
      </c>
      <c r="BY41" s="12">
        <f>IF('Données projet'!$A$114&gt;35,BY40+BX41-CG40,IF(A41&lt;'Données projet'!$A$114,$BV$205^A41,IF(A41='Données projet'!$A$114,'Données projet'!$B$114,BY40+BX41-CG40)))</f>
        <v>114</v>
      </c>
      <c r="BZ41" s="13">
        <f>BY41*VLOOKUP('Données projet'!$B$12,Paramètres!$A$1:$I$89,3,0)*VLOOKUP('Données projet'!$B$12,Paramètres!$A$1:$I$89,5,0)</f>
        <v>103.14719999999998</v>
      </c>
      <c r="CA41" s="13">
        <f t="shared" si="39"/>
        <v>27.710417026801451</v>
      </c>
      <c r="CB41" s="20">
        <f t="shared" si="10"/>
        <v>227.91034965501251</v>
      </c>
      <c r="CC41" s="59">
        <f t="shared" si="11"/>
        <v>474.10194294857126</v>
      </c>
      <c r="CD41" s="59">
        <f ca="1">AVERAGE(OFFSET($CC$3,0,0,'Données projet'!$E$12+1,1))-AVERAGE(OFFSET($H$3,0,0,'Données projet'!$E$12+1,1))</f>
        <v>357.68828740212223</v>
      </c>
      <c r="CE41" s="59">
        <f t="shared" si="40"/>
        <v>236.76626845829483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9.4</v>
      </c>
      <c r="CT41" s="12">
        <f>IF('Données projet'!$A$140&gt;35,CT40+CS41-DB40,IF(A41&lt;'Données projet'!$A$140,$CQ$205^A41,IF(A41='Données projet'!$A$140,'Données projet'!$B$140,CT40+CS41-DB40)))</f>
        <v>229.20000000000007</v>
      </c>
      <c r="CU41" s="17">
        <f>CT41*VLOOKUP('Données projet'!$B$13,Paramètres!$A$1:$I$89,3,0)*VLOOKUP('Données projet'!$B$13,Paramètres!$A$1:$I$89,5,0)</f>
        <v>150.17184000000003</v>
      </c>
      <c r="CV41" s="13">
        <f t="shared" si="41"/>
        <v>38.617634274887088</v>
      </c>
      <c r="CW41" s="20">
        <f t="shared" si="13"/>
        <v>328.80833436209502</v>
      </c>
      <c r="CX41" s="59">
        <f t="shared" si="14"/>
        <v>574.99992765565378</v>
      </c>
      <c r="CY41" s="59">
        <f ca="1">AVERAGE(OFFSET($CX$3,0,0,'Données projet'!$E$13+1,1))-AVERAGE(OFFSET($H$3,0,0,'Données projet'!$E$13+1,1))</f>
        <v>220.18342986563667</v>
      </c>
      <c r="CZ41" s="59">
        <f t="shared" si="42"/>
        <v>347.84382145531163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0.64337693044658828</v>
      </c>
      <c r="DI41" s="22">
        <f t="shared" si="15"/>
        <v>0.64337693044658828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3</v>
      </c>
      <c r="DO41" s="12">
        <f>IF('Données projet'!$A$166&gt;35,DO40+DN41-DW40,IF(A41&lt;'Données projet'!$A$166,$DL$205^A41,IF(A41='Données projet'!$A$166,'Données projet'!$B$166,DO40+DN41-DW40)))</f>
        <v>114</v>
      </c>
      <c r="DP41" s="17">
        <f>DO41*VLOOKUP('Données projet'!$B$14,Paramètres!$A$1:$I$89,3,0)*VLOOKUP('Données projet'!$B$14,Paramètres!$A$1:$I$89,5,0)</f>
        <v>115.59600000000002</v>
      </c>
      <c r="DQ41" s="13">
        <f t="shared" si="43"/>
        <v>30.645614103483879</v>
      </c>
      <c r="DR41" s="20">
        <f t="shared" si="16"/>
        <v>254.70414456356778</v>
      </c>
      <c r="DS41" s="59">
        <f t="shared" si="17"/>
        <v>500.89573785712651</v>
      </c>
      <c r="DT41" s="59">
        <f ca="1">AVERAGE(OFFSET($DS$3,0,0,'Données projet'!$E$14+1,1))-AVERAGE(OFFSET($H$3,0,0,'Données projet'!$E$14+1,1))</f>
        <v>392.49465607243178</v>
      </c>
      <c r="DU41" s="59">
        <f t="shared" si="44"/>
        <v>258.031856676031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10.6</v>
      </c>
      <c r="EJ41" s="12">
        <f>IF('Données projet'!$A$192&gt;35,EJ40+EI41-ER40,IF(A41&lt;'Données projet'!$A$192,$EG$205^A41,IF(A41='Données projet'!$A$192,'Données projet'!$B$192,EJ40+EI41-ER40)))</f>
        <v>142.80000000000001</v>
      </c>
      <c r="EK41" s="17">
        <f>EJ41*VLOOKUP('Données projet'!$B$15,Paramètres!$A$1:$I$89,3,0)*VLOOKUP('Données projet'!$B$15,Paramètres!$A$1:$I$89,5,0)</f>
        <v>122.52240000000002</v>
      </c>
      <c r="EL41" s="13">
        <f t="shared" si="45"/>
        <v>32.26259352430629</v>
      </c>
      <c r="EM41" s="20">
        <f t="shared" si="19"/>
        <v>269.58386372150017</v>
      </c>
      <c r="EN41" s="59">
        <f t="shared" si="20"/>
        <v>515.77545701505892</v>
      </c>
      <c r="EO41" s="59">
        <f ca="1">AVERAGE(OFFSET($EN$3,0,0,'Données projet'!$E$15+1,1))-AVERAGE(OFFSET($H$3,0,0,'Données projet'!$E$15+1,1))</f>
        <v>294.24530606293143</v>
      </c>
      <c r="EP41" s="59">
        <f t="shared" si="46"/>
        <v>275.88160405468193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10.6</v>
      </c>
      <c r="FE41" s="12">
        <f>IF('Données projet'!$A$218&gt;35,FE40+FD41-FM40,IF(A41&lt;'Données projet'!$A$218,$FB$205^A41,IF(A41='Données projet'!$A$218,'Données projet'!$B$218,FE40+FD41-FM40)))</f>
        <v>142.80000000000001</v>
      </c>
      <c r="FF41" s="17">
        <f>FE41*VLOOKUP('Données projet'!$B$16,Paramètres!$A$1:$I$89,3,0)*VLOOKUP('Données projet'!$B$16,Paramètres!$A$1:$I$89,5,0)</f>
        <v>104.70096000000001</v>
      </c>
      <c r="FG41" s="13">
        <f t="shared" si="47"/>
        <v>28.07892464469024</v>
      </c>
      <c r="FH41" s="20">
        <f t="shared" si="22"/>
        <v>231.25829908950217</v>
      </c>
      <c r="FI41" s="59">
        <f t="shared" si="23"/>
        <v>477.4498923830609</v>
      </c>
      <c r="FJ41" s="59">
        <f ca="1">AVERAGE(OFFSET($FI$3,0,0,'Données projet'!$E$16+1,1))-AVERAGE(OFFSET($H$3,0,0,'Données projet'!$E$16+1,1))</f>
        <v>214.31585175697521</v>
      </c>
      <c r="FK41" s="59">
        <f t="shared" si="48"/>
        <v>244.60383864821372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0</v>
      </c>
      <c r="FS41" s="21">
        <f>EXP(-LN(2)/2)*FS40+(1-EXP(-LN(2)/2))/(LN(2)/2)*FM41*FP41*VLOOKUP('Données projet'!$B$16,Paramètres!$A$1:$I$89,3,0)*0.475*44/12</f>
        <v>0</v>
      </c>
      <c r="FT41" s="22">
        <f t="shared" si="24"/>
        <v>0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9.4</v>
      </c>
      <c r="FZ41" s="12">
        <f>IF('Données projet'!$A$244&gt;35,FZ40+FY41-GH40,IF(A41&lt;'Données projet'!$A$244,$FW$205^A41,IF(A41='Données projet'!$A$244,'Données projet'!$B$244,FZ40+FY41-GH40)))</f>
        <v>229.20000000000007</v>
      </c>
      <c r="GA41" s="17">
        <f>FZ41*VLOOKUP('Données projet'!$B$17,Paramètres!$A$1:$I$89,3,0)*VLOOKUP('Données projet'!$B$17,Paramètres!$A$1:$I$89,5,0)</f>
        <v>182.35152000000008</v>
      </c>
      <c r="GB41" s="13">
        <f t="shared" si="49"/>
        <v>45.844960183911127</v>
      </c>
      <c r="GC41" s="20">
        <f t="shared" si="25"/>
        <v>397.44220298697866</v>
      </c>
      <c r="GD41" s="59">
        <f t="shared" si="26"/>
        <v>643.63379628053735</v>
      </c>
      <c r="GE41" s="59">
        <f ca="1">AVERAGE(OFFSET($GD$3,0,0,'Données projet'!$E$17+1,1))-AVERAGE(OFFSET($H$3,0,0,'Données projet'!$E$17+1,1))</f>
        <v>308.33954512886351</v>
      </c>
      <c r="GF41" s="59">
        <f t="shared" si="50"/>
        <v>408.79075392716277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4.9196386644090451</v>
      </c>
      <c r="GM41" s="21">
        <f>EXP(-LN(2)/25)*GM40+(1-EXP(-LN(2)/25))/(LN(2)/25)*Calculateur!GH41*Calculateur!GJ41*VLOOKUP('Données projet'!$B$17,Paramètres!$A$1:$I$89,3,0)*0.475*44/12</f>
        <v>0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4.9196386644090451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895.5093184409468</v>
      </c>
      <c r="S42" s="59">
        <f ca="1">AVERAGE(OFFSET($R$3,0,0,'Données projet'!$E$9+1,1))-AVERAGE(OFFSET($H$3,0,0,'Données projet'!$E$9+1,1))</f>
        <v>342.84342155097613</v>
      </c>
      <c r="T42" s="59">
        <f t="shared" si="34"/>
        <v>565.68976940602215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34.899523566490117</v>
      </c>
      <c r="AB42" s="21">
        <f>EXP(-LN(2)/2)*AB41+(1-EXP(-LN(2)/2))/(LN(2)/2)*V42*Y42*VLOOKUP('Données projet'!$B$9,Paramètres!$A$1:$I$89,3,0)*0.475*44/12</f>
        <v>4.3028094494160305</v>
      </c>
      <c r="AC42" s="22">
        <f t="shared" si="3"/>
        <v>39.202333015906149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10.6</v>
      </c>
      <c r="AI42" s="13">
        <f>IF('Données projet'!$A$62&gt;35,AI41+AH42-AQ41,IF(A42&lt;'Données projet'!$A$62,$AF$205^A42,IF(A42='Données projet'!$A$62,'Données projet'!$B$62,AI41+AH42-AQ41)))</f>
        <v>153.4</v>
      </c>
      <c r="AJ42" s="13">
        <f>AI42*VLOOKUP('Données projet'!$B$10,Paramètres!$A$1:$I$89,3,0)*VLOOKUP('Données projet'!$B$10,Paramètres!$A$1:$I$89,5,0)</f>
        <v>145.97543999999999</v>
      </c>
      <c r="AK42" s="13">
        <f t="shared" si="35"/>
        <v>37.662547285900686</v>
      </c>
      <c r="AL42" s="20">
        <f t="shared" si="4"/>
        <v>319.83616118961032</v>
      </c>
      <c r="AM42" s="59">
        <f t="shared" si="5"/>
        <v>566.84555827971747</v>
      </c>
      <c r="AN42" s="59">
        <f ca="1">AVERAGE(OFFSET($AM$3,0,0,'Données projet'!$E$10+1,1))-AVERAGE(OFFSET($H$3,0,0,'Données projet'!$E$10+1,1))</f>
        <v>320.33056209214476</v>
      </c>
      <c r="AO42" s="59">
        <f t="shared" si="36"/>
        <v>299.27200854723446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548.90434244399637</v>
      </c>
      <c r="BI42" s="59">
        <f ca="1">AVERAGE(OFFSET($BH$3,0,0,'Données projet'!$E$11+1,1))-AVERAGE(OFFSET($H$3,0,0,'Données projet'!$E$11+1,1))</f>
        <v>256.85706398254547</v>
      </c>
      <c r="BJ42" s="59">
        <f t="shared" si="38"/>
        <v>363.68094621014734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17.410232279944491</v>
      </c>
      <c r="BQ42" s="21">
        <f>EXP(-LN(2)/25)*BQ41+(1-EXP(-LN(2)/25))/(LN(2)/25)*Calculateur!BL42*Calculateur!BN42*VLOOKUP('Données projet'!$B$11,Paramètres!$A$1:$I$89,3,0)*0.475*44/12</f>
        <v>27.272514687297029</v>
      </c>
      <c r="BR42" s="21">
        <f>EXP(-LN(2)/2)*BR41+(1-EXP(-LN(2)/2))/(LN(2)/2)*BL42*BO42*VLOOKUP('Données projet'!$B$11,Paramètres!$A$1:$I$89,3,0)*0.475*44/12</f>
        <v>3.6660871734641911</v>
      </c>
      <c r="BS42" s="22">
        <f t="shared" si="9"/>
        <v>48.348834140705712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</v>
      </c>
      <c r="BY42" s="12">
        <f>IF('Données projet'!$A$114&gt;35,BY41+BX42-CG41,IF(A42&lt;'Données projet'!$A$114,$BV$205^A42,IF(A42='Données projet'!$A$114,'Données projet'!$B$114,BY41+BX42-CG41)))</f>
        <v>117</v>
      </c>
      <c r="BZ42" s="13">
        <f>BY42*VLOOKUP('Données projet'!$B$12,Paramètres!$A$1:$I$89,3,0)*VLOOKUP('Données projet'!$B$12,Paramètres!$A$1:$I$89,5,0)</f>
        <v>105.8616</v>
      </c>
      <c r="CA42" s="13">
        <f t="shared" si="39"/>
        <v>28.353779818951288</v>
      </c>
      <c r="CB42" s="20">
        <f t="shared" si="10"/>
        <v>233.75845318467347</v>
      </c>
      <c r="CC42" s="59">
        <f t="shared" si="11"/>
        <v>480.76785027478059</v>
      </c>
      <c r="CD42" s="59">
        <f ca="1">AVERAGE(OFFSET($CC$3,0,0,'Données projet'!$E$12+1,1))-AVERAGE(OFFSET($H$3,0,0,'Données projet'!$E$12+1,1))</f>
        <v>357.68828740212223</v>
      </c>
      <c r="CE42" s="59">
        <f t="shared" si="40"/>
        <v>236.76626845829483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9.4</v>
      </c>
      <c r="CT42" s="12">
        <f>IF('Données projet'!$A$140&gt;35,CT41+CS42-DB41,IF(A42&lt;'Données projet'!$A$140,$CQ$205^A42,IF(A42='Données projet'!$A$140,'Données projet'!$B$140,CT41+CS42-DB41)))</f>
        <v>238.60000000000008</v>
      </c>
      <c r="CU42" s="17">
        <f>CT42*VLOOKUP('Données projet'!$B$13,Paramètres!$A$1:$I$89,3,0)*VLOOKUP('Données projet'!$B$13,Paramètres!$A$1:$I$89,5,0)</f>
        <v>156.33072000000004</v>
      </c>
      <c r="CV42" s="13">
        <f t="shared" si="41"/>
        <v>40.013784897456162</v>
      </c>
      <c r="CW42" s="20">
        <f t="shared" si="13"/>
        <v>341.96667936306955</v>
      </c>
      <c r="CX42" s="59">
        <f t="shared" si="14"/>
        <v>588.97607645317669</v>
      </c>
      <c r="CY42" s="59">
        <f ca="1">AVERAGE(OFFSET($CX$3,0,0,'Données projet'!$E$13+1,1))-AVERAGE(OFFSET($H$3,0,0,'Données projet'!$E$13+1,1))</f>
        <v>220.18342986563667</v>
      </c>
      <c r="CZ42" s="59">
        <f t="shared" si="42"/>
        <v>347.84382145531163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0.45493619037776833</v>
      </c>
      <c r="DI42" s="22">
        <f t="shared" si="15"/>
        <v>0.45493619037776833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3</v>
      </c>
      <c r="DO42" s="12">
        <f>IF('Données projet'!$A$166&gt;35,DO41+DN42-DW41,IF(A42&lt;'Données projet'!$A$166,$DL$205^A42,IF(A42='Données projet'!$A$166,'Données projet'!$B$166,DO41+DN42-DW41)))</f>
        <v>117</v>
      </c>
      <c r="DP42" s="17">
        <f>DO42*VLOOKUP('Données projet'!$B$14,Paramètres!$A$1:$I$89,3,0)*VLOOKUP('Données projet'!$B$14,Paramètres!$A$1:$I$89,5,0)</f>
        <v>118.63800000000001</v>
      </c>
      <c r="DQ42" s="13">
        <f t="shared" si="43"/>
        <v>31.357124429643687</v>
      </c>
      <c r="DR42" s="20">
        <f t="shared" si="16"/>
        <v>261.24150838162944</v>
      </c>
      <c r="DS42" s="59">
        <f t="shared" si="17"/>
        <v>508.25090547173659</v>
      </c>
      <c r="DT42" s="59">
        <f ca="1">AVERAGE(OFFSET($DS$3,0,0,'Données projet'!$E$14+1,1))-AVERAGE(OFFSET($H$3,0,0,'Données projet'!$E$14+1,1))</f>
        <v>392.49465607243178</v>
      </c>
      <c r="DU42" s="59">
        <f t="shared" si="44"/>
        <v>258.031856676031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10.6</v>
      </c>
      <c r="EJ42" s="12">
        <f>IF('Données projet'!$A$192&gt;35,EJ41+EI42-ER41,IF(A42&lt;'Données projet'!$A$192,$EG$205^A42,IF(A42='Données projet'!$A$192,'Données projet'!$B$192,EJ41+EI42-ER41)))</f>
        <v>153.4</v>
      </c>
      <c r="EK42" s="17">
        <f>EJ42*VLOOKUP('Données projet'!$B$15,Paramètres!$A$1:$I$89,3,0)*VLOOKUP('Données projet'!$B$15,Paramètres!$A$1:$I$89,5,0)</f>
        <v>131.61720000000003</v>
      </c>
      <c r="EL42" s="13">
        <f t="shared" si="45"/>
        <v>34.3697774617943</v>
      </c>
      <c r="EM42" s="20">
        <f t="shared" si="19"/>
        <v>289.09398574595843</v>
      </c>
      <c r="EN42" s="59">
        <f t="shared" si="20"/>
        <v>536.10338283606552</v>
      </c>
      <c r="EO42" s="59">
        <f ca="1">AVERAGE(OFFSET($EN$3,0,0,'Données projet'!$E$15+1,1))-AVERAGE(OFFSET($H$3,0,0,'Données projet'!$E$15+1,1))</f>
        <v>294.24530606293143</v>
      </c>
      <c r="EP42" s="59">
        <f t="shared" si="46"/>
        <v>275.88160405468193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10.6</v>
      </c>
      <c r="FE42" s="12">
        <f>IF('Données projet'!$A$218&gt;35,FE41+FD42-FM41,IF(A42&lt;'Données projet'!$A$218,$FB$205^A42,IF(A42='Données projet'!$A$218,'Données projet'!$B$218,FE41+FD42-FM41)))</f>
        <v>153.4</v>
      </c>
      <c r="FF42" s="17">
        <f>FE42*VLOOKUP('Données projet'!$B$16,Paramètres!$A$1:$I$89,3,0)*VLOOKUP('Données projet'!$B$16,Paramètres!$A$1:$I$89,5,0)</f>
        <v>112.47288</v>
      </c>
      <c r="FG42" s="13">
        <f t="shared" si="47"/>
        <v>29.912858390551389</v>
      </c>
      <c r="FH42" s="20">
        <f t="shared" si="22"/>
        <v>247.98849436354362</v>
      </c>
      <c r="FI42" s="59">
        <f t="shared" si="23"/>
        <v>494.99789145365071</v>
      </c>
      <c r="FJ42" s="59">
        <f ca="1">AVERAGE(OFFSET($FI$3,0,0,'Données projet'!$E$16+1,1))-AVERAGE(OFFSET($H$3,0,0,'Données projet'!$E$16+1,1))</f>
        <v>214.31585175697521</v>
      </c>
      <c r="FK42" s="59">
        <f t="shared" si="48"/>
        <v>244.60383864821372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0</v>
      </c>
      <c r="FS42" s="21">
        <f>EXP(-LN(2)/2)*FS41+(1-EXP(-LN(2)/2))/(LN(2)/2)*FM42*FP42*VLOOKUP('Données projet'!$B$16,Paramètres!$A$1:$I$89,3,0)*0.475*44/12</f>
        <v>0</v>
      </c>
      <c r="FT42" s="22">
        <f t="shared" si="24"/>
        <v>0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9.4</v>
      </c>
      <c r="FZ42" s="12">
        <f>IF('Données projet'!$A$244&gt;35,FZ41+FY42-GH41,IF(A42&lt;'Données projet'!$A$244,$FW$205^A42,IF(A42='Données projet'!$A$244,'Données projet'!$B$244,FZ41+FY42-GH41)))</f>
        <v>238.60000000000008</v>
      </c>
      <c r="GA42" s="17">
        <f>FZ42*VLOOKUP('Données projet'!$B$17,Paramètres!$A$1:$I$89,3,0)*VLOOKUP('Données projet'!$B$17,Paramètres!$A$1:$I$89,5,0)</f>
        <v>189.83016000000009</v>
      </c>
      <c r="GB42" s="13">
        <f t="shared" si="49"/>
        <v>47.502401684517025</v>
      </c>
      <c r="GC42" s="20">
        <f t="shared" si="25"/>
        <v>413.35421160053392</v>
      </c>
      <c r="GD42" s="59">
        <f t="shared" si="26"/>
        <v>660.36360869064106</v>
      </c>
      <c r="GE42" s="59">
        <f ca="1">AVERAGE(OFFSET($GD$3,0,0,'Données projet'!$E$17+1,1))-AVERAGE(OFFSET($H$3,0,0,'Données projet'!$E$17+1,1))</f>
        <v>308.33954512886351</v>
      </c>
      <c r="GF42" s="59">
        <f t="shared" si="50"/>
        <v>408.79075392716277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4.8231675508832765</v>
      </c>
      <c r="GM42" s="21">
        <f>EXP(-LN(2)/25)*GM41+(1-EXP(-LN(2)/25))/(LN(2)/25)*Calculateur!GH42*Calculateur!GJ42*VLOOKUP('Données projet'!$B$17,Paramètres!$A$1:$I$89,3,0)*0.475*44/12</f>
        <v>0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4.8231675508832765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926.44574000449495</v>
      </c>
      <c r="S43" s="59">
        <f ca="1">AVERAGE(OFFSET($R$3,0,0,'Données projet'!$E$9+1,1))-AVERAGE(OFFSET($H$3,0,0,'Données projet'!$E$9+1,1))</f>
        <v>342.84342155097613</v>
      </c>
      <c r="T43" s="59">
        <f t="shared" si="34"/>
        <v>565.68976940602215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0.20625000000000002</v>
      </c>
      <c r="Y43" s="16">
        <f>IF(ISNA(VLOOKUP(A43,'Données projet'!$A$35:$I$55,7,0)),0%,VLOOKUP(A43,'Données projet'!$A$35:$I$55,7,0))</f>
        <v>0.31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44.913846307191498</v>
      </c>
      <c r="AB43" s="21">
        <f>EXP(-LN(2)/2)*AB42+(1-EXP(-LN(2)/2))/(LN(2)/2)*V43*Y43*VLOOKUP('Données projet'!$B$9,Paramètres!$A$1:$I$89,3,0)*0.475*44/12</f>
        <v>17.169272248197643</v>
      </c>
      <c r="AC43" s="22">
        <f t="shared" si="3"/>
        <v>62.083118555389142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164</v>
      </c>
      <c r="AG43" s="12">
        <f>VLOOKUP(A43,'Données projet'!$A$61:$I$81,9,0)</f>
        <v>10.6</v>
      </c>
      <c r="AH43" s="12">
        <f t="array" ref="AH43">INDEX(AG:AG,MIN(IF(ISNUMBER(AG43:AG239),ROW(AG43:AG239),"")))</f>
        <v>10.6</v>
      </c>
      <c r="AI43" s="13">
        <f>IF('Données projet'!$A$62&gt;35,AI42+AH43-AQ42,IF(A43&lt;'Données projet'!$A$62,$AF$205^A43,IF(A43='Données projet'!$A$62,'Données projet'!$B$62,AI42+AH43-AQ42)))</f>
        <v>164</v>
      </c>
      <c r="AJ43" s="13">
        <f>AI43*VLOOKUP('Données projet'!$B$10,Paramètres!$A$1:$I$89,3,0)*VLOOKUP('Données projet'!$B$10,Paramètres!$A$1:$I$89,5,0)</f>
        <v>156.0624</v>
      </c>
      <c r="AK43" s="13">
        <f t="shared" si="35"/>
        <v>39.953094851583842</v>
      </c>
      <c r="AL43" s="20">
        <f t="shared" si="4"/>
        <v>341.39365353317521</v>
      </c>
      <c r="AM43" s="59">
        <f t="shared" si="5"/>
        <v>589.20666735229599</v>
      </c>
      <c r="AN43" s="59">
        <f ca="1">AVERAGE(OFFSET($AM$3,0,0,'Données projet'!$E$10+1,1))-AVERAGE(OFFSET($H$3,0,0,'Données projet'!$E$10+1,1))</f>
        <v>320.33056209214476</v>
      </c>
      <c r="AO43" s="59">
        <f t="shared" si="36"/>
        <v>299.27200854723446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565.06656543947861</v>
      </c>
      <c r="BI43" s="59">
        <f ca="1">AVERAGE(OFFSET($BH$3,0,0,'Données projet'!$E$11+1,1))-AVERAGE(OFFSET($H$3,0,0,'Données projet'!$E$11+1,1))</f>
        <v>256.85706398254547</v>
      </c>
      <c r="BJ43" s="59">
        <f t="shared" si="38"/>
        <v>363.68094621014734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17.068828244127911</v>
      </c>
      <c r="BQ43" s="21">
        <f>EXP(-LN(2)/25)*BQ42+(1-EXP(-LN(2)/25))/(LN(2)/25)*Calculateur!BL43*Calculateur!BN43*VLOOKUP('Données projet'!$B$11,Paramètres!$A$1:$I$89,3,0)*0.475*44/12</f>
        <v>26.526746338973677</v>
      </c>
      <c r="BR43" s="21">
        <f>EXP(-LN(2)/2)*BR42+(1-EXP(-LN(2)/2))/(LN(2)/2)*BL43*BO43*VLOOKUP('Données projet'!$B$11,Paramètres!$A$1:$I$89,3,0)*0.475*44/12</f>
        <v>2.5923151007775527</v>
      </c>
      <c r="BS43" s="22">
        <f t="shared" si="9"/>
        <v>46.187889683879142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</v>
      </c>
      <c r="BY43" s="12">
        <f>IF('Données projet'!$A$114&gt;35,BY42+BX43-CG42,IF(A43&lt;'Données projet'!$A$114,$BV$205^A43,IF(A43='Données projet'!$A$114,'Données projet'!$B$114,BY42+BX43-CG42)))</f>
        <v>120</v>
      </c>
      <c r="BZ43" s="13">
        <f>BY43*VLOOKUP('Données projet'!$B$12,Paramètres!$A$1:$I$89,3,0)*VLOOKUP('Données projet'!$B$12,Paramètres!$A$1:$I$89,5,0)</f>
        <v>108.57599999999999</v>
      </c>
      <c r="CA43" s="13">
        <f t="shared" si="39"/>
        <v>28.995225061228002</v>
      </c>
      <c r="CB43" s="20">
        <f t="shared" si="10"/>
        <v>239.60321698163875</v>
      </c>
      <c r="CC43" s="59">
        <f t="shared" si="11"/>
        <v>487.41623080075954</v>
      </c>
      <c r="CD43" s="59">
        <f ca="1">AVERAGE(OFFSET($CC$3,0,0,'Données projet'!$E$12+1,1))-AVERAGE(OFFSET($H$3,0,0,'Données projet'!$E$12+1,1))</f>
        <v>357.68828740212223</v>
      </c>
      <c r="CE43" s="59">
        <f t="shared" si="40"/>
        <v>236.76626845829483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248</v>
      </c>
      <c r="CR43" s="12">
        <f>VLOOKUP(A43,'Données projet'!$A$139:$I$159,9,0)</f>
        <v>9.4</v>
      </c>
      <c r="CS43" s="12">
        <f t="array" ref="CS43">INDEX(CR:CR,MIN(IF(ISNUMBER(CR43:CR239),ROW(CR43:CR239),"")))</f>
        <v>9.4</v>
      </c>
      <c r="CT43" s="12">
        <f>IF('Données projet'!$A$140&gt;35,CT42+CS43-DB42,IF(A43&lt;'Données projet'!$A$140,$CQ$205^A43,IF(A43='Données projet'!$A$140,'Données projet'!$B$140,CT42+CS43-DB42)))</f>
        <v>248.00000000000009</v>
      </c>
      <c r="CU43" s="17">
        <f>CT43*VLOOKUP('Données projet'!$B$13,Paramètres!$A$1:$I$89,3,0)*VLOOKUP('Données projet'!$B$13,Paramètres!$A$1:$I$89,5,0)</f>
        <v>162.48960000000005</v>
      </c>
      <c r="CV43" s="13">
        <f t="shared" si="41"/>
        <v>41.403546033820696</v>
      </c>
      <c r="CW43" s="20">
        <f t="shared" si="13"/>
        <v>355.11389600890448</v>
      </c>
      <c r="CX43" s="59">
        <f t="shared" si="14"/>
        <v>602.92690982802526</v>
      </c>
      <c r="CY43" s="59">
        <f ca="1">AVERAGE(OFFSET($CX$3,0,0,'Données projet'!$E$13+1,1))-AVERAGE(OFFSET($H$3,0,0,'Données projet'!$E$13+1,1))</f>
        <v>220.18342986563667</v>
      </c>
      <c r="CZ43" s="59">
        <f t="shared" si="42"/>
        <v>347.84382145531163</v>
      </c>
      <c r="DA43" s="15">
        <f>IF(ISNA(VLOOKUP(A43,'Données projet'!$A$139:$I$159,3,0)),0,VLOOKUP(A43,'Données projet'!$A$139:$I$159,3,0))</f>
        <v>4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0.3216884652232942</v>
      </c>
      <c r="DI43" s="22">
        <f t="shared" si="15"/>
        <v>0.3216884652232942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3</v>
      </c>
      <c r="DO43" s="12">
        <f>IF('Données projet'!$A$166&gt;35,DO42+DN43-DW42,IF(A43&lt;'Données projet'!$A$166,$DL$205^A43,IF(A43='Données projet'!$A$166,'Données projet'!$B$166,DO42+DN43-DW42)))</f>
        <v>120</v>
      </c>
      <c r="DP43" s="17">
        <f>DO43*VLOOKUP('Données projet'!$B$14,Paramètres!$A$1:$I$89,3,0)*VLOOKUP('Données projet'!$B$14,Paramètres!$A$1:$I$89,5,0)</f>
        <v>121.68</v>
      </c>
      <c r="DQ43" s="13">
        <f t="shared" si="43"/>
        <v>32.066514091456284</v>
      </c>
      <c r="DR43" s="20">
        <f t="shared" si="16"/>
        <v>267.77517870928631</v>
      </c>
      <c r="DS43" s="59">
        <f t="shared" si="17"/>
        <v>515.58819252840715</v>
      </c>
      <c r="DT43" s="59">
        <f ca="1">AVERAGE(OFFSET($DS$3,0,0,'Données projet'!$E$14+1,1))-AVERAGE(OFFSET($H$3,0,0,'Données projet'!$E$14+1,1))</f>
        <v>392.49465607243178</v>
      </c>
      <c r="DU43" s="59">
        <f t="shared" si="44"/>
        <v>258.031856676031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164</v>
      </c>
      <c r="EH43" s="12">
        <f>VLOOKUP(A43,'Données projet'!$A$191:$I$211,9,0)</f>
        <v>10.6</v>
      </c>
      <c r="EI43" s="12">
        <f t="array" ref="EI43">INDEX(EH:EH,MIN(IF(ISNUMBER(EH43:EH239),ROW(EH43:EH239),"")))</f>
        <v>10.6</v>
      </c>
      <c r="EJ43" s="12">
        <f>IF('Données projet'!$A$192&gt;35,EJ42+EI43-ER42,IF(A43&lt;'Données projet'!$A$192,$EG$205^A43,IF(A43='Données projet'!$A$192,'Données projet'!$B$192,EJ42+EI43-ER42)))</f>
        <v>164</v>
      </c>
      <c r="EK43" s="17">
        <f>EJ43*VLOOKUP('Données projet'!$B$15,Paramètres!$A$1:$I$89,3,0)*VLOOKUP('Données projet'!$B$15,Paramètres!$A$1:$I$89,5,0)</f>
        <v>140.71200000000002</v>
      </c>
      <c r="EL43" s="13">
        <f t="shared" si="45"/>
        <v>36.46006650944075</v>
      </c>
      <c r="EM43" s="20">
        <f t="shared" si="19"/>
        <v>308.5746825039426</v>
      </c>
      <c r="EN43" s="59">
        <f t="shared" si="20"/>
        <v>556.38769632306344</v>
      </c>
      <c r="EO43" s="59">
        <f ca="1">AVERAGE(OFFSET($EN$3,0,0,'Données projet'!$E$15+1,1))-AVERAGE(OFFSET($H$3,0,0,'Données projet'!$E$15+1,1))</f>
        <v>294.24530606293143</v>
      </c>
      <c r="EP43" s="59">
        <f t="shared" si="46"/>
        <v>275.88160405468193</v>
      </c>
      <c r="EQ43" s="15">
        <f>IF(ISNA(VLOOKUP(A43,'Données projet'!$A$191:$I$211,3,0)),0,VLOOKUP(A43,'Données projet'!$A$191:$I$211,3,0))</f>
        <v>4</v>
      </c>
      <c r="ER43" s="15">
        <f>IF(ISNA(VLOOKUP(A43,'Données projet'!$A$191:$I$211,4,0)),0,VLOOKUP(A43,'Données projet'!$A$191:$I$211,4,0))</f>
        <v>28</v>
      </c>
      <c r="ES43" s="16">
        <f>IF(ISNA(VLOOKUP(A43,'Données projet'!$A$191:$I$211,5,0)),0%,VLOOKUP(A43,'Données projet'!$A$191:$I$211,5,0)*VLOOKUP('Données projet'!$B$15,Paramètres!$A$1:$I$89,7,0))</f>
        <v>0.318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8.4453868865320718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8.4453868865320718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164</v>
      </c>
      <c r="FC43" s="12">
        <f>VLOOKUP(A43,'Données projet'!$A$217:$I$237,9,0)</f>
        <v>10.6</v>
      </c>
      <c r="FD43" s="12">
        <f t="array" ref="FD43">INDEX(FC:FC,MIN(IF(ISNUMBER(FC43:FC239),ROW(FC43:FC239),"")))</f>
        <v>10.6</v>
      </c>
      <c r="FE43" s="12">
        <f>IF('Données projet'!$A$218&gt;35,FE42+FD43-FM42,IF(A43&lt;'Données projet'!$A$218,$FB$205^A43,IF(A43='Données projet'!$A$218,'Données projet'!$B$218,FE42+FD43-FM42)))</f>
        <v>164</v>
      </c>
      <c r="FF43" s="17">
        <f>FE43*VLOOKUP('Données projet'!$B$16,Paramètres!$A$1:$I$89,3,0)*VLOOKUP('Données projet'!$B$16,Paramètres!$A$1:$I$89,5,0)</f>
        <v>120.2448</v>
      </c>
      <c r="FG43" s="13">
        <f t="shared" si="47"/>
        <v>31.732088100347291</v>
      </c>
      <c r="FH43" s="20">
        <f t="shared" si="22"/>
        <v>264.69308010810488</v>
      </c>
      <c r="FI43" s="59">
        <f t="shared" si="23"/>
        <v>512.50609392722572</v>
      </c>
      <c r="FJ43" s="59">
        <f ca="1">AVERAGE(OFFSET($FI$3,0,0,'Données projet'!$E$16+1,1))-AVERAGE(OFFSET($H$3,0,0,'Données projet'!$E$16+1,1))</f>
        <v>214.31585175697521</v>
      </c>
      <c r="FK43" s="59">
        <f t="shared" si="48"/>
        <v>244.60383864821372</v>
      </c>
      <c r="FL43" s="15">
        <f>IF(ISNA(VLOOKUP(A43,'Données projet'!$A$217:$I$237,3,0)),0,VLOOKUP(A43,'Données projet'!$A$217:$I$237,3,0))</f>
        <v>4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0.25800000000000001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5.85527509354419</v>
      </c>
      <c r="FR43" s="21">
        <f>EXP(-LN(2)/25)*FR42+(1-EXP(-LN(2)/25))/(LN(2)/25)*Calculateur!FM43*Calculateur!FO43*VLOOKUP('Données projet'!$B$16,Paramètres!$A$1:$I$89,3,0)*0.475*44/12</f>
        <v>0</v>
      </c>
      <c r="FS43" s="21">
        <f>EXP(-LN(2)/2)*FS42+(1-EXP(-LN(2)/2))/(LN(2)/2)*FM43*FP43*VLOOKUP('Données projet'!$B$16,Paramètres!$A$1:$I$89,3,0)*0.475*44/12</f>
        <v>0</v>
      </c>
      <c r="FT43" s="22">
        <f t="shared" si="24"/>
        <v>5.85527509354419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248</v>
      </c>
      <c r="FX43" s="12">
        <f>VLOOKUP(A43,'Données projet'!$A$243:$I$263,9,0)</f>
        <v>9.4</v>
      </c>
      <c r="FY43" s="12">
        <f t="array" ref="FY43">INDEX(FX:FX,MIN(IF(ISNUMBER(FX43:FX239),ROW(FX43:FX239),"")))</f>
        <v>9.4</v>
      </c>
      <c r="FZ43" s="12">
        <f>IF('Données projet'!$A$244&gt;35,FZ42+FY43-GH42,IF(A43&lt;'Données projet'!$A$244,$FW$205^A43,IF(A43='Données projet'!$A$244,'Données projet'!$B$244,FZ42+FY43-GH42)))</f>
        <v>248.00000000000009</v>
      </c>
      <c r="GA43" s="17">
        <f>FZ43*VLOOKUP('Données projet'!$B$17,Paramètres!$A$1:$I$89,3,0)*VLOOKUP('Données projet'!$B$17,Paramètres!$A$1:$I$89,5,0)</f>
        <v>197.30880000000008</v>
      </c>
      <c r="GB43" s="13">
        <f t="shared" si="49"/>
        <v>49.152257900676119</v>
      </c>
      <c r="GC43" s="20">
        <f t="shared" si="25"/>
        <v>429.25300917701105</v>
      </c>
      <c r="GD43" s="59">
        <f t="shared" si="26"/>
        <v>677.06602299613189</v>
      </c>
      <c r="GE43" s="59">
        <f ca="1">AVERAGE(OFFSET($GD$3,0,0,'Données projet'!$E$17+1,1))-AVERAGE(OFFSET($H$3,0,0,'Données projet'!$E$17+1,1))</f>
        <v>308.33954512886351</v>
      </c>
      <c r="GF43" s="59">
        <f t="shared" si="50"/>
        <v>408.79075392716277</v>
      </c>
      <c r="GG43" s="15">
        <f>IF(ISNA(VLOOKUP(A43,'Données projet'!$A$243:$I$263,3,0)),0,VLOOKUP(A43,'Données projet'!$A$243:$I$263,3,0))</f>
        <v>4</v>
      </c>
      <c r="GH43" s="15">
        <f>IF(ISNA(VLOOKUP(A43,'Données projet'!$A$243:$I$263,4,0)),0,VLOOKUP(A43,'Données projet'!$A$243:$I$263,4,0))</f>
        <v>28</v>
      </c>
      <c r="GI43" s="16">
        <f>IF(ISNA(VLOOKUP(A43,'Données projet'!$A$243:$I$263,5,0)),0%,VLOOKUP(A43,'Données projet'!$A$243:$I$263,5,0)*VLOOKUP('Données projet'!$B$17,Paramètres!$A$1:$I$89,7,0))</f>
        <v>0.318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12.559765108200098</v>
      </c>
      <c r="GM43" s="21">
        <f>EXP(-LN(2)/25)*GM42+(1-EXP(-LN(2)/25))/(LN(2)/25)*Calculateur!GH43*Calculateur!GJ43*VLOOKUP('Données projet'!$B$17,Paramètres!$A$1:$I$89,3,0)*0.475*44/12</f>
        <v>0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12.559765108200098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869.29834807604141</v>
      </c>
      <c r="S44" s="59">
        <f ca="1">AVERAGE(OFFSET($R$3,0,0,'Données projet'!$E$9+1,1))-AVERAGE(OFFSET($H$3,0,0,'Données projet'!$E$9+1,1))</f>
        <v>342.84342155097613</v>
      </c>
      <c r="T44" s="59">
        <f t="shared" si="34"/>
        <v>565.68976940602215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43.68567481800482</v>
      </c>
      <c r="AB44" s="21">
        <f>EXP(-LN(2)/2)*AB43+(1-EXP(-LN(2)/2))/(LN(2)/2)*V44*Y44*VLOOKUP('Données projet'!$B$9,Paramètres!$A$1:$I$89,3,0)*0.475*44/12</f>
        <v>12.140508834738554</v>
      </c>
      <c r="AC44" s="22">
        <f t="shared" si="3"/>
        <v>55.826183652743374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10.8</v>
      </c>
      <c r="AI44" s="13">
        <f>IF('Données projet'!$A$62&gt;35,AI43+AH44-AQ43,IF(A44&lt;'Données projet'!$A$62,$AF$205^A44,IF(A44='Données projet'!$A$62,'Données projet'!$B$62,AI43+AH44-AQ43)))</f>
        <v>146.80000000000001</v>
      </c>
      <c r="AJ44" s="13">
        <f>AI44*VLOOKUP('Données projet'!$B$10,Paramètres!$A$1:$I$89,3,0)*VLOOKUP('Données projet'!$B$10,Paramètres!$A$1:$I$89,5,0)</f>
        <v>139.69488000000001</v>
      </c>
      <c r="AK44" s="13">
        <f t="shared" si="35"/>
        <v>36.227097914301027</v>
      </c>
      <c r="AL44" s="20">
        <f t="shared" si="4"/>
        <v>306.39744486740761</v>
      </c>
      <c r="AM44" s="59">
        <f t="shared" si="5"/>
        <v>555.00013446191156</v>
      </c>
      <c r="AN44" s="59">
        <f ca="1">AVERAGE(OFFSET($AM$3,0,0,'Données projet'!$E$10+1,1))-AVERAGE(OFFSET($H$3,0,0,'Données projet'!$E$10+1,1))</f>
        <v>320.33056209214476</v>
      </c>
      <c r="AO44" s="59">
        <f t="shared" si="36"/>
        <v>299.27200854723446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581.19838383351157</v>
      </c>
      <c r="BI44" s="59">
        <f ca="1">AVERAGE(OFFSET($BH$3,0,0,'Données projet'!$E$11+1,1))-AVERAGE(OFFSET($H$3,0,0,'Données projet'!$E$11+1,1))</f>
        <v>256.85706398254547</v>
      </c>
      <c r="BJ44" s="59">
        <f t="shared" si="38"/>
        <v>363.68094621014734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16.734118933217793</v>
      </c>
      <c r="BQ44" s="21">
        <f>EXP(-LN(2)/25)*BQ43+(1-EXP(-LN(2)/25))/(LN(2)/25)*Calculateur!BL44*Calculateur!BN44*VLOOKUP('Données projet'!$B$11,Paramètres!$A$1:$I$89,3,0)*0.475*44/12</f>
        <v>25.801371065353479</v>
      </c>
      <c r="BR44" s="21">
        <f>EXP(-LN(2)/2)*BR43+(1-EXP(-LN(2)/2))/(LN(2)/2)*BL44*BO44*VLOOKUP('Données projet'!$B$11,Paramètres!$A$1:$I$89,3,0)*0.475*44/12</f>
        <v>1.833043586732096</v>
      </c>
      <c r="BS44" s="22">
        <f t="shared" si="9"/>
        <v>44.368533585303368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</v>
      </c>
      <c r="BY44" s="12">
        <f>IF('Données projet'!$A$114&gt;35,BY43+BX44-CG43,IF(A44&lt;'Données projet'!$A$114,$BV$205^A44,IF(A44='Données projet'!$A$114,'Données projet'!$B$114,BY43+BX44-CG43)))</f>
        <v>123</v>
      </c>
      <c r="BZ44" s="13">
        <f>BY44*VLOOKUP('Données projet'!$B$12,Paramètres!$A$1:$I$89,3,0)*VLOOKUP('Données projet'!$B$12,Paramètres!$A$1:$I$89,5,0)</f>
        <v>111.29039999999999</v>
      </c>
      <c r="CA44" s="13">
        <f t="shared" si="39"/>
        <v>29.634806205918245</v>
      </c>
      <c r="CB44" s="20">
        <f t="shared" si="10"/>
        <v>245.44473414197429</v>
      </c>
      <c r="CC44" s="59">
        <f t="shared" si="11"/>
        <v>494.04742373647827</v>
      </c>
      <c r="CD44" s="59">
        <f ca="1">AVERAGE(OFFSET($CC$3,0,0,'Données projet'!$E$12+1,1))-AVERAGE(OFFSET($H$3,0,0,'Données projet'!$E$12+1,1))</f>
        <v>357.68828740212223</v>
      </c>
      <c r="CE44" s="59">
        <f t="shared" si="40"/>
        <v>236.76626845829483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8.1999999999999993</v>
      </c>
      <c r="CT44" s="12">
        <f>IF('Données projet'!$A$140&gt;35,CT43+CS44-DB43,IF(A44&lt;'Données projet'!$A$140,$CQ$205^A44,IF(A44='Données projet'!$A$140,'Données projet'!$B$140,CT43+CS44-DB43)))</f>
        <v>228.2000000000001</v>
      </c>
      <c r="CU44" s="17">
        <f>CT44*VLOOKUP('Données projet'!$B$13,Paramètres!$A$1:$I$89,3,0)*VLOOKUP('Données projet'!$B$13,Paramètres!$A$1:$I$89,5,0)</f>
        <v>149.51664000000005</v>
      </c>
      <c r="CV44" s="13">
        <f t="shared" si="41"/>
        <v>38.468719700845476</v>
      </c>
      <c r="CW44" s="20">
        <f t="shared" si="13"/>
        <v>327.40783481230591</v>
      </c>
      <c r="CX44" s="59">
        <f t="shared" si="14"/>
        <v>576.01052440680985</v>
      </c>
      <c r="CY44" s="59">
        <f ca="1">AVERAGE(OFFSET($CX$3,0,0,'Données projet'!$E$13+1,1))-AVERAGE(OFFSET($H$3,0,0,'Données projet'!$E$13+1,1))</f>
        <v>220.18342986563667</v>
      </c>
      <c r="CZ44" s="59">
        <f t="shared" si="42"/>
        <v>347.84382145531163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0.2274680951888842</v>
      </c>
      <c r="DI44" s="22">
        <f t="shared" si="15"/>
        <v>0.2274680951888842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3</v>
      </c>
      <c r="DO44" s="12">
        <f>IF('Données projet'!$A$166&gt;35,DO43+DN44-DW43,IF(A44&lt;'Données projet'!$A$166,$DL$205^A44,IF(A44='Données projet'!$A$166,'Données projet'!$B$166,DO43+DN44-DW43)))</f>
        <v>123</v>
      </c>
      <c r="DP44" s="17">
        <f>DO44*VLOOKUP('Données projet'!$B$14,Paramètres!$A$1:$I$89,3,0)*VLOOKUP('Données projet'!$B$14,Paramètres!$A$1:$I$89,5,0)</f>
        <v>124.72200000000001</v>
      </c>
      <c r="DQ44" s="13">
        <f t="shared" si="43"/>
        <v>32.773842203086019</v>
      </c>
      <c r="DR44" s="20">
        <f t="shared" si="16"/>
        <v>274.3052585037081</v>
      </c>
      <c r="DS44" s="59">
        <f t="shared" si="17"/>
        <v>522.90794809821205</v>
      </c>
      <c r="DT44" s="59">
        <f ca="1">AVERAGE(OFFSET($DS$3,0,0,'Données projet'!$E$14+1,1))-AVERAGE(OFFSET($H$3,0,0,'Données projet'!$E$14+1,1))</f>
        <v>392.49465607243178</v>
      </c>
      <c r="DU44" s="59">
        <f t="shared" si="44"/>
        <v>258.031856676031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10.8</v>
      </c>
      <c r="EJ44" s="12">
        <f>IF('Données projet'!$A$192&gt;35,EJ43+EI44-ER43,IF(A44&lt;'Données projet'!$A$192,$EG$205^A44,IF(A44='Données projet'!$A$192,'Données projet'!$B$192,EJ43+EI44-ER43)))</f>
        <v>146.80000000000001</v>
      </c>
      <c r="EK44" s="17">
        <f>EJ44*VLOOKUP('Données projet'!$B$15,Paramètres!$A$1:$I$89,3,0)*VLOOKUP('Données projet'!$B$15,Paramètres!$A$1:$I$89,5,0)</f>
        <v>125.95440000000002</v>
      </c>
      <c r="EL44" s="13">
        <f t="shared" si="45"/>
        <v>33.059826887154777</v>
      </c>
      <c r="EM44" s="20">
        <f t="shared" si="19"/>
        <v>276.94977849512787</v>
      </c>
      <c r="EN44" s="59">
        <f t="shared" si="20"/>
        <v>525.55246808963182</v>
      </c>
      <c r="EO44" s="59">
        <f ca="1">AVERAGE(OFFSET($EN$3,0,0,'Données projet'!$E$15+1,1))-AVERAGE(OFFSET($H$3,0,0,'Données projet'!$E$15+1,1))</f>
        <v>294.24530606293143</v>
      </c>
      <c r="EP44" s="59">
        <f t="shared" si="46"/>
        <v>275.88160405468193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8.2797780008645425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8.2797780008645425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10.8</v>
      </c>
      <c r="FE44" s="12">
        <f>IF('Données projet'!$A$218&gt;35,FE43+FD44-FM43,IF(A44&lt;'Données projet'!$A$218,$FB$205^A44,IF(A44='Données projet'!$A$218,'Données projet'!$B$218,FE43+FD44-FM43)))</f>
        <v>146.80000000000001</v>
      </c>
      <c r="FF44" s="17">
        <f>FE44*VLOOKUP('Données projet'!$B$16,Paramètres!$A$1:$I$89,3,0)*VLOOKUP('Données projet'!$B$16,Paramètres!$A$1:$I$89,5,0)</f>
        <v>107.63376</v>
      </c>
      <c r="FG44" s="13">
        <f t="shared" si="47"/>
        <v>28.772776349538169</v>
      </c>
      <c r="FH44" s="20">
        <f t="shared" si="22"/>
        <v>237.57471747544562</v>
      </c>
      <c r="FI44" s="59">
        <f t="shared" si="23"/>
        <v>486.1774070699496</v>
      </c>
      <c r="FJ44" s="59">
        <f ca="1">AVERAGE(OFFSET($FI$3,0,0,'Données projet'!$E$16+1,1))-AVERAGE(OFFSET($H$3,0,0,'Données projet'!$E$16+1,1))</f>
        <v>214.31585175697521</v>
      </c>
      <c r="FK44" s="59">
        <f t="shared" si="48"/>
        <v>244.60383864821372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5.7404567203249526</v>
      </c>
      <c r="FR44" s="21">
        <f>EXP(-LN(2)/25)*FR43+(1-EXP(-LN(2)/25))/(LN(2)/25)*Calculateur!FM44*Calculateur!FO44*VLOOKUP('Données projet'!$B$16,Paramètres!$A$1:$I$89,3,0)*0.475*44/12</f>
        <v>0</v>
      </c>
      <c r="FS44" s="21">
        <f>EXP(-LN(2)/2)*FS43+(1-EXP(-LN(2)/2))/(LN(2)/2)*FM44*FP44*VLOOKUP('Données projet'!$B$16,Paramètres!$A$1:$I$89,3,0)*0.475*44/12</f>
        <v>0</v>
      </c>
      <c r="FT44" s="22">
        <f t="shared" si="24"/>
        <v>5.7404567203249526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8.1999999999999993</v>
      </c>
      <c r="FZ44" s="12">
        <f>IF('Données projet'!$A$244&gt;35,FZ43+FY44-GH43,IF(A44&lt;'Données projet'!$A$244,$FW$205^A44,IF(A44='Données projet'!$A$244,'Données projet'!$B$244,FZ43+FY44-GH43)))</f>
        <v>228.2000000000001</v>
      </c>
      <c r="GA44" s="17">
        <f>FZ44*VLOOKUP('Données projet'!$B$17,Paramètres!$A$1:$I$89,3,0)*VLOOKUP('Données projet'!$B$17,Paramètres!$A$1:$I$89,5,0)</f>
        <v>181.55592000000007</v>
      </c>
      <c r="GB44" s="13">
        <f t="shared" si="49"/>
        <v>45.668176109849284</v>
      </c>
      <c r="GC44" s="20">
        <f t="shared" si="25"/>
        <v>395.7486340579876</v>
      </c>
      <c r="GD44" s="59">
        <f t="shared" si="26"/>
        <v>644.3513236524916</v>
      </c>
      <c r="GE44" s="59">
        <f ca="1">AVERAGE(OFFSET($GD$3,0,0,'Données projet'!$E$17+1,1))-AVERAGE(OFFSET($H$3,0,0,'Données projet'!$E$17+1,1))</f>
        <v>308.33954512886351</v>
      </c>
      <c r="GF44" s="59">
        <f t="shared" si="50"/>
        <v>408.79075392716277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12.313475775128579</v>
      </c>
      <c r="GM44" s="21">
        <f>EXP(-LN(2)/25)*GM43+(1-EXP(-LN(2)/25))/(LN(2)/25)*Calculateur!GH44*Calculateur!GJ44*VLOOKUP('Données projet'!$B$17,Paramètres!$A$1:$I$89,3,0)*0.475*44/12</f>
        <v>0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12.313475775128579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896.936479452046</v>
      </c>
      <c r="S45" s="59">
        <f ca="1">AVERAGE(OFFSET($R$3,0,0,'Données projet'!$E$9+1,1))-AVERAGE(OFFSET($H$3,0,0,'Données projet'!$E$9+1,1))</f>
        <v>342.84342155097613</v>
      </c>
      <c r="T45" s="59">
        <f t="shared" si="34"/>
        <v>565.68976940602215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42.491087742776685</v>
      </c>
      <c r="AB45" s="21">
        <f>EXP(-LN(2)/2)*AB44+(1-EXP(-LN(2)/2))/(LN(2)/2)*V45*Y45*VLOOKUP('Données projet'!$B$9,Paramètres!$A$1:$I$89,3,0)*0.475*44/12</f>
        <v>8.5846361240988234</v>
      </c>
      <c r="AC45" s="22">
        <f t="shared" si="3"/>
        <v>51.075723866875506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10.8</v>
      </c>
      <c r="AI45" s="13">
        <f>IF('Données projet'!$A$62&gt;35,AI44+AH45-AQ44,IF(A45&lt;'Données projet'!$A$62,$AF$205^A45,IF(A45='Données projet'!$A$62,'Données projet'!$B$62,AI44+AH45-AQ44)))</f>
        <v>157.60000000000002</v>
      </c>
      <c r="AJ45" s="13">
        <f>AI45*VLOOKUP('Données projet'!$B$10,Paramètres!$A$1:$I$89,3,0)*VLOOKUP('Données projet'!$B$10,Paramètres!$A$1:$I$89,5,0)</f>
        <v>149.97216000000003</v>
      </c>
      <c r="AK45" s="13">
        <f t="shared" si="35"/>
        <v>38.572258812607991</v>
      </c>
      <c r="AL45" s="20">
        <f t="shared" si="4"/>
        <v>328.381529431959</v>
      </c>
      <c r="AM45" s="59">
        <f t="shared" si="5"/>
        <v>577.7601956925937</v>
      </c>
      <c r="AN45" s="59">
        <f ca="1">AVERAGE(OFFSET($AM$3,0,0,'Données projet'!$E$10+1,1))-AVERAGE(OFFSET($H$3,0,0,'Données projet'!$E$10+1,1))</f>
        <v>320.33056209214476</v>
      </c>
      <c r="AO45" s="59">
        <f t="shared" si="36"/>
        <v>299.27200854723446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597.30090579760997</v>
      </c>
      <c r="BI45" s="59">
        <f ca="1">AVERAGE(OFFSET($BH$3,0,0,'Données projet'!$E$11+1,1))-AVERAGE(OFFSET($H$3,0,0,'Données projet'!$E$11+1,1))</f>
        <v>256.85706398254547</v>
      </c>
      <c r="BJ45" s="59">
        <f t="shared" si="38"/>
        <v>363.68094621014734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0.36</v>
      </c>
      <c r="BN45" s="16">
        <f>IF(ISNA(VLOOKUP(A45,'Données projet'!$A$87:$I$107,6,0)),0%,VLOOKUP(A45,'Données projet'!$A$87:$I$107,6,0)*VLOOKUP('Données projet'!$B$11,Paramètres!$A$1:$I$89,7,0))</f>
        <v>0.12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36.371935498827966</v>
      </c>
      <c r="BQ45" s="21">
        <f>EXP(-LN(2)/25)*BQ44+(1-EXP(-LN(2)/25))/(LN(2)/25)*Calculateur!BL45*Calculateur!BN45*VLOOKUP('Données projet'!$B$11,Paramètres!$A$1:$I$89,3,0)*0.475*44/12</f>
        <v>31.724947493191777</v>
      </c>
      <c r="BR45" s="21">
        <f>EXP(-LN(2)/2)*BR44+(1-EXP(-LN(2)/2))/(LN(2)/2)*BL45*BO45*VLOOKUP('Données projet'!$B$11,Paramètres!$A$1:$I$89,3,0)*0.475*44/12</f>
        <v>10.763431129386074</v>
      </c>
      <c r="BS45" s="22">
        <f t="shared" si="9"/>
        <v>78.860314121405821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126</v>
      </c>
      <c r="BW45" s="12">
        <f>VLOOKUP(A45,'Données projet'!$A$113:$I$133,9,0)</f>
        <v>3</v>
      </c>
      <c r="BX45" s="12">
        <f t="array" ref="BX45">INDEX(BW:BW,MIN(IF(ISNUMBER(BW45:BW241),ROW(BW45:BW241),"")))</f>
        <v>3</v>
      </c>
      <c r="BY45" s="12">
        <f>IF('Données projet'!$A$114&gt;35,BY44+BX45-CG44,IF(A45&lt;'Données projet'!$A$114,$BV$205^A45,IF(A45='Données projet'!$A$114,'Données projet'!$B$114,BY44+BX45-CG44)))</f>
        <v>126</v>
      </c>
      <c r="BZ45" s="13">
        <f>BY45*VLOOKUP('Données projet'!$B$12,Paramètres!$A$1:$I$89,3,0)*VLOOKUP('Données projet'!$B$12,Paramètres!$A$1:$I$89,5,0)</f>
        <v>114.0048</v>
      </c>
      <c r="CA45" s="13">
        <f t="shared" si="39"/>
        <v>30.272573949217303</v>
      </c>
      <c r="CB45" s="20">
        <f t="shared" si="10"/>
        <v>251.28309296155342</v>
      </c>
      <c r="CC45" s="59">
        <f t="shared" si="11"/>
        <v>500.66175922218815</v>
      </c>
      <c r="CD45" s="59">
        <f ca="1">AVERAGE(OFFSET($CC$3,0,0,'Données projet'!$E$12+1,1))-AVERAGE(OFFSET($H$3,0,0,'Données projet'!$E$12+1,1))</f>
        <v>357.68828740212223</v>
      </c>
      <c r="CE45" s="59">
        <f t="shared" si="40"/>
        <v>236.76626845829483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30</v>
      </c>
      <c r="CH45" s="16">
        <f>IF(ISNA(VLOOKUP(A45,'Données projet'!$A$113:$I$133,5,0)),0%,VLOOKUP(A45,'Données projet'!$A$113:$I$133,5,0)*VLOOKUP('Données projet'!$B$12,Paramètres!$A$1:$I$89,7,0))</f>
        <v>8.6000000000000007E-2</v>
      </c>
      <c r="CI45" s="16">
        <f>IF(ISNA(VLOOKUP(A45,'Données projet'!$A$113:$I$133,6,0)),0%,VLOOKUP(A45,'Données projet'!$A$113:$I$133,6,0)*VLOOKUP('Données projet'!$B$12,Paramètres!$A$1:$I$89,7,0))</f>
        <v>8.6000000000000007E-2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2.580592366455646</v>
      </c>
      <c r="CL45" s="21">
        <f>EXP(-LN(2)/25)*CL44+(1-EXP(-LN(2)/25))/(LN(2)/25)*Calculateur!CG45*Calculateur!CI45*VLOOKUP('Données projet'!$B$12,Paramètres!$A$1:$I$89,3,0)*0.475*44/12</f>
        <v>2.5704315910261308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5.1510239574817769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8.1999999999999993</v>
      </c>
      <c r="CT45" s="12">
        <f>IF('Données projet'!$A$140&gt;35,CT44+CS45-DB44,IF(A45&lt;'Données projet'!$A$140,$CQ$205^A45,IF(A45='Données projet'!$A$140,'Données projet'!$B$140,CT44+CS45-DB44)))</f>
        <v>236.40000000000009</v>
      </c>
      <c r="CU45" s="17">
        <f>CT45*VLOOKUP('Données projet'!$B$13,Paramètres!$A$1:$I$89,3,0)*VLOOKUP('Données projet'!$B$13,Paramètres!$A$1:$I$89,5,0)</f>
        <v>154.88928000000007</v>
      </c>
      <c r="CV45" s="13">
        <f t="shared" si="41"/>
        <v>39.687609366432291</v>
      </c>
      <c r="CW45" s="20">
        <f t="shared" si="13"/>
        <v>338.88808231320303</v>
      </c>
      <c r="CX45" s="59">
        <f t="shared" si="14"/>
        <v>588.26674857383773</v>
      </c>
      <c r="CY45" s="59">
        <f ca="1">AVERAGE(OFFSET($CX$3,0,0,'Données projet'!$E$13+1,1))-AVERAGE(OFFSET($H$3,0,0,'Données projet'!$E$13+1,1))</f>
        <v>220.18342986563667</v>
      </c>
      <c r="CZ45" s="59">
        <f t="shared" si="42"/>
        <v>347.84382145531163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0.1608442326116471</v>
      </c>
      <c r="DI45" s="22">
        <f t="shared" si="15"/>
        <v>0.1608442326116471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126</v>
      </c>
      <c r="DM45" s="12">
        <f>VLOOKUP(A45,'Données projet'!$A$165:$I$185,9,0)</f>
        <v>3</v>
      </c>
      <c r="DN45" s="12">
        <f t="array" ref="DN45">INDEX(DM:DM,MIN(IF(ISNUMBER(DM45:DM241),ROW(DM45:DM241),"")))</f>
        <v>3</v>
      </c>
      <c r="DO45" s="12">
        <f>IF('Données projet'!$A$166&gt;35,DO44+DN45-DW44,IF(A45&lt;'Données projet'!$A$166,$DL$205^A45,IF(A45='Données projet'!$A$166,'Données projet'!$B$166,DO44+DN45-DW44)))</f>
        <v>126</v>
      </c>
      <c r="DP45" s="17">
        <f>DO45*VLOOKUP('Données projet'!$B$14,Paramètres!$A$1:$I$89,3,0)*VLOOKUP('Données projet'!$B$14,Paramètres!$A$1:$I$89,5,0)</f>
        <v>127.76400000000001</v>
      </c>
      <c r="DQ45" s="13">
        <f t="shared" si="43"/>
        <v>33.479164830670051</v>
      </c>
      <c r="DR45" s="20">
        <f t="shared" si="16"/>
        <v>280.83184541341694</v>
      </c>
      <c r="DS45" s="59">
        <f t="shared" si="17"/>
        <v>530.21051167405165</v>
      </c>
      <c r="DT45" s="59">
        <f ca="1">AVERAGE(OFFSET($DS$3,0,0,'Données projet'!$E$14+1,1))-AVERAGE(OFFSET($H$3,0,0,'Données projet'!$E$14+1,1))</f>
        <v>392.49465607243178</v>
      </c>
      <c r="DU45" s="59">
        <f t="shared" si="44"/>
        <v>258.031856676031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30</v>
      </c>
      <c r="DX45" s="16">
        <f>IF(ISNA(VLOOKUP(A45,'Données projet'!$A$165:$I$185,5,0)),0%,VLOOKUP(A45,'Données projet'!$A$165:$I$185,5,0)*VLOOKUP('Données projet'!$B$14,Paramètres!$A$1:$I$89,7,0))</f>
        <v>8.6000000000000007E-2</v>
      </c>
      <c r="DY45" s="16">
        <f>IF(ISNA(VLOOKUP(A45,'Données projet'!$A$165:$I$185,6,0)),0%,VLOOKUP(A45,'Données projet'!$A$165:$I$185,6,0)*VLOOKUP('Données projet'!$B$14,Paramètres!$A$1:$I$89,7,0))</f>
        <v>8.6000000000000007E-2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2.8920431693037418</v>
      </c>
      <c r="EB45" s="21">
        <f>EXP(-LN(2)/25)*EB44+(1-EXP(-LN(2)/25))/(LN(2)/25)*Calculateur!DW45*Calculateur!DY45*VLOOKUP('Données projet'!$B$14,Paramètres!$A$1:$I$89,3,0)*0.475*44/12</f>
        <v>2.8806560933913539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5.7726992626950953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10.8</v>
      </c>
      <c r="EJ45" s="12">
        <f>IF('Données projet'!$A$192&gt;35,EJ44+EI45-ER44,IF(A45&lt;'Données projet'!$A$192,$EG$205^A45,IF(A45='Données projet'!$A$192,'Données projet'!$B$192,EJ44+EI45-ER44)))</f>
        <v>157.60000000000002</v>
      </c>
      <c r="EK45" s="17">
        <f>EJ45*VLOOKUP('Données projet'!$B$15,Paramètres!$A$1:$I$89,3,0)*VLOOKUP('Données projet'!$B$15,Paramètres!$A$1:$I$89,5,0)</f>
        <v>135.22080000000003</v>
      </c>
      <c r="EL45" s="13">
        <f t="shared" si="45"/>
        <v>35.199954520451826</v>
      </c>
      <c r="EM45" s="20">
        <f t="shared" si="19"/>
        <v>296.81614745645362</v>
      </c>
      <c r="EN45" s="59">
        <f t="shared" si="20"/>
        <v>546.19481371708832</v>
      </c>
      <c r="EO45" s="59">
        <f ca="1">AVERAGE(OFFSET($EN$3,0,0,'Données projet'!$E$15+1,1))-AVERAGE(OFFSET($H$3,0,0,'Données projet'!$E$15+1,1))</f>
        <v>294.24530606293143</v>
      </c>
      <c r="EP45" s="59">
        <f t="shared" si="46"/>
        <v>275.88160405468193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8.1174166044335063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8.1174166044335063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10.8</v>
      </c>
      <c r="FE45" s="12">
        <f>IF('Données projet'!$A$218&gt;35,FE44+FD45-FM44,IF(A45&lt;'Données projet'!$A$218,$FB$205^A45,IF(A45='Données projet'!$A$218,'Données projet'!$B$218,FE44+FD45-FM44)))</f>
        <v>157.60000000000002</v>
      </c>
      <c r="FF45" s="17">
        <f>FE45*VLOOKUP('Données projet'!$B$16,Paramètres!$A$1:$I$89,3,0)*VLOOKUP('Données projet'!$B$16,Paramètres!$A$1:$I$89,5,0)</f>
        <v>115.55232000000001</v>
      </c>
      <c r="FG45" s="13">
        <f t="shared" si="47"/>
        <v>30.635381800029723</v>
      </c>
      <c r="FH45" s="20">
        <f t="shared" si="22"/>
        <v>254.61024730171846</v>
      </c>
      <c r="FI45" s="59">
        <f t="shared" si="23"/>
        <v>503.98891356235322</v>
      </c>
      <c r="FJ45" s="59">
        <f ca="1">AVERAGE(OFFSET($FI$3,0,0,'Données projet'!$E$16+1,1))-AVERAGE(OFFSET($H$3,0,0,'Données projet'!$E$16+1,1))</f>
        <v>214.31585175697521</v>
      </c>
      <c r="FK45" s="59">
        <f t="shared" si="48"/>
        <v>244.60383864821372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5.6278898653722518</v>
      </c>
      <c r="FR45" s="21">
        <f>EXP(-LN(2)/25)*FR44+(1-EXP(-LN(2)/25))/(LN(2)/25)*Calculateur!FM45*Calculateur!FO45*VLOOKUP('Données projet'!$B$16,Paramètres!$A$1:$I$89,3,0)*0.475*44/12</f>
        <v>0</v>
      </c>
      <c r="FS45" s="21">
        <f>EXP(-LN(2)/2)*FS44+(1-EXP(-LN(2)/2))/(LN(2)/2)*FM45*FP45*VLOOKUP('Données projet'!$B$16,Paramètres!$A$1:$I$89,3,0)*0.475*44/12</f>
        <v>0</v>
      </c>
      <c r="FT45" s="22">
        <f t="shared" si="24"/>
        <v>5.6278898653722518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8.1999999999999993</v>
      </c>
      <c r="FZ45" s="12">
        <f>IF('Données projet'!$A$244&gt;35,FZ44+FY45-GH44,IF(A45&lt;'Données projet'!$A$244,$FW$205^A45,IF(A45='Données projet'!$A$244,'Données projet'!$B$244,FZ44+FY45-GH44)))</f>
        <v>236.40000000000009</v>
      </c>
      <c r="GA45" s="17">
        <f>FZ45*VLOOKUP('Données projet'!$B$17,Paramètres!$A$1:$I$89,3,0)*VLOOKUP('Données projet'!$B$17,Paramètres!$A$1:$I$89,5,0)</f>
        <v>188.07984000000008</v>
      </c>
      <c r="GB45" s="13">
        <f t="shared" si="49"/>
        <v>47.115182101714169</v>
      </c>
      <c r="GC45" s="20">
        <f t="shared" si="25"/>
        <v>409.63133016048567</v>
      </c>
      <c r="GD45" s="59">
        <f t="shared" si="26"/>
        <v>659.00999642112038</v>
      </c>
      <c r="GE45" s="59">
        <f ca="1">AVERAGE(OFFSET($GD$3,0,0,'Données projet'!$E$17+1,1))-AVERAGE(OFFSET($H$3,0,0,'Données projet'!$E$17+1,1))</f>
        <v>308.33954512886351</v>
      </c>
      <c r="GF45" s="59">
        <f t="shared" si="50"/>
        <v>408.79075392716277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12.072016025656932</v>
      </c>
      <c r="GM45" s="21">
        <f>EXP(-LN(2)/25)*GM44+(1-EXP(-LN(2)/25))/(LN(2)/25)*Calculateur!GH45*Calculateur!GJ45*VLOOKUP('Données projet'!$B$17,Paramètres!$A$1:$I$89,3,0)*0.475*44/12</f>
        <v>0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12.072016025656932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924.53817319228335</v>
      </c>
      <c r="S46" s="59">
        <f ca="1">AVERAGE(OFFSET($R$3,0,0,'Données projet'!$E$9+1,1))-AVERAGE(OFFSET($H$3,0,0,'Données projet'!$E$9+1,1))</f>
        <v>342.84342155097613</v>
      </c>
      <c r="T46" s="59">
        <f t="shared" si="34"/>
        <v>565.68976940602215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41.32916671394127</v>
      </c>
      <c r="AB46" s="21">
        <f>EXP(-LN(2)/2)*AB45+(1-EXP(-LN(2)/2))/(LN(2)/2)*V46*Y46*VLOOKUP('Données projet'!$B$9,Paramètres!$A$1:$I$89,3,0)*0.475*44/12</f>
        <v>6.070254417369279</v>
      </c>
      <c r="AC46" s="22">
        <f t="shared" si="3"/>
        <v>47.399421131310547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10.8</v>
      </c>
      <c r="AI46" s="13">
        <f>IF('Données projet'!$A$62&gt;35,AI45+AH46-AQ45,IF(A46&lt;'Données projet'!$A$62,$AF$205^A46,IF(A46='Données projet'!$A$62,'Données projet'!$B$62,AI45+AH46-AQ45)))</f>
        <v>168.40000000000003</v>
      </c>
      <c r="AJ46" s="13">
        <f>AI46*VLOOKUP('Données projet'!$B$10,Paramètres!$A$1:$I$89,3,0)*VLOOKUP('Données projet'!$B$10,Paramètres!$A$1:$I$89,5,0)</f>
        <v>160.24944000000002</v>
      </c>
      <c r="AK46" s="13">
        <f t="shared" si="35"/>
        <v>40.898772193070293</v>
      </c>
      <c r="AL46" s="20">
        <f t="shared" si="4"/>
        <v>350.33313623626418</v>
      </c>
      <c r="AM46" s="59">
        <f t="shared" si="5"/>
        <v>600.47431770269623</v>
      </c>
      <c r="AN46" s="59">
        <f ca="1">AVERAGE(OFFSET($AM$3,0,0,'Données projet'!$E$10+1,1))-AVERAGE(OFFSET($H$3,0,0,'Données projet'!$E$10+1,1))</f>
        <v>320.33056209214476</v>
      </c>
      <c r="AO46" s="59">
        <f t="shared" si="36"/>
        <v>299.27200854723446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522.82820246734218</v>
      </c>
      <c r="BI46" s="59">
        <f ca="1">AVERAGE(OFFSET($BH$3,0,0,'Données projet'!$E$11+1,1))-AVERAGE(OFFSET($H$3,0,0,'Données projet'!$E$11+1,1))</f>
        <v>256.85706398254547</v>
      </c>
      <c r="BJ46" s="59">
        <f t="shared" si="38"/>
        <v>363.68094621014734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35.658704028386047</v>
      </c>
      <c r="BQ46" s="21">
        <f>EXP(-LN(2)/25)*BQ45+(1-EXP(-LN(2)/25))/(LN(2)/25)*Calculateur!BL46*Calculateur!BN46*VLOOKUP('Données projet'!$B$11,Paramètres!$A$1:$I$89,3,0)*0.475*44/12</f>
        <v>30.857427135647967</v>
      </c>
      <c r="BR46" s="21">
        <f>EXP(-LN(2)/2)*BR45+(1-EXP(-LN(2)/2))/(LN(2)/2)*BL46*BO46*VLOOKUP('Données projet'!$B$11,Paramètres!$A$1:$I$89,3,0)*0.475*44/12</f>
        <v>7.6108951404232732</v>
      </c>
      <c r="BS46" s="22">
        <f t="shared" si="9"/>
        <v>74.127026304457289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3.125</v>
      </c>
      <c r="BY46" s="12">
        <f>IF('Données projet'!$A$114&gt;35,BY45+BX46-CG45,IF(A46&lt;'Données projet'!$A$114,$BV$205^A46,IF(A46='Données projet'!$A$114,'Données projet'!$B$114,BY45+BX46-CG45)))</f>
        <v>99.125</v>
      </c>
      <c r="BZ46" s="13">
        <f>BY46*VLOOKUP('Données projet'!$B$12,Paramètres!$A$1:$I$89,3,0)*VLOOKUP('Données projet'!$B$12,Paramètres!$A$1:$I$89,5,0)</f>
        <v>89.688299999999998</v>
      </c>
      <c r="CA46" s="13">
        <f t="shared" si="39"/>
        <v>24.490035287434363</v>
      </c>
      <c r="CB46" s="20">
        <f t="shared" si="10"/>
        <v>198.86060062561486</v>
      </c>
      <c r="CC46" s="59">
        <f t="shared" si="11"/>
        <v>449.00178209204694</v>
      </c>
      <c r="CD46" s="59">
        <f ca="1">AVERAGE(OFFSET($CC$3,0,0,'Données projet'!$E$12+1,1))-AVERAGE(OFFSET($H$3,0,0,'Données projet'!$E$12+1,1))</f>
        <v>357.68828740212223</v>
      </c>
      <c r="CE46" s="59">
        <f t="shared" si="40"/>
        <v>236.76626845829483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2.5299885241553741</v>
      </c>
      <c r="CL46" s="21">
        <f>EXP(-LN(2)/25)*CL45+(1-EXP(-LN(2)/25))/(LN(2)/25)*Calculateur!CG46*Calculateur!CI46*VLOOKUP('Données projet'!$B$12,Paramètres!$A$1:$I$89,3,0)*0.475*44/12</f>
        <v>2.5001430039963988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5.0301315281517729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8.1999999999999993</v>
      </c>
      <c r="CT46" s="12">
        <f>IF('Données projet'!$A$140&gt;35,CT45+CS46-DB45,IF(A46&lt;'Données projet'!$A$140,$CQ$205^A46,IF(A46='Données projet'!$A$140,'Données projet'!$B$140,CT45+CS46-DB45)))</f>
        <v>244.60000000000008</v>
      </c>
      <c r="CU46" s="17">
        <f>CT46*VLOOKUP('Données projet'!$B$13,Paramètres!$A$1:$I$89,3,0)*VLOOKUP('Données projet'!$B$13,Paramètres!$A$1:$I$89,5,0)</f>
        <v>160.26192000000006</v>
      </c>
      <c r="CV46" s="13">
        <f t="shared" si="41"/>
        <v>40.901586568781333</v>
      </c>
      <c r="CW46" s="20">
        <f t="shared" si="13"/>
        <v>350.35977394062758</v>
      </c>
      <c r="CX46" s="59">
        <f t="shared" si="14"/>
        <v>600.50095540705956</v>
      </c>
      <c r="CY46" s="59">
        <f ca="1">AVERAGE(OFFSET($CX$3,0,0,'Données projet'!$E$13+1,1))-AVERAGE(OFFSET($H$3,0,0,'Données projet'!$E$13+1,1))</f>
        <v>220.18342986563667</v>
      </c>
      <c r="CZ46" s="59">
        <f t="shared" si="42"/>
        <v>347.84382145531163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0.1137340475944421</v>
      </c>
      <c r="DI46" s="22">
        <f t="shared" si="15"/>
        <v>0.1137340475944421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3.125</v>
      </c>
      <c r="DO46" s="12">
        <f>IF('Données projet'!$A$166&gt;35,DO45+DN46-DW45,IF(A46&lt;'Données projet'!$A$166,$DL$205^A46,IF(A46='Données projet'!$A$166,'Données projet'!$B$166,DO45+DN46-DW45)))</f>
        <v>99.125</v>
      </c>
      <c r="DP46" s="17">
        <f>DO46*VLOOKUP('Données projet'!$B$14,Paramètres!$A$1:$I$89,3,0)*VLOOKUP('Données projet'!$B$14,Paramètres!$A$1:$I$89,5,0)</f>
        <v>100.51275000000001</v>
      </c>
      <c r="DQ46" s="13">
        <f t="shared" si="43"/>
        <v>27.084116780830918</v>
      </c>
      <c r="DR46" s="20">
        <f t="shared" si="16"/>
        <v>222.23120964328052</v>
      </c>
      <c r="DS46" s="59">
        <f t="shared" si="17"/>
        <v>472.37239110971257</v>
      </c>
      <c r="DT46" s="59">
        <f ca="1">AVERAGE(OFFSET($DS$3,0,0,'Données projet'!$E$14+1,1))-AVERAGE(OFFSET($H$3,0,0,'Données projet'!$E$14+1,1))</f>
        <v>392.49465607243178</v>
      </c>
      <c r="DU46" s="59">
        <f t="shared" si="44"/>
        <v>258.031856676031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2.835331966725851</v>
      </c>
      <c r="EB46" s="21">
        <f>EXP(-LN(2)/25)*EB45+(1-EXP(-LN(2)/25))/(LN(2)/25)*Calculateur!DW46*Calculateur!DY46*VLOOKUP('Données projet'!$B$14,Paramètres!$A$1:$I$89,3,0)*0.475*44/12</f>
        <v>2.8018844010304473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5.6372163677562988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10.8</v>
      </c>
      <c r="EJ46" s="12">
        <f>IF('Données projet'!$A$192&gt;35,EJ45+EI46-ER45,IF(A46&lt;'Données projet'!$A$192,$EG$205^A46,IF(A46='Données projet'!$A$192,'Données projet'!$B$192,EJ45+EI46-ER45)))</f>
        <v>168.40000000000003</v>
      </c>
      <c r="EK46" s="17">
        <f>EJ46*VLOOKUP('Données projet'!$B$15,Paramètres!$A$1:$I$89,3,0)*VLOOKUP('Données projet'!$B$15,Paramètres!$A$1:$I$89,5,0)</f>
        <v>144.48720000000006</v>
      </c>
      <c r="EL46" s="13">
        <f t="shared" si="45"/>
        <v>37.323064955372196</v>
      </c>
      <c r="EM46" s="20">
        <f t="shared" si="19"/>
        <v>316.65287813060667</v>
      </c>
      <c r="EN46" s="59">
        <f t="shared" si="20"/>
        <v>566.79405959703877</v>
      </c>
      <c r="EO46" s="59">
        <f ca="1">AVERAGE(OFFSET($EN$3,0,0,'Données projet'!$E$15+1,1))-AVERAGE(OFFSET($H$3,0,0,'Données projet'!$E$15+1,1))</f>
        <v>294.24530606293143</v>
      </c>
      <c r="EP46" s="59">
        <f t="shared" si="46"/>
        <v>275.88160405468193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7.9582390159558098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7.9582390159558098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10.8</v>
      </c>
      <c r="FE46" s="12">
        <f>IF('Données projet'!$A$218&gt;35,FE45+FD46-FM45,IF(A46&lt;'Données projet'!$A$218,$FB$205^A46,IF(A46='Données projet'!$A$218,'Données projet'!$B$218,FE45+FD46-FM45)))</f>
        <v>168.40000000000003</v>
      </c>
      <c r="FF46" s="17">
        <f>FE46*VLOOKUP('Données projet'!$B$16,Paramètres!$A$1:$I$89,3,0)*VLOOKUP('Données projet'!$B$16,Paramètres!$A$1:$I$89,5,0)</f>
        <v>123.47088000000002</v>
      </c>
      <c r="FG46" s="13">
        <f t="shared" si="47"/>
        <v>32.48317676634489</v>
      </c>
      <c r="FH46" s="20">
        <f t="shared" si="22"/>
        <v>271.619982201384</v>
      </c>
      <c r="FI46" s="59">
        <f t="shared" si="23"/>
        <v>521.76116366781605</v>
      </c>
      <c r="FJ46" s="59">
        <f ca="1">AVERAGE(OFFSET($FI$3,0,0,'Données projet'!$E$16+1,1))-AVERAGE(OFFSET($H$3,0,0,'Données projet'!$E$16+1,1))</f>
        <v>214.31585175697521</v>
      </c>
      <c r="FK46" s="59">
        <f t="shared" si="48"/>
        <v>244.60383864821372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5.5175303777861711</v>
      </c>
      <c r="FR46" s="21">
        <f>EXP(-LN(2)/25)*FR45+(1-EXP(-LN(2)/25))/(LN(2)/25)*Calculateur!FM46*Calculateur!FO46*VLOOKUP('Données projet'!$B$16,Paramètres!$A$1:$I$89,3,0)*0.475*44/12</f>
        <v>0</v>
      </c>
      <c r="FS46" s="21">
        <f>EXP(-LN(2)/2)*FS45+(1-EXP(-LN(2)/2))/(LN(2)/2)*FM46*FP46*VLOOKUP('Données projet'!$B$16,Paramètres!$A$1:$I$89,3,0)*0.475*44/12</f>
        <v>0</v>
      </c>
      <c r="FT46" s="22">
        <f t="shared" si="24"/>
        <v>5.5175303777861711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8.1999999999999993</v>
      </c>
      <c r="FZ46" s="12">
        <f>IF('Données projet'!$A$244&gt;35,FZ45+FY46-GH45,IF(A46&lt;'Données projet'!$A$244,$FW$205^A46,IF(A46='Données projet'!$A$244,'Données projet'!$B$244,FZ45+FY46-GH45)))</f>
        <v>244.60000000000008</v>
      </c>
      <c r="GA46" s="17">
        <f>FZ46*VLOOKUP('Données projet'!$B$17,Paramètres!$A$1:$I$89,3,0)*VLOOKUP('Données projet'!$B$17,Paramètres!$A$1:$I$89,5,0)</f>
        <v>194.60376000000008</v>
      </c>
      <c r="GB46" s="13">
        <f t="shared" si="49"/>
        <v>48.556356258310792</v>
      </c>
      <c r="GC46" s="20">
        <f t="shared" si="25"/>
        <v>423.50386914989144</v>
      </c>
      <c r="GD46" s="59">
        <f t="shared" si="26"/>
        <v>673.64505061632349</v>
      </c>
      <c r="GE46" s="59">
        <f ca="1">AVERAGE(OFFSET($GD$3,0,0,'Données projet'!$E$17+1,1))-AVERAGE(OFFSET($H$3,0,0,'Données projet'!$E$17+1,1))</f>
        <v>308.33954512886351</v>
      </c>
      <c r="GF46" s="59">
        <f t="shared" si="50"/>
        <v>408.79075392716277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11.83529115459652</v>
      </c>
      <c r="GM46" s="21">
        <f>EXP(-LN(2)/25)*GM45+(1-EXP(-LN(2)/25))/(LN(2)/25)*Calculateur!GH46*Calculateur!GJ46*VLOOKUP('Données projet'!$B$17,Paramètres!$A$1:$I$89,3,0)*0.475*44/12</f>
        <v>0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11.83529115459652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952.10470454215033</v>
      </c>
      <c r="S47" s="59">
        <f ca="1">AVERAGE(OFFSET($R$3,0,0,'Données projet'!$E$9+1,1))-AVERAGE(OFFSET($H$3,0,0,'Données projet'!$E$9+1,1))</f>
        <v>342.84342155097613</v>
      </c>
      <c r="T47" s="59">
        <f t="shared" si="34"/>
        <v>565.68976940602215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40.199018476742125</v>
      </c>
      <c r="AB47" s="21">
        <f>EXP(-LN(2)/2)*AB46+(1-EXP(-LN(2)/2))/(LN(2)/2)*V47*Y47*VLOOKUP('Données projet'!$B$9,Paramètres!$A$1:$I$89,3,0)*0.475*44/12</f>
        <v>4.2923180620494126</v>
      </c>
      <c r="AC47" s="22">
        <f t="shared" si="3"/>
        <v>44.491336538791536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10.8</v>
      </c>
      <c r="AI47" s="13">
        <f>IF('Données projet'!$A$62&gt;35,AI46+AH47-AQ46,IF(A47&lt;'Données projet'!$A$62,$AF$205^A47,IF(A47='Données projet'!$A$62,'Données projet'!$B$62,AI46+AH47-AQ46)))</f>
        <v>179.20000000000005</v>
      </c>
      <c r="AJ47" s="13">
        <f>AI47*VLOOKUP('Données projet'!$B$10,Paramètres!$A$1:$I$89,3,0)*VLOOKUP('Données projet'!$B$10,Paramètres!$A$1:$I$89,5,0)</f>
        <v>170.52672000000004</v>
      </c>
      <c r="AK47" s="13">
        <f t="shared" si="35"/>
        <v>43.207970095682747</v>
      </c>
      <c r="AL47" s="20">
        <f t="shared" si="4"/>
        <v>372.25458524998089</v>
      </c>
      <c r="AM47" s="59">
        <f t="shared" si="5"/>
        <v>623.14505398811832</v>
      </c>
      <c r="AN47" s="59">
        <f ca="1">AVERAGE(OFFSET($AM$3,0,0,'Données projet'!$E$10+1,1))-AVERAGE(OFFSET($H$3,0,0,'Données projet'!$E$10+1,1))</f>
        <v>320.33056209214476</v>
      </c>
      <c r="AO47" s="59">
        <f t="shared" si="36"/>
        <v>299.27200854723446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537.85531878274492</v>
      </c>
      <c r="BI47" s="59">
        <f ca="1">AVERAGE(OFFSET($BH$3,0,0,'Données projet'!$E$11+1,1))-AVERAGE(OFFSET($H$3,0,0,'Données projet'!$E$11+1,1))</f>
        <v>256.85706398254547</v>
      </c>
      <c r="BJ47" s="59">
        <f t="shared" si="38"/>
        <v>363.68094621014734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34.959458592051256</v>
      </c>
      <c r="BQ47" s="21">
        <f>EXP(-LN(2)/25)*BQ46+(1-EXP(-LN(2)/25))/(LN(2)/25)*Calculateur!BL47*Calculateur!BN47*VLOOKUP('Données projet'!$B$11,Paramètres!$A$1:$I$89,3,0)*0.475*44/12</f>
        <v>30.013629167902106</v>
      </c>
      <c r="BR47" s="21">
        <f>EXP(-LN(2)/2)*BR46+(1-EXP(-LN(2)/2))/(LN(2)/2)*BL47*BO47*VLOOKUP('Données projet'!$B$11,Paramètres!$A$1:$I$89,3,0)*0.475*44/12</f>
        <v>5.3817155646930379</v>
      </c>
      <c r="BS47" s="22">
        <f t="shared" si="9"/>
        <v>70.354803324646397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3.125</v>
      </c>
      <c r="BY47" s="12">
        <f>IF('Données projet'!$A$114&gt;35,BY46+BX47-CG46,IF(A47&lt;'Données projet'!$A$114,$BV$205^A47,IF(A47='Données projet'!$A$114,'Données projet'!$B$114,BY46+BX47-CG46)))</f>
        <v>102.25</v>
      </c>
      <c r="BZ47" s="13">
        <f>BY47*VLOOKUP('Données projet'!$B$12,Paramètres!$A$1:$I$89,3,0)*VLOOKUP('Données projet'!$B$12,Paramètres!$A$1:$I$89,5,0)</f>
        <v>92.515799999999999</v>
      </c>
      <c r="CA47" s="13">
        <f t="shared" si="39"/>
        <v>25.170998380123208</v>
      </c>
      <c r="CB47" s="20">
        <f t="shared" si="10"/>
        <v>204.97117384538126</v>
      </c>
      <c r="CC47" s="59">
        <f t="shared" si="11"/>
        <v>455.86164258351869</v>
      </c>
      <c r="CD47" s="59">
        <f ca="1">AVERAGE(OFFSET($CC$3,0,0,'Données projet'!$E$12+1,1))-AVERAGE(OFFSET($H$3,0,0,'Données projet'!$E$12+1,1))</f>
        <v>357.68828740212223</v>
      </c>
      <c r="CE47" s="59">
        <f t="shared" si="40"/>
        <v>236.76626845829483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2.4803769923373147</v>
      </c>
      <c r="CL47" s="21">
        <f>EXP(-LN(2)/25)*CL46+(1-EXP(-LN(2)/25))/(LN(2)/25)*Calculateur!CG47*Calculateur!CI47*VLOOKUP('Données projet'!$B$12,Paramètres!$A$1:$I$89,3,0)*0.475*44/12</f>
        <v>2.4317764620753106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4.9121534544126249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8.1999999999999993</v>
      </c>
      <c r="CT47" s="12">
        <f>IF('Données projet'!$A$140&gt;35,CT46+CS47-DB46,IF(A47&lt;'Données projet'!$A$140,$CQ$205^A47,IF(A47='Données projet'!$A$140,'Données projet'!$B$140,CT46+CS47-DB46)))</f>
        <v>252.80000000000007</v>
      </c>
      <c r="CU47" s="17">
        <f>CT47*VLOOKUP('Données projet'!$B$13,Paramètres!$A$1:$I$89,3,0)*VLOOKUP('Données projet'!$B$13,Paramètres!$A$1:$I$89,5,0)</f>
        <v>165.63456000000005</v>
      </c>
      <c r="CV47" s="13">
        <f t="shared" si="41"/>
        <v>42.110834874947706</v>
      </c>
      <c r="CW47" s="20">
        <f t="shared" si="13"/>
        <v>361.82322940720064</v>
      </c>
      <c r="CX47" s="59">
        <f t="shared" si="14"/>
        <v>612.71369814533807</v>
      </c>
      <c r="CY47" s="59">
        <f ca="1">AVERAGE(OFFSET($CX$3,0,0,'Données projet'!$E$13+1,1))-AVERAGE(OFFSET($H$3,0,0,'Données projet'!$E$13+1,1))</f>
        <v>220.18342986563667</v>
      </c>
      <c r="CZ47" s="59">
        <f t="shared" si="42"/>
        <v>347.84382145531163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8.0422116305823549E-2</v>
      </c>
      <c r="DI47" s="22">
        <f t="shared" si="15"/>
        <v>8.0422116305823549E-2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3.125</v>
      </c>
      <c r="DO47" s="12">
        <f>IF('Données projet'!$A$166&gt;35,DO46+DN47-DW46,IF(A47&lt;'Données projet'!$A$166,$DL$205^A47,IF(A47='Données projet'!$A$166,'Données projet'!$B$166,DO46+DN47-DW46)))</f>
        <v>102.25</v>
      </c>
      <c r="DP47" s="17">
        <f>DO47*VLOOKUP('Données projet'!$B$14,Paramètres!$A$1:$I$89,3,0)*VLOOKUP('Données projet'!$B$14,Paramètres!$A$1:$I$89,5,0)</f>
        <v>103.68150000000001</v>
      </c>
      <c r="DQ47" s="13">
        <f t="shared" si="43"/>
        <v>27.837210180221948</v>
      </c>
      <c r="DR47" s="20">
        <f t="shared" si="16"/>
        <v>229.06175356388658</v>
      </c>
      <c r="DS47" s="59">
        <f t="shared" si="17"/>
        <v>479.95222230202398</v>
      </c>
      <c r="DT47" s="59">
        <f ca="1">AVERAGE(OFFSET($DS$3,0,0,'Données projet'!$E$14+1,1))-AVERAGE(OFFSET($H$3,0,0,'Données projet'!$E$14+1,1))</f>
        <v>392.49465607243178</v>
      </c>
      <c r="DU47" s="59">
        <f t="shared" si="44"/>
        <v>258.031856676031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2.7797328362400946</v>
      </c>
      <c r="EB47" s="21">
        <f>EXP(-LN(2)/25)*EB46+(1-EXP(-LN(2)/25))/(LN(2)/25)*Calculateur!DW47*Calculateur!DY47*VLOOKUP('Données projet'!$B$14,Paramètres!$A$1:$I$89,3,0)*0.475*44/12</f>
        <v>2.7252667247395728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5.5049995609796678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10.8</v>
      </c>
      <c r="EJ47" s="12">
        <f>IF('Données projet'!$A$192&gt;35,EJ46+EI47-ER46,IF(A47&lt;'Données projet'!$A$192,$EG$205^A47,IF(A47='Données projet'!$A$192,'Données projet'!$B$192,EJ46+EI47-ER46)))</f>
        <v>179.20000000000005</v>
      </c>
      <c r="EK47" s="17">
        <f>EJ47*VLOOKUP('Données projet'!$B$15,Paramètres!$A$1:$I$89,3,0)*VLOOKUP('Données projet'!$B$15,Paramètres!$A$1:$I$89,5,0)</f>
        <v>153.75360000000006</v>
      </c>
      <c r="EL47" s="13">
        <f t="shared" si="45"/>
        <v>39.430373774012359</v>
      </c>
      <c r="EM47" s="20">
        <f t="shared" si="19"/>
        <v>336.462087656405</v>
      </c>
      <c r="EN47" s="59">
        <f t="shared" si="20"/>
        <v>587.35255639454249</v>
      </c>
      <c r="EO47" s="59">
        <f ca="1">AVERAGE(OFFSET($EN$3,0,0,'Données projet'!$E$15+1,1))-AVERAGE(OFFSET($H$3,0,0,'Données projet'!$E$15+1,1))</f>
        <v>294.24530606293143</v>
      </c>
      <c r="EP47" s="59">
        <f t="shared" si="46"/>
        <v>275.88160405468193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7.8021828028994191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7.8021828028994191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10.8</v>
      </c>
      <c r="FE47" s="12">
        <f>IF('Données projet'!$A$218&gt;35,FE46+FD47-FM46,IF(A47&lt;'Données projet'!$A$218,$FB$205^A47,IF(A47='Données projet'!$A$218,'Données projet'!$B$218,FE46+FD47-FM46)))</f>
        <v>179.20000000000005</v>
      </c>
      <c r="FF47" s="17">
        <f>FE47*VLOOKUP('Données projet'!$B$16,Paramètres!$A$1:$I$89,3,0)*VLOOKUP('Données projet'!$B$16,Paramètres!$A$1:$I$89,5,0)</f>
        <v>131.38944000000004</v>
      </c>
      <c r="FG47" s="13">
        <f t="shared" si="47"/>
        <v>34.317219199328761</v>
      </c>
      <c r="FH47" s="20">
        <f t="shared" si="22"/>
        <v>288.60576477216426</v>
      </c>
      <c r="FI47" s="59">
        <f t="shared" si="23"/>
        <v>539.49623351030164</v>
      </c>
      <c r="FJ47" s="59">
        <f ca="1">AVERAGE(OFFSET($FI$3,0,0,'Données projet'!$E$16+1,1))-AVERAGE(OFFSET($H$3,0,0,'Données projet'!$E$16+1,1))</f>
        <v>214.31585175697521</v>
      </c>
      <c r="FK47" s="59">
        <f t="shared" si="48"/>
        <v>244.60383864821372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5.4093349724390132</v>
      </c>
      <c r="FR47" s="21">
        <f>EXP(-LN(2)/25)*FR46+(1-EXP(-LN(2)/25))/(LN(2)/25)*Calculateur!FM47*Calculateur!FO47*VLOOKUP('Données projet'!$B$16,Paramètres!$A$1:$I$89,3,0)*0.475*44/12</f>
        <v>0</v>
      </c>
      <c r="FS47" s="21">
        <f>EXP(-LN(2)/2)*FS46+(1-EXP(-LN(2)/2))/(LN(2)/2)*FM47*FP47*VLOOKUP('Données projet'!$B$16,Paramètres!$A$1:$I$89,3,0)*0.475*44/12</f>
        <v>0</v>
      </c>
      <c r="FT47" s="22">
        <f t="shared" si="24"/>
        <v>5.4093349724390132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8.1999999999999993</v>
      </c>
      <c r="FZ47" s="12">
        <f>IF('Données projet'!$A$244&gt;35,FZ46+FY47-GH46,IF(A47&lt;'Données projet'!$A$244,$FW$205^A47,IF(A47='Données projet'!$A$244,'Données projet'!$B$244,FZ46+FY47-GH46)))</f>
        <v>252.80000000000007</v>
      </c>
      <c r="GA47" s="17">
        <f>FZ47*VLOOKUP('Données projet'!$B$17,Paramètres!$A$1:$I$89,3,0)*VLOOKUP('Données projet'!$B$17,Paramètres!$A$1:$I$89,5,0)</f>
        <v>201.12768000000005</v>
      </c>
      <c r="GB47" s="13">
        <f t="shared" si="49"/>
        <v>49.991916501438169</v>
      </c>
      <c r="GC47" s="20">
        <f t="shared" si="25"/>
        <v>437.36663057333823</v>
      </c>
      <c r="GD47" s="59">
        <f t="shared" si="26"/>
        <v>688.25709931147571</v>
      </c>
      <c r="GE47" s="59">
        <f ca="1">AVERAGE(OFFSET($GD$3,0,0,'Données projet'!$E$17+1,1))-AVERAGE(OFFSET($H$3,0,0,'Données projet'!$E$17+1,1))</f>
        <v>308.33954512886351</v>
      </c>
      <c r="GF47" s="59">
        <f t="shared" si="50"/>
        <v>408.79075392716277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11.603208313869688</v>
      </c>
      <c r="GM47" s="21">
        <f>EXP(-LN(2)/25)*GM46+(1-EXP(-LN(2)/25))/(LN(2)/25)*Calculateur!GH47*Calculateur!GJ47*VLOOKUP('Données projet'!$B$17,Paramètres!$A$1:$I$89,3,0)*0.475*44/12</f>
        <v>0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11.603208313869688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979.63725863287129</v>
      </c>
      <c r="S48" s="59">
        <f ca="1">AVERAGE(OFFSET($R$3,0,0,'Données projet'!$E$9+1,1))-AVERAGE(OFFSET($H$3,0,0,'Données projet'!$E$9+1,1))</f>
        <v>342.84342155097613</v>
      </c>
      <c r="T48" s="59">
        <f t="shared" si="34"/>
        <v>565.68976940602215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606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0.11000000000000001</v>
      </c>
      <c r="Y48" s="16">
        <f>IF(ISNA(VLOOKUP(A48,'Données projet'!$A$35:$I$55,7,0)),0%,VLOOKUP(A48,'Données projet'!$A$35:$I$55,7,0))</f>
        <v>0.1</v>
      </c>
      <c r="Z48" s="21">
        <f>EXP(-LN(2)/35)*Z47+(1-EXP(-LN(2)/35))/(LN(2)/35)*V48*W48*VLOOKUP('Données projet'!$B$9,Paramètres!$A$1:$I$89,3,0)*0.475*44/12</f>
        <v>173.01092098211691</v>
      </c>
      <c r="AA48" s="21">
        <f>EXP(-LN(2)/25)*AA47+(1-EXP(-LN(2)/25))/(LN(2)/25)*Calculateur!V48*Calculateur!X48*VLOOKUP('Données projet'!$B$9,Paramètres!$A$1:$I$89,3,0)*0.475*44/12</f>
        <v>88.336834506487179</v>
      </c>
      <c r="AB48" s="21">
        <f>EXP(-LN(2)/2)*AB47+(1-EXP(-LN(2)/2))/(LN(2)/2)*V48*Y48*VLOOKUP('Données projet'!$B$9,Paramètres!$A$1:$I$89,3,0)*0.475*44/12</f>
        <v>41.389949180312691</v>
      </c>
      <c r="AC48" s="22">
        <f t="shared" si="3"/>
        <v>302.73770466891676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190</v>
      </c>
      <c r="AG48" s="12">
        <f>VLOOKUP(A48,'Données projet'!$A$61:$I$81,9,0)</f>
        <v>10.8</v>
      </c>
      <c r="AH48" s="12">
        <f t="array" ref="AH48">INDEX(AG:AG,MIN(IF(ISNUMBER(AG48:AG244),ROW(AG48:AG244),"")))</f>
        <v>10.8</v>
      </c>
      <c r="AI48" s="13">
        <f>IF('Données projet'!$A$62&gt;35,AI47+AH48-AQ47,IF(A48&lt;'Données projet'!$A$62,$AF$205^A48,IF(A48='Données projet'!$A$62,'Données projet'!$B$62,AI47+AH48-AQ47)))</f>
        <v>190.00000000000006</v>
      </c>
      <c r="AJ48" s="13">
        <f>AI48*VLOOKUP('Données projet'!$B$10,Paramètres!$A$1:$I$89,3,0)*VLOOKUP('Données projet'!$B$10,Paramètres!$A$1:$I$89,5,0)</f>
        <v>180.80400000000006</v>
      </c>
      <c r="AK48" s="13">
        <f t="shared" si="35"/>
        <v>45.501014930459895</v>
      </c>
      <c r="AL48" s="20">
        <f t="shared" si="4"/>
        <v>394.14790100388433</v>
      </c>
      <c r="AM48" s="59">
        <f t="shared" si="5"/>
        <v>645.77465855471848</v>
      </c>
      <c r="AN48" s="59">
        <f ca="1">AVERAGE(OFFSET($AM$3,0,0,'Données projet'!$E$10+1,1))-AVERAGE(OFFSET($H$3,0,0,'Données projet'!$E$10+1,1))</f>
        <v>320.33056209214476</v>
      </c>
      <c r="AO48" s="59">
        <f t="shared" si="36"/>
        <v>299.27200854723446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552.85354946776374</v>
      </c>
      <c r="BI48" s="59">
        <f ca="1">AVERAGE(OFFSET($BH$3,0,0,'Données projet'!$E$11+1,1))-AVERAGE(OFFSET($H$3,0,0,'Données projet'!$E$11+1,1))</f>
        <v>256.85706398254547</v>
      </c>
      <c r="BJ48" s="59">
        <f t="shared" si="38"/>
        <v>363.68094621014734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34.273924932225384</v>
      </c>
      <c r="BQ48" s="21">
        <f>EXP(-LN(2)/25)*BQ47+(1-EXP(-LN(2)/25))/(LN(2)/25)*Calculateur!BL48*Calculateur!BN48*VLOOKUP('Données projet'!$B$11,Paramètres!$A$1:$I$89,3,0)*0.475*44/12</f>
        <v>29.192904899957661</v>
      </c>
      <c r="BR48" s="21">
        <f>EXP(-LN(2)/2)*BR47+(1-EXP(-LN(2)/2))/(LN(2)/2)*BL48*BO48*VLOOKUP('Données projet'!$B$11,Paramètres!$A$1:$I$89,3,0)*0.475*44/12</f>
        <v>3.8054475702116375</v>
      </c>
      <c r="BS48" s="22">
        <f t="shared" si="9"/>
        <v>67.272277402394678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3.125</v>
      </c>
      <c r="BY48" s="12">
        <f>IF('Données projet'!$A$114&gt;35,BY47+BX48-CG47,IF(A48&lt;'Données projet'!$A$114,$BV$205^A48,IF(A48='Données projet'!$A$114,'Données projet'!$B$114,BY47+BX48-CG47)))</f>
        <v>105.375</v>
      </c>
      <c r="BZ48" s="13">
        <f>BY48*VLOOKUP('Données projet'!$B$12,Paramètres!$A$1:$I$89,3,0)*VLOOKUP('Données projet'!$B$12,Paramètres!$A$1:$I$89,5,0)</f>
        <v>95.343299999999985</v>
      </c>
      <c r="CA48" s="13">
        <f t="shared" si="39"/>
        <v>25.849542881793973</v>
      </c>
      <c r="CB48" s="20">
        <f t="shared" si="10"/>
        <v>211.07753468579111</v>
      </c>
      <c r="CC48" s="59">
        <f t="shared" si="11"/>
        <v>462.70429223662524</v>
      </c>
      <c r="CD48" s="59">
        <f ca="1">AVERAGE(OFFSET($CC$3,0,0,'Données projet'!$E$12+1,1))-AVERAGE(OFFSET($H$3,0,0,'Données projet'!$E$12+1,1))</f>
        <v>357.68828740212223</v>
      </c>
      <c r="CE48" s="59">
        <f t="shared" si="40"/>
        <v>236.76626845829483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2.4317383123981609</v>
      </c>
      <c r="CL48" s="21">
        <f>EXP(-LN(2)/25)*CL47+(1-EXP(-LN(2)/25))/(LN(2)/25)*Calculateur!CG48*Calculateur!CI48*VLOOKUP('Données projet'!$B$12,Paramètres!$A$1:$I$89,3,0)*0.475*44/12</f>
        <v>2.3652794068382952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4.7970177192364556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261</v>
      </c>
      <c r="CR48" s="12">
        <f>VLOOKUP(A48,'Données projet'!$A$139:$I$159,9,0)</f>
        <v>8.1999999999999993</v>
      </c>
      <c r="CS48" s="12">
        <f t="array" ref="CS48">INDEX(CR:CR,MIN(IF(ISNUMBER(CR48:CR244),ROW(CR48:CR244),"")))</f>
        <v>8.1999999999999993</v>
      </c>
      <c r="CT48" s="12">
        <f>IF('Données projet'!$A$140&gt;35,CT47+CS48-DB47,IF(A48&lt;'Données projet'!$A$140,$CQ$205^A48,IF(A48='Données projet'!$A$140,'Données projet'!$B$140,CT47+CS48-DB47)))</f>
        <v>261.00000000000006</v>
      </c>
      <c r="CU48" s="17">
        <f>CT48*VLOOKUP('Données projet'!$B$13,Paramètres!$A$1:$I$89,3,0)*VLOOKUP('Données projet'!$B$13,Paramètres!$A$1:$I$89,5,0)</f>
        <v>171.00720000000004</v>
      </c>
      <c r="CV48" s="13">
        <f t="shared" si="41"/>
        <v>43.315525267338089</v>
      </c>
      <c r="CW48" s="20">
        <f t="shared" si="13"/>
        <v>373.27874650728057</v>
      </c>
      <c r="CX48" s="59">
        <f t="shared" si="14"/>
        <v>624.90550405811473</v>
      </c>
      <c r="CY48" s="59">
        <f ca="1">AVERAGE(OFFSET($CX$3,0,0,'Données projet'!$E$13+1,1))-AVERAGE(OFFSET($H$3,0,0,'Données projet'!$E$13+1,1))</f>
        <v>220.18342986563667</v>
      </c>
      <c r="CZ48" s="59">
        <f t="shared" si="42"/>
        <v>347.84382145531163</v>
      </c>
      <c r="DA48" s="15">
        <f>IF(ISNA(VLOOKUP(A48,'Données projet'!$A$139:$I$159,3,0)),0,VLOOKUP(A48,'Données projet'!$A$139:$I$159,3,0))</f>
        <v>5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5.6867023797221049E-2</v>
      </c>
      <c r="DI48" s="22">
        <f t="shared" si="15"/>
        <v>5.6867023797221049E-2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3.125</v>
      </c>
      <c r="DO48" s="12">
        <f>IF('Données projet'!$A$166&gt;35,DO47+DN48-DW47,IF(A48&lt;'Données projet'!$A$166,$DL$205^A48,IF(A48='Données projet'!$A$166,'Données projet'!$B$166,DO47+DN48-DW47)))</f>
        <v>105.375</v>
      </c>
      <c r="DP48" s="17">
        <f>DO48*VLOOKUP('Données projet'!$B$14,Paramètres!$A$1:$I$89,3,0)*VLOOKUP('Données projet'!$B$14,Paramètres!$A$1:$I$89,5,0)</f>
        <v>106.85025000000002</v>
      </c>
      <c r="DQ48" s="13">
        <f t="shared" si="43"/>
        <v>28.587628801859122</v>
      </c>
      <c r="DR48" s="20">
        <f t="shared" si="16"/>
        <v>235.88763891323802</v>
      </c>
      <c r="DS48" s="59">
        <f t="shared" si="17"/>
        <v>487.51439646407215</v>
      </c>
      <c r="DT48" s="59">
        <f ca="1">AVERAGE(OFFSET($DS$3,0,0,'Données projet'!$E$14+1,1))-AVERAGE(OFFSET($H$3,0,0,'Données projet'!$E$14+1,1))</f>
        <v>392.49465607243178</v>
      </c>
      <c r="DU48" s="59">
        <f t="shared" si="44"/>
        <v>258.031856676031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2.7252239707910428</v>
      </c>
      <c r="EB48" s="21">
        <f>EXP(-LN(2)/25)*EB47+(1-EXP(-LN(2)/25))/(LN(2)/25)*Calculateur!DW48*Calculateur!DY48*VLOOKUP('Données projet'!$B$14,Paramètres!$A$1:$I$89,3,0)*0.475*44/12</f>
        <v>2.6507441628360207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5.3759681336270635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>
        <f>VLOOKUP(A48,'Données projet'!$A$191:$I$211,2,0)</f>
        <v>190</v>
      </c>
      <c r="EH48" s="12">
        <f>VLOOKUP(A48,'Données projet'!$A$191:$I$211,9,0)</f>
        <v>10.8</v>
      </c>
      <c r="EI48" s="12">
        <f t="array" ref="EI48">INDEX(EH:EH,MIN(IF(ISNUMBER(EH48:EH244),ROW(EH48:EH244),"")))</f>
        <v>10.8</v>
      </c>
      <c r="EJ48" s="12">
        <f>IF('Données projet'!$A$192&gt;35,EJ47+EI48-ER47,IF(A48&lt;'Données projet'!$A$192,$EG$205^A48,IF(A48='Données projet'!$A$192,'Données projet'!$B$192,EJ47+EI48-ER47)))</f>
        <v>190.00000000000006</v>
      </c>
      <c r="EK48" s="17">
        <f>EJ48*VLOOKUP('Données projet'!$B$15,Paramètres!$A$1:$I$89,3,0)*VLOOKUP('Données projet'!$B$15,Paramètres!$A$1:$I$89,5,0)</f>
        <v>163.02000000000007</v>
      </c>
      <c r="EL48" s="13">
        <f t="shared" si="45"/>
        <v>41.52294175893757</v>
      </c>
      <c r="EM48" s="20">
        <f t="shared" si="19"/>
        <v>356.24562356348309</v>
      </c>
      <c r="EN48" s="59">
        <f t="shared" si="20"/>
        <v>607.87238111431725</v>
      </c>
      <c r="EO48" s="59">
        <f ca="1">AVERAGE(OFFSET($EN$3,0,0,'Données projet'!$E$15+1,1))-AVERAGE(OFFSET($H$3,0,0,'Données projet'!$E$15+1,1))</f>
        <v>294.24530606293143</v>
      </c>
      <c r="EP48" s="59">
        <f t="shared" si="46"/>
        <v>275.88160405468193</v>
      </c>
      <c r="EQ48" s="15">
        <f>IF(ISNA(VLOOKUP(A48,'Données projet'!$A$191:$I$211,3,0)),0,VLOOKUP(A48,'Données projet'!$A$191:$I$211,3,0))</f>
        <v>5</v>
      </c>
      <c r="ER48" s="15">
        <f>IF(ISNA(VLOOKUP(A48,'Données projet'!$A$191:$I$211,4,0)),0,VLOOKUP(A48,'Données projet'!$A$191:$I$211,4,0))</f>
        <v>28</v>
      </c>
      <c r="ES48" s="16">
        <f>IF(ISNA(VLOOKUP(A48,'Données projet'!$A$191:$I$211,5,0)),0%,VLOOKUP(A48,'Données projet'!$A$191:$I$211,5,0)*VLOOKUP('Données projet'!$B$15,Paramètres!$A$1:$I$89,7,0))</f>
        <v>0.42400000000000004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18.909702605705597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18.909702605705597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190</v>
      </c>
      <c r="FC48" s="12">
        <f>VLOOKUP(A48,'Données projet'!$A$217:$I$237,9,0)</f>
        <v>10.8</v>
      </c>
      <c r="FD48" s="12">
        <f t="array" ref="FD48">INDEX(FC:FC,MIN(IF(ISNUMBER(FC48:FC244),ROW(FC48:FC244),"")))</f>
        <v>10.8</v>
      </c>
      <c r="FE48" s="12">
        <f>IF('Données projet'!$A$218&gt;35,FE47+FD48-FM47,IF(A48&lt;'Données projet'!$A$218,$FB$205^A48,IF(A48='Données projet'!$A$218,'Données projet'!$B$218,FE47+FD48-FM47)))</f>
        <v>190.00000000000006</v>
      </c>
      <c r="FF48" s="17">
        <f>FE48*VLOOKUP('Données projet'!$B$16,Paramètres!$A$1:$I$89,3,0)*VLOOKUP('Données projet'!$B$16,Paramètres!$A$1:$I$89,5,0)</f>
        <v>139.30800000000005</v>
      </c>
      <c r="FG48" s="13">
        <f t="shared" si="47"/>
        <v>36.138432324006359</v>
      </c>
      <c r="FH48" s="20">
        <f t="shared" si="22"/>
        <v>305.56920296431122</v>
      </c>
      <c r="FI48" s="59">
        <f t="shared" si="23"/>
        <v>557.19596051514532</v>
      </c>
      <c r="FJ48" s="59">
        <f ca="1">AVERAGE(OFFSET($FI$3,0,0,'Données projet'!$E$16+1,1))-AVERAGE(OFFSET($H$3,0,0,'Données projet'!$E$16+1,1))</f>
        <v>214.31585175697521</v>
      </c>
      <c r="FK48" s="59">
        <f t="shared" si="48"/>
        <v>244.60383864821372</v>
      </c>
      <c r="FL48" s="15">
        <f>IF(ISNA(VLOOKUP(A48,'Données projet'!$A$217:$I$237,3,0)),0,VLOOKUP(A48,'Données projet'!$A$217:$I$237,3,0))</f>
        <v>5</v>
      </c>
      <c r="FM48" s="15">
        <f>IF(ISNA(VLOOKUP(A48,'Données projet'!$A$217:$I$237,4,0)),0,VLOOKUP(A48,'Données projet'!$A$217:$I$237,4,0))</f>
        <v>28</v>
      </c>
      <c r="FN48" s="16">
        <f>IF(ISNA(VLOOKUP(A48,'Données projet'!$A$217:$I$237,5,0)),0%,VLOOKUP(A48,'Données projet'!$A$217:$I$237,5,0)*VLOOKUP('Données projet'!$B$16,Paramètres!$A$1:$I$89,7,0))</f>
        <v>0.34400000000000003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13.110294671056954</v>
      </c>
      <c r="FR48" s="21">
        <f>EXP(-LN(2)/25)*FR47+(1-EXP(-LN(2)/25))/(LN(2)/25)*Calculateur!FM48*Calculateur!FO48*VLOOKUP('Données projet'!$B$16,Paramètres!$A$1:$I$89,3,0)*0.475*44/12</f>
        <v>0</v>
      </c>
      <c r="FS48" s="21">
        <f>EXP(-LN(2)/2)*FS47+(1-EXP(-LN(2)/2))/(LN(2)/2)*FM48*FP48*VLOOKUP('Données projet'!$B$16,Paramètres!$A$1:$I$89,3,0)*0.475*44/12</f>
        <v>0</v>
      </c>
      <c r="FT48" s="22">
        <f t="shared" si="24"/>
        <v>13.110294671056954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>
        <f>VLOOKUP(A48,'Données projet'!$A$243:$I$263,2,0)</f>
        <v>261</v>
      </c>
      <c r="FX48" s="12">
        <f>VLOOKUP(A48,'Données projet'!$A$243:$I$263,9,0)</f>
        <v>8.1999999999999993</v>
      </c>
      <c r="FY48" s="12">
        <f t="array" ref="FY48">INDEX(FX:FX,MIN(IF(ISNUMBER(FX48:FX244),ROW(FX48:FX244),"")))</f>
        <v>8.1999999999999993</v>
      </c>
      <c r="FZ48" s="12">
        <f>IF('Données projet'!$A$244&gt;35,FZ47+FY48-GH47,IF(A48&lt;'Données projet'!$A$244,$FW$205^A48,IF(A48='Données projet'!$A$244,'Données projet'!$B$244,FZ47+FY48-GH47)))</f>
        <v>261.00000000000006</v>
      </c>
      <c r="GA48" s="17">
        <f>FZ48*VLOOKUP('Données projet'!$B$17,Paramètres!$A$1:$I$89,3,0)*VLOOKUP('Données projet'!$B$17,Paramètres!$A$1:$I$89,5,0)</f>
        <v>207.65160000000006</v>
      </c>
      <c r="GB48" s="13">
        <f t="shared" si="49"/>
        <v>51.422065813018108</v>
      </c>
      <c r="GC48" s="20">
        <f t="shared" si="25"/>
        <v>451.2199679576733</v>
      </c>
      <c r="GD48" s="59">
        <f t="shared" si="26"/>
        <v>702.84672550850746</v>
      </c>
      <c r="GE48" s="59">
        <f ca="1">AVERAGE(OFFSET($GD$3,0,0,'Données projet'!$E$17+1,1))-AVERAGE(OFFSET($H$3,0,0,'Données projet'!$E$17+1,1))</f>
        <v>308.33954512886351</v>
      </c>
      <c r="GF48" s="59">
        <f t="shared" si="50"/>
        <v>408.79075392716277</v>
      </c>
      <c r="GG48" s="15">
        <f>IF(ISNA(VLOOKUP(A48,'Données projet'!$A$243:$I$263,3,0)),0,VLOOKUP(A48,'Données projet'!$A$243:$I$263,3,0))</f>
        <v>5</v>
      </c>
      <c r="GH48" s="15">
        <f>IF(ISNA(VLOOKUP(A48,'Données projet'!$A$243:$I$263,4,0)),0,VLOOKUP(A48,'Données projet'!$A$243:$I$263,4,0))</f>
        <v>22</v>
      </c>
      <c r="GI48" s="16">
        <f>IF(ISNA(VLOOKUP(A48,'Données projet'!$A$243:$I$263,5,0)),0%,VLOOKUP(A48,'Données projet'!$A$243:$I$263,5,0)*VLOOKUP('Données projet'!$B$17,Paramètres!$A$1:$I$89,7,0))</f>
        <v>0.42400000000000004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19.579766594438397</v>
      </c>
      <c r="GM48" s="21">
        <f>EXP(-LN(2)/25)*GM47+(1-EXP(-LN(2)/25))/(LN(2)/25)*Calculateur!GH48*Calculateur!GJ48*VLOOKUP('Données projet'!$B$17,Paramètres!$A$1:$I$89,3,0)*0.475*44/12</f>
        <v>0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19.579766594438397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342.84342155097613</v>
      </c>
      <c r="T49" s="59">
        <f t="shared" si="34"/>
        <v>565.68976940602215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169.61828234789954</v>
      </c>
      <c r="AA49" s="21">
        <f>EXP(-LN(2)/25)*AA48+(1-EXP(-LN(2)/25))/(LN(2)/25)*Calculateur!V49*Calculateur!X49*VLOOKUP('Données projet'!$B$9,Paramètres!$A$1:$I$89,3,0)*0.475*44/12</f>
        <v>85.92125912147506</v>
      </c>
      <c r="AB49" s="21">
        <f>EXP(-LN(2)/2)*AB48+(1-EXP(-LN(2)/2))/(LN(2)/2)*V49*Y49*VLOOKUP('Données projet'!$B$9,Paramètres!$A$1:$I$89,3,0)*0.475*44/12</f>
        <v>29.267113738365691</v>
      </c>
      <c r="AC49" s="22">
        <f t="shared" si="3"/>
        <v>284.80665520774028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173.00000000000006</v>
      </c>
      <c r="AJ49" s="13">
        <f>AI49*VLOOKUP('Données projet'!$B$10,Paramètres!$A$1:$I$89,3,0)*VLOOKUP('Données projet'!$B$10,Paramètres!$A$1:$I$89,5,0)</f>
        <v>164.62680000000006</v>
      </c>
      <c r="AK49" s="13">
        <f t="shared" si="35"/>
        <v>41.884365321551869</v>
      </c>
      <c r="AL49" s="20">
        <f t="shared" si="4"/>
        <v>359.67361293503626</v>
      </c>
      <c r="AM49" s="59">
        <f t="shared" si="5"/>
        <v>612.02388633376188</v>
      </c>
      <c r="AN49" s="59">
        <f ca="1">AVERAGE(OFFSET($AM$3,0,0,'Données projet'!$E$10+1,1))-AVERAGE(OFFSET($H$3,0,0,'Données projet'!$E$10+1,1))</f>
        <v>320.33056209214476</v>
      </c>
      <c r="AO49" s="59">
        <f t="shared" si="36"/>
        <v>299.27200854723446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567.82397823121767</v>
      </c>
      <c r="BI49" s="59">
        <f ca="1">AVERAGE(OFFSET($BH$3,0,0,'Données projet'!$E$11+1,1))-AVERAGE(OFFSET($H$3,0,0,'Données projet'!$E$11+1,1))</f>
        <v>256.85706398254547</v>
      </c>
      <c r="BJ49" s="59">
        <f t="shared" si="38"/>
        <v>363.68094621014734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33.601834169334452</v>
      </c>
      <c r="BQ49" s="21">
        <f>EXP(-LN(2)/25)*BQ48+(1-EXP(-LN(2)/25))/(LN(2)/25)*Calculateur!BL49*Calculateur!BN49*VLOOKUP('Données projet'!$B$11,Paramètres!$A$1:$I$89,3,0)*0.475*44/12</f>
        <v>28.394623380280173</v>
      </c>
      <c r="BR49" s="21">
        <f>EXP(-LN(2)/2)*BR48+(1-EXP(-LN(2)/2))/(LN(2)/2)*BL49*BO49*VLOOKUP('Données projet'!$B$11,Paramètres!$A$1:$I$89,3,0)*0.475*44/12</f>
        <v>2.6908577823465194</v>
      </c>
      <c r="BS49" s="22">
        <f t="shared" si="9"/>
        <v>64.687315331961145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3.125</v>
      </c>
      <c r="BY49" s="12">
        <f>IF('Données projet'!$A$114&gt;35,BY48+BX49-CG48,IF(A49&lt;'Données projet'!$A$114,$BV$205^A49,IF(A49='Données projet'!$A$114,'Données projet'!$B$114,BY48+BX49-CG48)))</f>
        <v>108.5</v>
      </c>
      <c r="BZ49" s="13">
        <f>BY49*VLOOKUP('Données projet'!$B$12,Paramètres!$A$1:$I$89,3,0)*VLOOKUP('Données projet'!$B$12,Paramètres!$A$1:$I$89,5,0)</f>
        <v>98.170799999999986</v>
      </c>
      <c r="CA49" s="13">
        <f t="shared" si="39"/>
        <v>26.525748752747578</v>
      </c>
      <c r="CB49" s="20">
        <f t="shared" si="10"/>
        <v>217.17982241103536</v>
      </c>
      <c r="CC49" s="59">
        <f t="shared" si="11"/>
        <v>469.53009580976101</v>
      </c>
      <c r="CD49" s="59">
        <f ca="1">AVERAGE(OFFSET($CC$3,0,0,'Données projet'!$E$12+1,1))-AVERAGE(OFFSET($H$3,0,0,'Données projet'!$E$12+1,1))</f>
        <v>357.68828740212223</v>
      </c>
      <c r="CE49" s="59">
        <f t="shared" si="40"/>
        <v>236.76626845829483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2.3840534073059483</v>
      </c>
      <c r="CL49" s="21">
        <f>EXP(-LN(2)/25)*CL48+(1-EXP(-LN(2)/25))/(LN(2)/25)*Calculateur!CG49*Calculateur!CI49*VLOOKUP('Données projet'!$B$12,Paramètres!$A$1:$I$89,3,0)*0.475*44/12</f>
        <v>2.3006007170736638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4.6846541243796125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7</v>
      </c>
      <c r="CT49" s="12">
        <f>IF('Données projet'!$A$140&gt;35,CT48+CS49-DB48,IF(A49&lt;'Données projet'!$A$140,$CQ$205^A49,IF(A49='Données projet'!$A$140,'Données projet'!$B$140,CT48+CS49-DB48)))</f>
        <v>246.00000000000006</v>
      </c>
      <c r="CU49" s="17">
        <f>CT49*VLOOKUP('Données projet'!$B$13,Paramètres!$A$1:$I$89,3,0)*VLOOKUP('Données projet'!$B$13,Paramètres!$A$1:$I$89,5,0)</f>
        <v>161.17920000000004</v>
      </c>
      <c r="CV49" s="13">
        <f t="shared" si="41"/>
        <v>41.108373485541968</v>
      </c>
      <c r="CW49" s="20">
        <f t="shared" si="13"/>
        <v>352.3175238206523</v>
      </c>
      <c r="CX49" s="59">
        <f t="shared" si="14"/>
        <v>604.66779721937792</v>
      </c>
      <c r="CY49" s="59">
        <f ca="1">AVERAGE(OFFSET($CX$3,0,0,'Données projet'!$E$13+1,1))-AVERAGE(OFFSET($H$3,0,0,'Données projet'!$E$13+1,1))</f>
        <v>220.18342986563667</v>
      </c>
      <c r="CZ49" s="59">
        <f t="shared" si="42"/>
        <v>347.84382145531163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4.0211058152911774E-2</v>
      </c>
      <c r="DI49" s="22">
        <f t="shared" si="15"/>
        <v>4.0211058152911774E-2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3.125</v>
      </c>
      <c r="DO49" s="12">
        <f>IF('Données projet'!$A$166&gt;35,DO48+DN49-DW48,IF(A49&lt;'Données projet'!$A$166,$DL$205^A49,IF(A49='Données projet'!$A$166,'Données projet'!$B$166,DO48+DN49-DW48)))</f>
        <v>108.5</v>
      </c>
      <c r="DP49" s="17">
        <f>DO49*VLOOKUP('Données projet'!$B$14,Paramètres!$A$1:$I$89,3,0)*VLOOKUP('Données projet'!$B$14,Paramètres!$A$1:$I$89,5,0)</f>
        <v>110.01900000000002</v>
      </c>
      <c r="DQ49" s="13">
        <f t="shared" si="43"/>
        <v>29.335461075754946</v>
      </c>
      <c r="DR49" s="20">
        <f t="shared" si="16"/>
        <v>242.70901970693987</v>
      </c>
      <c r="DS49" s="59">
        <f t="shared" si="17"/>
        <v>495.05929310566552</v>
      </c>
      <c r="DT49" s="59">
        <f ca="1">AVERAGE(OFFSET($DS$3,0,0,'Données projet'!$E$14+1,1))-AVERAGE(OFFSET($H$3,0,0,'Données projet'!$E$14+1,1))</f>
        <v>392.49465607243178</v>
      </c>
      <c r="DU49" s="59">
        <f t="shared" si="44"/>
        <v>258.031856676031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2.6717839909463219</v>
      </c>
      <c r="EB49" s="21">
        <f>EXP(-LN(2)/25)*EB48+(1-EXP(-LN(2)/25))/(LN(2)/25)*Calculateur!DW49*Calculateur!DY49*VLOOKUP('Données projet'!$B$14,Paramètres!$A$1:$I$89,3,0)*0.475*44/12</f>
        <v>2.5782594243066925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5.250043415253014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173.00000000000006</v>
      </c>
      <c r="EK49" s="17">
        <f>EJ49*VLOOKUP('Données projet'!$B$15,Paramètres!$A$1:$I$89,3,0)*VLOOKUP('Données projet'!$B$15,Paramètres!$A$1:$I$89,5,0)</f>
        <v>148.43400000000005</v>
      </c>
      <c r="EL49" s="13">
        <f t="shared" si="45"/>
        <v>38.222489421716418</v>
      </c>
      <c r="EM49" s="20">
        <f t="shared" si="19"/>
        <v>325.09338574282282</v>
      </c>
      <c r="EN49" s="59">
        <f t="shared" si="20"/>
        <v>577.44365914154844</v>
      </c>
      <c r="EO49" s="59">
        <f ca="1">AVERAGE(OFFSET($EN$3,0,0,'Données projet'!$E$15+1,1))-AVERAGE(OFFSET($H$3,0,0,'Données projet'!$E$15+1,1))</f>
        <v>294.24530606293143</v>
      </c>
      <c r="EP49" s="59">
        <f t="shared" si="46"/>
        <v>275.88160405468193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18.538894871387434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18.538894871387434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11</v>
      </c>
      <c r="FE49" s="12">
        <f>IF('Données projet'!$A$218&gt;35,FE48+FD49-FM48,IF(A49&lt;'Données projet'!$A$218,$FB$205^A49,IF(A49='Données projet'!$A$218,'Données projet'!$B$218,FE48+FD49-FM48)))</f>
        <v>173.00000000000006</v>
      </c>
      <c r="FF49" s="17">
        <f>FE49*VLOOKUP('Données projet'!$B$16,Paramètres!$A$1:$I$89,3,0)*VLOOKUP('Données projet'!$B$16,Paramètres!$A$1:$I$89,5,0)</f>
        <v>126.84360000000002</v>
      </c>
      <c r="FG49" s="13">
        <f t="shared" si="47"/>
        <v>33.26596788929173</v>
      </c>
      <c r="FH49" s="20">
        <f t="shared" si="22"/>
        <v>278.85749740718308</v>
      </c>
      <c r="FI49" s="59">
        <f t="shared" si="23"/>
        <v>531.20777080590869</v>
      </c>
      <c r="FJ49" s="59">
        <f ca="1">AVERAGE(OFFSET($FI$3,0,0,'Données projet'!$E$16+1,1))-AVERAGE(OFFSET($H$3,0,0,'Données projet'!$E$16+1,1))</f>
        <v>214.31585175697521</v>
      </c>
      <c r="FK49" s="59">
        <f t="shared" si="48"/>
        <v>244.60383864821372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12.853209789047689</v>
      </c>
      <c r="FR49" s="21">
        <f>EXP(-LN(2)/25)*FR48+(1-EXP(-LN(2)/25))/(LN(2)/25)*Calculateur!FM49*Calculateur!FO49*VLOOKUP('Données projet'!$B$16,Paramètres!$A$1:$I$89,3,0)*0.475*44/12</f>
        <v>0</v>
      </c>
      <c r="FS49" s="21">
        <f>EXP(-LN(2)/2)*FS48+(1-EXP(-LN(2)/2))/(LN(2)/2)*FM49*FP49*VLOOKUP('Données projet'!$B$16,Paramètres!$A$1:$I$89,3,0)*0.475*44/12</f>
        <v>0</v>
      </c>
      <c r="FT49" s="22">
        <f t="shared" si="24"/>
        <v>12.853209789047689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7</v>
      </c>
      <c r="FZ49" s="12">
        <f>IF('Données projet'!$A$244&gt;35,FZ48+FY49-GH48,IF(A49&lt;'Données projet'!$A$244,$FW$205^A49,IF(A49='Données projet'!$A$244,'Données projet'!$B$244,FZ48+FY49-GH48)))</f>
        <v>246.00000000000006</v>
      </c>
      <c r="GA49" s="17">
        <f>FZ49*VLOOKUP('Données projet'!$B$17,Paramètres!$A$1:$I$89,3,0)*VLOOKUP('Données projet'!$B$17,Paramètres!$A$1:$I$89,5,0)</f>
        <v>195.71760000000006</v>
      </c>
      <c r="GB49" s="13">
        <f t="shared" si="49"/>
        <v>48.801843537463206</v>
      </c>
      <c r="GC49" s="20">
        <f t="shared" si="25"/>
        <v>425.87136416108183</v>
      </c>
      <c r="GD49" s="59">
        <f t="shared" si="26"/>
        <v>678.2216375598075</v>
      </c>
      <c r="GE49" s="59">
        <f ca="1">AVERAGE(OFFSET($GD$3,0,0,'Données projet'!$E$17+1,1))-AVERAGE(OFFSET($H$3,0,0,'Données projet'!$E$17+1,1))</f>
        <v>308.33954512886351</v>
      </c>
      <c r="GF49" s="59">
        <f t="shared" si="50"/>
        <v>408.79075392716277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19.195819313999859</v>
      </c>
      <c r="GM49" s="21">
        <f>EXP(-LN(2)/25)*GM48+(1-EXP(-LN(2)/25))/(LN(2)/25)*Calculateur!GH49*Calculateur!GJ49*VLOOKUP('Données projet'!$B$17,Paramètres!$A$1:$I$89,3,0)*0.475*44/12</f>
        <v>0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19.195819313999859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342.84342155097613</v>
      </c>
      <c r="T50" s="59">
        <f t="shared" si="34"/>
        <v>565.68976940602215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166.29217128799394</v>
      </c>
      <c r="AA50" s="21">
        <f>EXP(-LN(2)/25)*AA49+(1-EXP(-LN(2)/25))/(LN(2)/25)*Calculateur!V50*Calculateur!X50*VLOOKUP('Données projet'!$B$9,Paramètres!$A$1:$I$89,3,0)*0.475*44/12</f>
        <v>83.571737772395679</v>
      </c>
      <c r="AB50" s="21">
        <f>EXP(-LN(2)/2)*AB49+(1-EXP(-LN(2)/2))/(LN(2)/2)*V50*Y50*VLOOKUP('Données projet'!$B$9,Paramètres!$A$1:$I$89,3,0)*0.475*44/12</f>
        <v>20.694974590156349</v>
      </c>
      <c r="AC50" s="22">
        <f t="shared" si="3"/>
        <v>270.55888365054597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184.00000000000006</v>
      </c>
      <c r="AJ50" s="13">
        <f>AI50*VLOOKUP('Données projet'!$B$10,Paramètres!$A$1:$I$89,3,0)*VLOOKUP('Données projet'!$B$10,Paramètres!$A$1:$I$89,5,0)</f>
        <v>175.09440000000006</v>
      </c>
      <c r="AK50" s="13">
        <f t="shared" si="35"/>
        <v>44.229031605991956</v>
      </c>
      <c r="AL50" s="20">
        <f t="shared" si="4"/>
        <v>381.98831004710274</v>
      </c>
      <c r="AM50" s="59">
        <f t="shared" si="5"/>
        <v>635.04954791129808</v>
      </c>
      <c r="AN50" s="59">
        <f ca="1">AVERAGE(OFFSET($AM$3,0,0,'Données projet'!$E$10+1,1))-AVERAGE(OFFSET($H$3,0,0,'Données projet'!$E$10+1,1))</f>
        <v>320.33056209214476</v>
      </c>
      <c r="AO50" s="59">
        <f t="shared" si="36"/>
        <v>299.27200854723446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582.76760101167611</v>
      </c>
      <c r="BI50" s="59">
        <f ca="1">AVERAGE(OFFSET($BH$3,0,0,'Données projet'!$E$11+1,1))-AVERAGE(OFFSET($H$3,0,0,'Données projet'!$E$11+1,1))</f>
        <v>256.85706398254547</v>
      </c>
      <c r="BJ50" s="59">
        <f t="shared" si="38"/>
        <v>363.68094621014734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32.942922696368925</v>
      </c>
      <c r="BQ50" s="21">
        <f>EXP(-LN(2)/25)*BQ49+(1-EXP(-LN(2)/25))/(LN(2)/25)*Calculateur!BL50*Calculateur!BN50*VLOOKUP('Données projet'!$B$11,Paramètres!$A$1:$I$89,3,0)*0.475*44/12</f>
        <v>27.618170910738066</v>
      </c>
      <c r="BR50" s="21">
        <f>EXP(-LN(2)/2)*BR49+(1-EXP(-LN(2)/2))/(LN(2)/2)*BL50*BO50*VLOOKUP('Données projet'!$B$11,Paramètres!$A$1:$I$89,3,0)*0.475*44/12</f>
        <v>1.902723785105819</v>
      </c>
      <c r="BS50" s="22">
        <f t="shared" si="9"/>
        <v>62.46381739221281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3.125</v>
      </c>
      <c r="BY50" s="12">
        <f>IF('Données projet'!$A$114&gt;35,BY49+BX50-CG49,IF(A50&lt;'Données projet'!$A$114,$BV$205^A50,IF(A50='Données projet'!$A$114,'Données projet'!$B$114,BY49+BX50-CG49)))</f>
        <v>111.625</v>
      </c>
      <c r="BZ50" s="13">
        <f>BY50*VLOOKUP('Données projet'!$B$12,Paramètres!$A$1:$I$89,3,0)*VLOOKUP('Données projet'!$B$12,Paramètres!$A$1:$I$89,5,0)</f>
        <v>100.99829999999999</v>
      </c>
      <c r="CA50" s="13">
        <f t="shared" si="39"/>
        <v>27.19969108533137</v>
      </c>
      <c r="CB50" s="20">
        <f t="shared" si="10"/>
        <v>223.2781678069521</v>
      </c>
      <c r="CC50" s="59">
        <f t="shared" si="11"/>
        <v>476.33940567114746</v>
      </c>
      <c r="CD50" s="59">
        <f ca="1">AVERAGE(OFFSET($CC$3,0,0,'Données projet'!$E$12+1,1))-AVERAGE(OFFSET($H$3,0,0,'Données projet'!$E$12+1,1))</f>
        <v>357.68828740212223</v>
      </c>
      <c r="CE50" s="59">
        <f t="shared" si="40"/>
        <v>236.76626845829483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2.3373035741176738</v>
      </c>
      <c r="CL50" s="21">
        <f>EXP(-LN(2)/25)*CL49+(1-EXP(-LN(2)/25))/(LN(2)/25)*Calculateur!CG50*Calculateur!CI50*VLOOKUP('Données projet'!$B$12,Paramètres!$A$1:$I$89,3,0)*0.475*44/12</f>
        <v>2.2376906694819509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4.5749942435996243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7</v>
      </c>
      <c r="CT50" s="12">
        <f>IF('Données projet'!$A$140&gt;35,CT49+CS50-DB49,IF(A50&lt;'Données projet'!$A$140,$CQ$205^A50,IF(A50='Données projet'!$A$140,'Données projet'!$B$140,CT49+CS50-DB49)))</f>
        <v>253.00000000000006</v>
      </c>
      <c r="CU50" s="17">
        <f>CT50*VLOOKUP('Données projet'!$B$13,Paramètres!$A$1:$I$89,3,0)*VLOOKUP('Données projet'!$B$13,Paramètres!$A$1:$I$89,5,0)</f>
        <v>165.76560000000003</v>
      </c>
      <c r="CV50" s="13">
        <f t="shared" si="41"/>
        <v>42.140271125684265</v>
      </c>
      <c r="CW50" s="20">
        <f t="shared" si="13"/>
        <v>362.10272554390014</v>
      </c>
      <c r="CX50" s="59">
        <f t="shared" si="14"/>
        <v>615.16396340809547</v>
      </c>
      <c r="CY50" s="59">
        <f ca="1">AVERAGE(OFFSET($CX$3,0,0,'Données projet'!$E$13+1,1))-AVERAGE(OFFSET($H$3,0,0,'Données projet'!$E$13+1,1))</f>
        <v>220.18342986563667</v>
      </c>
      <c r="CZ50" s="59">
        <f t="shared" si="42"/>
        <v>347.84382145531163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2.8433511898610524E-2</v>
      </c>
      <c r="DI50" s="22">
        <f t="shared" si="15"/>
        <v>2.8433511898610524E-2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3.125</v>
      </c>
      <c r="DO50" s="12">
        <f>IF('Données projet'!$A$166&gt;35,DO49+DN50-DW49,IF(A50&lt;'Données projet'!$A$166,$DL$205^A50,IF(A50='Données projet'!$A$166,'Données projet'!$B$166,DO49+DN50-DW49)))</f>
        <v>111.625</v>
      </c>
      <c r="DP50" s="17">
        <f>DO50*VLOOKUP('Données projet'!$B$14,Paramètres!$A$1:$I$89,3,0)*VLOOKUP('Données projet'!$B$14,Paramètres!$A$1:$I$89,5,0)</f>
        <v>113.18775000000001</v>
      </c>
      <c r="DQ50" s="13">
        <f t="shared" si="43"/>
        <v>30.080790048335473</v>
      </c>
      <c r="DR50" s="20">
        <f t="shared" si="16"/>
        <v>249.5260405841843</v>
      </c>
      <c r="DS50" s="59">
        <f t="shared" si="17"/>
        <v>502.58727844837972</v>
      </c>
      <c r="DT50" s="59">
        <f ca="1">AVERAGE(OFFSET($DS$3,0,0,'Données projet'!$E$14+1,1))-AVERAGE(OFFSET($H$3,0,0,'Données projet'!$E$14+1,1))</f>
        <v>392.49465607243178</v>
      </c>
      <c r="DU50" s="59">
        <f t="shared" si="44"/>
        <v>258.031856676031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2.6193919365111866</v>
      </c>
      <c r="EB50" s="21">
        <f>EXP(-LN(2)/25)*EB49+(1-EXP(-LN(2)/25))/(LN(2)/25)*Calculateur!DW50*Calculateur!DY50*VLOOKUP('Données projet'!$B$14,Paramètres!$A$1:$I$89,3,0)*0.475*44/12</f>
        <v>2.5077567847642555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5.1271487212754421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184.00000000000006</v>
      </c>
      <c r="EK50" s="17">
        <f>EJ50*VLOOKUP('Données projet'!$B$15,Paramètres!$A$1:$I$89,3,0)*VLOOKUP('Données projet'!$B$15,Paramètres!$A$1:$I$89,5,0)</f>
        <v>157.87200000000007</v>
      </c>
      <c r="EL50" s="13">
        <f t="shared" si="45"/>
        <v>40.362165684361159</v>
      </c>
      <c r="EM50" s="20">
        <f t="shared" si="19"/>
        <v>345.25783856692919</v>
      </c>
      <c r="EN50" s="59">
        <f t="shared" si="20"/>
        <v>598.31907643112459</v>
      </c>
      <c r="EO50" s="59">
        <f ca="1">AVERAGE(OFFSET($EN$3,0,0,'Données projet'!$E$15+1,1))-AVERAGE(OFFSET($H$3,0,0,'Données projet'!$E$15+1,1))</f>
        <v>294.24530606293143</v>
      </c>
      <c r="EP50" s="59">
        <f t="shared" si="46"/>
        <v>275.88160405468193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18.175358450568865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18.175358450568865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11</v>
      </c>
      <c r="FE50" s="12">
        <f>IF('Données projet'!$A$218&gt;35,FE49+FD50-FM49,IF(A50&lt;'Données projet'!$A$218,$FB$205^A50,IF(A50='Données projet'!$A$218,'Données projet'!$B$218,FE49+FD50-FM49)))</f>
        <v>184.00000000000006</v>
      </c>
      <c r="FF50" s="17">
        <f>FE50*VLOOKUP('Données projet'!$B$16,Paramètres!$A$1:$I$89,3,0)*VLOOKUP('Données projet'!$B$16,Paramètres!$A$1:$I$89,5,0)</f>
        <v>134.90880000000004</v>
      </c>
      <c r="FG50" s="13">
        <f t="shared" si="47"/>
        <v>35.128180500859067</v>
      </c>
      <c r="FH50" s="20">
        <f t="shared" si="22"/>
        <v>296.14774103899623</v>
      </c>
      <c r="FI50" s="59">
        <f t="shared" si="23"/>
        <v>549.20897890319156</v>
      </c>
      <c r="FJ50" s="59">
        <f ca="1">AVERAGE(OFFSET($FI$3,0,0,'Données projet'!$E$16+1,1))-AVERAGE(OFFSET($H$3,0,0,'Données projet'!$E$16+1,1))</f>
        <v>214.31585175697521</v>
      </c>
      <c r="FK50" s="59">
        <f t="shared" si="48"/>
        <v>244.60383864821372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12.601166184768331</v>
      </c>
      <c r="FR50" s="21">
        <f>EXP(-LN(2)/25)*FR49+(1-EXP(-LN(2)/25))/(LN(2)/25)*Calculateur!FM50*Calculateur!FO50*VLOOKUP('Données projet'!$B$16,Paramètres!$A$1:$I$89,3,0)*0.475*44/12</f>
        <v>0</v>
      </c>
      <c r="FS50" s="21">
        <f>EXP(-LN(2)/2)*FS49+(1-EXP(-LN(2)/2))/(LN(2)/2)*FM50*FP50*VLOOKUP('Données projet'!$B$16,Paramètres!$A$1:$I$89,3,0)*0.475*44/12</f>
        <v>0</v>
      </c>
      <c r="FT50" s="22">
        <f t="shared" si="24"/>
        <v>12.601166184768331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7</v>
      </c>
      <c r="FZ50" s="12">
        <f>IF('Données projet'!$A$244&gt;35,FZ49+FY50-GH49,IF(A50&lt;'Données projet'!$A$244,$FW$205^A50,IF(A50='Données projet'!$A$244,'Données projet'!$B$244,FZ49+FY50-GH49)))</f>
        <v>253.00000000000006</v>
      </c>
      <c r="GA50" s="17">
        <f>FZ50*VLOOKUP('Données projet'!$B$17,Paramètres!$A$1:$I$89,3,0)*VLOOKUP('Données projet'!$B$17,Paramètres!$A$1:$I$89,5,0)</f>
        <v>201.28680000000006</v>
      </c>
      <c r="GB50" s="13">
        <f t="shared" si="49"/>
        <v>50.026861773677666</v>
      </c>
      <c r="GC50" s="20">
        <f t="shared" si="25"/>
        <v>437.70462758915534</v>
      </c>
      <c r="GD50" s="59">
        <f t="shared" si="26"/>
        <v>690.76586545335067</v>
      </c>
      <c r="GE50" s="59">
        <f ca="1">AVERAGE(OFFSET($GD$3,0,0,'Données projet'!$E$17+1,1))-AVERAGE(OFFSET($H$3,0,0,'Données projet'!$E$17+1,1))</f>
        <v>308.33954512886351</v>
      </c>
      <c r="GF50" s="59">
        <f t="shared" si="50"/>
        <v>408.79075392716277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18.819401005546005</v>
      </c>
      <c r="GM50" s="21">
        <f>EXP(-LN(2)/25)*GM49+(1-EXP(-LN(2)/25))/(LN(2)/25)*Calculateur!GH50*Calculateur!GJ50*VLOOKUP('Données projet'!$B$17,Paramètres!$A$1:$I$89,3,0)*0.475*44/12</f>
        <v>0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18.819401005546005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342.84342155097613</v>
      </c>
      <c r="T51" s="59">
        <f t="shared" si="34"/>
        <v>565.68976940602215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163.03128323724565</v>
      </c>
      <c r="AA51" s="21">
        <f>EXP(-LN(2)/25)*AA50+(1-EXP(-LN(2)/25))/(LN(2)/25)*Calculateur!V51*Calculateur!X51*VLOOKUP('Données projet'!$B$9,Paramètres!$A$1:$I$89,3,0)*0.475*44/12</f>
        <v>81.28646420816284</v>
      </c>
      <c r="AB51" s="21">
        <f>EXP(-LN(2)/2)*AB50+(1-EXP(-LN(2)/2))/(LN(2)/2)*V51*Y51*VLOOKUP('Données projet'!$B$9,Paramètres!$A$1:$I$89,3,0)*0.475*44/12</f>
        <v>14.633556869182847</v>
      </c>
      <c r="AC51" s="22">
        <f t="shared" si="3"/>
        <v>258.95130431459131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195.00000000000006</v>
      </c>
      <c r="AJ51" s="13">
        <f>AI51*VLOOKUP('Données projet'!$B$10,Paramètres!$A$1:$I$89,3,0)*VLOOKUP('Données projet'!$B$10,Paramètres!$A$1:$I$89,5,0)</f>
        <v>185.56200000000007</v>
      </c>
      <c r="AK51" s="13">
        <f t="shared" si="35"/>
        <v>46.557428480028591</v>
      </c>
      <c r="AL51" s="20">
        <f t="shared" si="4"/>
        <v>404.27467126938319</v>
      </c>
      <c r="AM51" s="59">
        <f t="shared" si="5"/>
        <v>658.03453995505083</v>
      </c>
      <c r="AN51" s="59">
        <f ca="1">AVERAGE(OFFSET($AM$3,0,0,'Données projet'!$E$10+1,1))-AVERAGE(OFFSET($H$3,0,0,'Données projet'!$E$10+1,1))</f>
        <v>320.33056209214476</v>
      </c>
      <c r="AO51" s="59">
        <f t="shared" si="36"/>
        <v>299.27200854723446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597.68533758207491</v>
      </c>
      <c r="BI51" s="59">
        <f ca="1">AVERAGE(OFFSET($BH$3,0,0,'Données projet'!$E$11+1,1))-AVERAGE(OFFSET($H$3,0,0,'Données projet'!$E$11+1,1))</f>
        <v>256.85706398254547</v>
      </c>
      <c r="BJ51" s="59">
        <f t="shared" si="38"/>
        <v>363.68094621014734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0.36</v>
      </c>
      <c r="BN51" s="16">
        <f>IF(ISNA(VLOOKUP(A51,'Données projet'!$A$87:$I$107,6,0)),0%,VLOOKUP(A51,'Données projet'!$A$87:$I$107,6,0)*VLOOKUP('Données projet'!$B$11,Paramètres!$A$1:$I$89,7,0))</f>
        <v>0.12</v>
      </c>
      <c r="BO51" s="16">
        <f>IF(ISNA(VLOOKUP(A51,'Données projet'!$A$87:$I$107,7,0)),0%,VLOOKUP(A51,'Données projet'!$A$87:$I$107,7,0))</f>
        <v>0.2</v>
      </c>
      <c r="BP51" s="21">
        <f>EXP(-LN(2)/35)*BP50+(1-EXP(-LN(2)/35))/(LN(2)/35)*BL51*BM51*VLOOKUP('Données projet'!$B$11,Paramètres!$A$1:$I$89,3,0)*0.475*44/12</f>
        <v>51.666895628037928</v>
      </c>
      <c r="BQ51" s="21">
        <f>EXP(-LN(2)/25)*BQ50+(1-EXP(-LN(2)/25))/(LN(2)/25)*Calculateur!BL51*Calculateur!BN51*VLOOKUP('Données projet'!$B$11,Paramètres!$A$1:$I$89,3,0)*0.475*44/12</f>
        <v>33.294182783309068</v>
      </c>
      <c r="BR51" s="21">
        <f>EXP(-LN(2)/2)*BR50+(1-EXP(-LN(2)/2))/(LN(2)/2)*BL51*BO51*VLOOKUP('Données projet'!$B$11,Paramètres!$A$1:$I$89,3,0)*0.475*44/12</f>
        <v>10.530097288707951</v>
      </c>
      <c r="BS51" s="22">
        <f t="shared" si="9"/>
        <v>95.491175700054939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3.125</v>
      </c>
      <c r="BY51" s="12">
        <f>IF('Données projet'!$A$114&gt;35,BY50+BX51-CG50,IF(A51&lt;'Données projet'!$A$114,$BV$205^A51,IF(A51='Données projet'!$A$114,'Données projet'!$B$114,BY50+BX51-CG50)))</f>
        <v>114.75</v>
      </c>
      <c r="BZ51" s="13">
        <f>BY51*VLOOKUP('Données projet'!$B$12,Paramètres!$A$1:$I$89,3,0)*VLOOKUP('Données projet'!$B$12,Paramètres!$A$1:$I$89,5,0)</f>
        <v>103.82579999999999</v>
      </c>
      <c r="CA51" s="13">
        <f t="shared" si="39"/>
        <v>27.871440528178173</v>
      </c>
      <c r="CB51" s="20">
        <f t="shared" si="10"/>
        <v>229.37269391991026</v>
      </c>
      <c r="CC51" s="59">
        <f t="shared" si="11"/>
        <v>483.13256260557796</v>
      </c>
      <c r="CD51" s="59">
        <f ca="1">AVERAGE(OFFSET($CC$3,0,0,'Données projet'!$E$12+1,1))-AVERAGE(OFFSET($H$3,0,0,'Données projet'!$E$12+1,1))</f>
        <v>357.68828740212223</v>
      </c>
      <c r="CE51" s="59">
        <f t="shared" si="40"/>
        <v>236.76626845829483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2.2914704766436387</v>
      </c>
      <c r="CL51" s="21">
        <f>EXP(-LN(2)/25)*CL50+(1-EXP(-LN(2)/25))/(LN(2)/25)*Calculateur!CG51*Calculateur!CI51*VLOOKUP('Données projet'!$B$12,Paramètres!$A$1:$I$89,3,0)*0.475*44/12</f>
        <v>2.1765009004499292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4.4679713770935674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7</v>
      </c>
      <c r="CT51" s="12">
        <f>IF('Données projet'!$A$140&gt;35,CT50+CS51-DB50,IF(A51&lt;'Données projet'!$A$140,$CQ$205^A51,IF(A51='Données projet'!$A$140,'Données projet'!$B$140,CT50+CS51-DB50)))</f>
        <v>260.00000000000006</v>
      </c>
      <c r="CU51" s="17">
        <f>CT51*VLOOKUP('Données projet'!$B$13,Paramètres!$A$1:$I$89,3,0)*VLOOKUP('Données projet'!$B$13,Paramètres!$A$1:$I$89,5,0)</f>
        <v>170.35200000000003</v>
      </c>
      <c r="CV51" s="13">
        <f t="shared" si="41"/>
        <v>43.168850382694487</v>
      </c>
      <c r="CW51" s="20">
        <f t="shared" si="13"/>
        <v>371.88214774985954</v>
      </c>
      <c r="CX51" s="59">
        <f t="shared" si="14"/>
        <v>625.64201643552724</v>
      </c>
      <c r="CY51" s="59">
        <f ca="1">AVERAGE(OFFSET($CX$3,0,0,'Données projet'!$E$13+1,1))-AVERAGE(OFFSET($H$3,0,0,'Données projet'!$E$13+1,1))</f>
        <v>220.18342986563667</v>
      </c>
      <c r="CZ51" s="59">
        <f t="shared" si="42"/>
        <v>347.84382145531163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2.0105529076455887E-2</v>
      </c>
      <c r="DI51" s="22">
        <f t="shared" si="15"/>
        <v>2.0105529076455887E-2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3.125</v>
      </c>
      <c r="DO51" s="12">
        <f>IF('Données projet'!$A$166&gt;35,DO50+DN51-DW50,IF(A51&lt;'Données projet'!$A$166,$DL$205^A51,IF(A51='Données projet'!$A$166,'Données projet'!$B$166,DO50+DN51-DW50)))</f>
        <v>114.75</v>
      </c>
      <c r="DP51" s="17">
        <f>DO51*VLOOKUP('Données projet'!$B$14,Paramètres!$A$1:$I$89,3,0)*VLOOKUP('Données projet'!$B$14,Paramètres!$A$1:$I$89,5,0)</f>
        <v>116.35650000000001</v>
      </c>
      <c r="DQ51" s="13">
        <f t="shared" si="43"/>
        <v>30.823693851616476</v>
      </c>
      <c r="DR51" s="20">
        <f t="shared" si="16"/>
        <v>256.3388376248987</v>
      </c>
      <c r="DS51" s="59">
        <f t="shared" si="17"/>
        <v>510.0987063105664</v>
      </c>
      <c r="DT51" s="59">
        <f ca="1">AVERAGE(OFFSET($DS$3,0,0,'Données projet'!$E$14+1,1))-AVERAGE(OFFSET($H$3,0,0,'Données projet'!$E$14+1,1))</f>
        <v>392.49465607243178</v>
      </c>
      <c r="DU51" s="59">
        <f t="shared" si="44"/>
        <v>258.031856676031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2.5680272583075268</v>
      </c>
      <c r="EB51" s="21">
        <f>EXP(-LN(2)/25)*EB50+(1-EXP(-LN(2)/25))/(LN(2)/25)*Calculateur!DW51*Calculateur!DY51*VLOOKUP('Données projet'!$B$14,Paramètres!$A$1:$I$89,3,0)*0.475*44/12</f>
        <v>2.439182043607679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5.0072093019152053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195.00000000000006</v>
      </c>
      <c r="EK51" s="17">
        <f>EJ51*VLOOKUP('Données projet'!$B$15,Paramètres!$A$1:$I$89,3,0)*VLOOKUP('Données projet'!$B$15,Paramètres!$A$1:$I$89,5,0)</f>
        <v>167.31000000000006</v>
      </c>
      <c r="EL51" s="13">
        <f t="shared" si="45"/>
        <v>42.486994942347515</v>
      </c>
      <c r="EM51" s="20">
        <f t="shared" si="19"/>
        <v>365.39643285792204</v>
      </c>
      <c r="EN51" s="59">
        <f t="shared" si="20"/>
        <v>619.15630154358973</v>
      </c>
      <c r="EO51" s="59">
        <f ca="1">AVERAGE(OFFSET($EN$3,0,0,'Données projet'!$E$15+1,1))-AVERAGE(OFFSET($H$3,0,0,'Données projet'!$E$15+1,1))</f>
        <v>294.24530606293143</v>
      </c>
      <c r="EP51" s="59">
        <f t="shared" si="46"/>
        <v>275.88160405468193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17.818950757227224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17.818950757227224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11</v>
      </c>
      <c r="FE51" s="12">
        <f>IF('Données projet'!$A$218&gt;35,FE50+FD51-FM50,IF(A51&lt;'Données projet'!$A$218,$FB$205^A51,IF(A51='Données projet'!$A$218,'Données projet'!$B$218,FE50+FD51-FM50)))</f>
        <v>195.00000000000006</v>
      </c>
      <c r="FF51" s="17">
        <f>FE51*VLOOKUP('Données projet'!$B$16,Paramètres!$A$1:$I$89,3,0)*VLOOKUP('Données projet'!$B$16,Paramètres!$A$1:$I$89,5,0)</f>
        <v>142.97400000000005</v>
      </c>
      <c r="FG51" s="13">
        <f t="shared" si="47"/>
        <v>36.977471400949995</v>
      </c>
      <c r="FH51" s="20">
        <f t="shared" si="22"/>
        <v>313.41547935665466</v>
      </c>
      <c r="FI51" s="59">
        <f t="shared" si="23"/>
        <v>567.17534804232241</v>
      </c>
      <c r="FJ51" s="59">
        <f ca="1">AVERAGE(OFFSET($FI$3,0,0,'Données projet'!$E$16+1,1))-AVERAGE(OFFSET($H$3,0,0,'Données projet'!$E$16+1,1))</f>
        <v>214.31585175697521</v>
      </c>
      <c r="FK51" s="59">
        <f t="shared" si="48"/>
        <v>244.60383864821372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12.354065001837473</v>
      </c>
      <c r="FR51" s="21">
        <f>EXP(-LN(2)/25)*FR50+(1-EXP(-LN(2)/25))/(LN(2)/25)*Calculateur!FM51*Calculateur!FO51*VLOOKUP('Données projet'!$B$16,Paramètres!$A$1:$I$89,3,0)*0.475*44/12</f>
        <v>0</v>
      </c>
      <c r="FS51" s="21">
        <f>EXP(-LN(2)/2)*FS50+(1-EXP(-LN(2)/2))/(LN(2)/2)*FM51*FP51*VLOOKUP('Données projet'!$B$16,Paramètres!$A$1:$I$89,3,0)*0.475*44/12</f>
        <v>0</v>
      </c>
      <c r="FT51" s="22">
        <f t="shared" si="24"/>
        <v>12.354065001837473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7</v>
      </c>
      <c r="FZ51" s="12">
        <f>IF('Données projet'!$A$244&gt;35,FZ50+FY51-GH50,IF(A51&lt;'Données projet'!$A$244,$FW$205^A51,IF(A51='Données projet'!$A$244,'Données projet'!$B$244,FZ50+FY51-GH50)))</f>
        <v>260.00000000000006</v>
      </c>
      <c r="GA51" s="17">
        <f>FZ51*VLOOKUP('Données projet'!$B$17,Paramètres!$A$1:$I$89,3,0)*VLOOKUP('Données projet'!$B$17,Paramètres!$A$1:$I$89,5,0)</f>
        <v>206.85600000000005</v>
      </c>
      <c r="GB51" s="13">
        <f t="shared" si="49"/>
        <v>51.247940588293027</v>
      </c>
      <c r="GC51" s="20">
        <f t="shared" si="25"/>
        <v>449.53102985794379</v>
      </c>
      <c r="GD51" s="59">
        <f t="shared" si="26"/>
        <v>703.29089854361155</v>
      </c>
      <c r="GE51" s="59">
        <f ca="1">AVERAGE(OFFSET($GD$3,0,0,'Données projet'!$E$17+1,1))-AVERAGE(OFFSET($H$3,0,0,'Données projet'!$E$17+1,1))</f>
        <v>308.33954512886351</v>
      </c>
      <c r="GF51" s="59">
        <f t="shared" si="50"/>
        <v>408.79075392716277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18.450364030528434</v>
      </c>
      <c r="GM51" s="21">
        <f>EXP(-LN(2)/25)*GM50+(1-EXP(-LN(2)/25))/(LN(2)/25)*Calculateur!GH51*Calculateur!GJ51*VLOOKUP('Données projet'!$B$17,Paramètres!$A$1:$I$89,3,0)*0.475*44/12</f>
        <v>0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18.450364030528434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342.84342155097613</v>
      </c>
      <c r="T52" s="59">
        <f t="shared" si="34"/>
        <v>565.68976940602215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159.83433921222723</v>
      </c>
      <c r="AA52" s="21">
        <f>EXP(-LN(2)/25)*AA51+(1-EXP(-LN(2)/25))/(LN(2)/25)*Calculateur!V52*Calculateur!X52*VLOOKUP('Données projet'!$B$9,Paramètres!$A$1:$I$89,3,0)*0.475*44/12</f>
        <v>79.063681569721254</v>
      </c>
      <c r="AB52" s="21">
        <f>EXP(-LN(2)/2)*AB51+(1-EXP(-LN(2)/2))/(LN(2)/2)*V52*Y52*VLOOKUP('Données projet'!$B$9,Paramètres!$A$1:$I$89,3,0)*0.475*44/12</f>
        <v>10.347487295078176</v>
      </c>
      <c r="AC52" s="22">
        <f t="shared" si="3"/>
        <v>249.24550807702667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206.00000000000006</v>
      </c>
      <c r="AJ52" s="13">
        <f>AI52*VLOOKUP('Données projet'!$B$10,Paramètres!$A$1:$I$89,3,0)*VLOOKUP('Données projet'!$B$10,Paramètres!$A$1:$I$89,5,0)</f>
        <v>196.02960000000004</v>
      </c>
      <c r="AK52" s="13">
        <f t="shared" si="35"/>
        <v>48.870578290511943</v>
      </c>
      <c r="AL52" s="20">
        <f t="shared" si="4"/>
        <v>426.53447718930829</v>
      </c>
      <c r="AM52" s="59">
        <f t="shared" si="5"/>
        <v>680.98085701360026</v>
      </c>
      <c r="AN52" s="59">
        <f ca="1">AVERAGE(OFFSET($AM$3,0,0,'Données projet'!$E$10+1,1))-AVERAGE(OFFSET($H$3,0,0,'Données projet'!$E$10+1,1))</f>
        <v>320.33056209214476</v>
      </c>
      <c r="AO52" s="59">
        <f t="shared" si="36"/>
        <v>299.27200854723446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524.56609765506971</v>
      </c>
      <c r="BI52" s="59">
        <f ca="1">AVERAGE(OFFSET($BH$3,0,0,'Données projet'!$E$11+1,1))-AVERAGE(OFFSET($H$3,0,0,'Données projet'!$E$11+1,1))</f>
        <v>256.85706398254547</v>
      </c>
      <c r="BJ52" s="59">
        <f t="shared" si="38"/>
        <v>363.68094621014734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50.65373931846672</v>
      </c>
      <c r="BQ52" s="21">
        <f>EXP(-LN(2)/25)*BQ51+(1-EXP(-LN(2)/25))/(LN(2)/25)*Calculateur!BL52*Calculateur!BN52*VLOOKUP('Données projet'!$B$11,Paramètres!$A$1:$I$89,3,0)*0.475*44/12</f>
        <v>32.383751604234504</v>
      </c>
      <c r="BR52" s="21">
        <f>EXP(-LN(2)/2)*BR51+(1-EXP(-LN(2)/2))/(LN(2)/2)*BL52*BO52*VLOOKUP('Données projet'!$B$11,Paramètres!$A$1:$I$89,3,0)*0.475*44/12</f>
        <v>7.4459031993994715</v>
      </c>
      <c r="BS52" s="22">
        <f t="shared" si="9"/>
        <v>90.483394122100691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3.125</v>
      </c>
      <c r="BY52" s="12">
        <f>IF('Données projet'!$A$114&gt;35,BY51+BX52-CG51,IF(A52&lt;'Données projet'!$A$114,$BV$205^A52,IF(A52='Données projet'!$A$114,'Données projet'!$B$114,BY51+BX52-CG51)))</f>
        <v>117.875</v>
      </c>
      <c r="BZ52" s="13">
        <f>BY52*VLOOKUP('Données projet'!$B$12,Paramètres!$A$1:$I$89,3,0)*VLOOKUP('Données projet'!$B$12,Paramètres!$A$1:$I$89,5,0)</f>
        <v>106.65329999999999</v>
      </c>
      <c r="CA52" s="13">
        <f t="shared" si="39"/>
        <v>28.541063662932633</v>
      </c>
      <c r="CB52" s="20">
        <f t="shared" si="10"/>
        <v>235.46351671294099</v>
      </c>
      <c r="CC52" s="59">
        <f t="shared" si="11"/>
        <v>489.90989653723295</v>
      </c>
      <c r="CD52" s="59">
        <f ca="1">AVERAGE(OFFSET($CC$3,0,0,'Données projet'!$E$12+1,1))-AVERAGE(OFFSET($H$3,0,0,'Données projet'!$E$12+1,1))</f>
        <v>357.68828740212223</v>
      </c>
      <c r="CE52" s="59">
        <f t="shared" si="40"/>
        <v>236.76626845829483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2.2465361382556401</v>
      </c>
      <c r="CL52" s="21">
        <f>EXP(-LN(2)/25)*CL51+(1-EXP(-LN(2)/25))/(LN(2)/25)*Calculateur!CG52*Calculateur!CI52*VLOOKUP('Données projet'!$B$12,Paramètres!$A$1:$I$89,3,0)*0.475*44/12</f>
        <v>2.1169843688699181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4.3635205071255587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7</v>
      </c>
      <c r="CT52" s="12">
        <f>IF('Données projet'!$A$140&gt;35,CT51+CS52-DB51,IF(A52&lt;'Données projet'!$A$140,$CQ$205^A52,IF(A52='Données projet'!$A$140,'Données projet'!$B$140,CT51+CS52-DB51)))</f>
        <v>267.00000000000006</v>
      </c>
      <c r="CU52" s="17">
        <f>CT52*VLOOKUP('Données projet'!$B$13,Paramètres!$A$1:$I$89,3,0)*VLOOKUP('Données projet'!$B$13,Paramètres!$A$1:$I$89,5,0)</f>
        <v>174.93840000000003</v>
      </c>
      <c r="CV52" s="13">
        <f t="shared" si="41"/>
        <v>44.19421086520321</v>
      </c>
      <c r="CW52" s="20">
        <f t="shared" si="13"/>
        <v>381.6559639235623</v>
      </c>
      <c r="CX52" s="59">
        <f t="shared" si="14"/>
        <v>636.10234374785432</v>
      </c>
      <c r="CY52" s="59">
        <f ca="1">AVERAGE(OFFSET($CX$3,0,0,'Données projet'!$E$13+1,1))-AVERAGE(OFFSET($H$3,0,0,'Données projet'!$E$13+1,1))</f>
        <v>220.18342986563667</v>
      </c>
      <c r="CZ52" s="59">
        <f t="shared" si="42"/>
        <v>347.84382145531163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1.4216755949305262E-2</v>
      </c>
      <c r="DI52" s="22">
        <f t="shared" si="15"/>
        <v>1.4216755949305262E-2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3.125</v>
      </c>
      <c r="DO52" s="12">
        <f>IF('Données projet'!$A$166&gt;35,DO51+DN52-DW51,IF(A52&lt;'Données projet'!$A$166,$DL$205^A52,IF(A52='Données projet'!$A$166,'Données projet'!$B$166,DO51+DN52-DW51)))</f>
        <v>117.875</v>
      </c>
      <c r="DP52" s="17">
        <f>DO52*VLOOKUP('Données projet'!$B$14,Paramètres!$A$1:$I$89,3,0)*VLOOKUP('Données projet'!$B$14,Paramètres!$A$1:$I$89,5,0)</f>
        <v>119.52525000000001</v>
      </c>
      <c r="DQ52" s="13">
        <f t="shared" si="43"/>
        <v>31.564246119833992</v>
      </c>
      <c r="DR52" s="20">
        <f t="shared" si="16"/>
        <v>263.14753907537755</v>
      </c>
      <c r="DS52" s="59">
        <f t="shared" si="17"/>
        <v>517.59391889966946</v>
      </c>
      <c r="DT52" s="59">
        <f ca="1">AVERAGE(OFFSET($DS$3,0,0,'Données projet'!$E$14+1,1))-AVERAGE(OFFSET($H$3,0,0,'Données projet'!$E$14+1,1))</f>
        <v>392.49465607243178</v>
      </c>
      <c r="DU52" s="59">
        <f t="shared" si="44"/>
        <v>258.031856676031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2.5176698101140804</v>
      </c>
      <c r="EB52" s="21">
        <f>EXP(-LN(2)/25)*EB51+(1-EXP(-LN(2)/25))/(LN(2)/25)*Calculateur!DW52*Calculateur!DY52*VLOOKUP('Données projet'!$B$14,Paramètres!$A$1:$I$89,3,0)*0.475*44/12</f>
        <v>2.3724824823542181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4.890152292468299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206.00000000000006</v>
      </c>
      <c r="EK52" s="17">
        <f>EJ52*VLOOKUP('Données projet'!$B$15,Paramètres!$A$1:$I$89,3,0)*VLOOKUP('Données projet'!$B$15,Paramètres!$A$1:$I$89,5,0)</f>
        <v>176.74800000000008</v>
      </c>
      <c r="EL52" s="13">
        <f t="shared" si="45"/>
        <v>44.597910160550732</v>
      </c>
      <c r="EM52" s="20">
        <f t="shared" si="19"/>
        <v>385.51079352962597</v>
      </c>
      <c r="EN52" s="59">
        <f t="shared" si="20"/>
        <v>639.95717335391794</v>
      </c>
      <c r="EO52" s="59">
        <f ca="1">AVERAGE(OFFSET($EN$3,0,0,'Données projet'!$E$15+1,1))-AVERAGE(OFFSET($H$3,0,0,'Données projet'!$E$15+1,1))</f>
        <v>294.24530606293143</v>
      </c>
      <c r="EP52" s="59">
        <f t="shared" si="46"/>
        <v>275.88160405468193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17.469532001364787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17.469532001364787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11</v>
      </c>
      <c r="FE52" s="12">
        <f>IF('Données projet'!$A$218&gt;35,FE51+FD52-FM51,IF(A52&lt;'Données projet'!$A$218,$FB$205^A52,IF(A52='Données projet'!$A$218,'Données projet'!$B$218,FE51+FD52-FM51)))</f>
        <v>206.00000000000006</v>
      </c>
      <c r="FF52" s="17">
        <f>FE52*VLOOKUP('Données projet'!$B$16,Paramètres!$A$1:$I$89,3,0)*VLOOKUP('Données projet'!$B$16,Paramètres!$A$1:$I$89,5,0)</f>
        <v>151.03920000000005</v>
      </c>
      <c r="FG52" s="13">
        <f t="shared" si="47"/>
        <v>38.814652571726079</v>
      </c>
      <c r="FH52" s="20">
        <f t="shared" si="22"/>
        <v>330.662126562423</v>
      </c>
      <c r="FI52" s="59">
        <f t="shared" si="23"/>
        <v>585.10850638671491</v>
      </c>
      <c r="FJ52" s="59">
        <f ca="1">AVERAGE(OFFSET($FI$3,0,0,'Données projet'!$E$16+1,1))-AVERAGE(OFFSET($H$3,0,0,'Données projet'!$E$16+1,1))</f>
        <v>214.31585175697521</v>
      </c>
      <c r="FK52" s="59">
        <f t="shared" si="48"/>
        <v>244.60383864821372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12.111809322387048</v>
      </c>
      <c r="FR52" s="21">
        <f>EXP(-LN(2)/25)*FR51+(1-EXP(-LN(2)/25))/(LN(2)/25)*Calculateur!FM52*Calculateur!FO52*VLOOKUP('Données projet'!$B$16,Paramètres!$A$1:$I$89,3,0)*0.475*44/12</f>
        <v>0</v>
      </c>
      <c r="FS52" s="21">
        <f>EXP(-LN(2)/2)*FS51+(1-EXP(-LN(2)/2))/(LN(2)/2)*FM52*FP52*VLOOKUP('Données projet'!$B$16,Paramètres!$A$1:$I$89,3,0)*0.475*44/12</f>
        <v>0</v>
      </c>
      <c r="FT52" s="22">
        <f t="shared" si="24"/>
        <v>12.111809322387048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7</v>
      </c>
      <c r="FZ52" s="12">
        <f>IF('Données projet'!$A$244&gt;35,FZ51+FY52-GH51,IF(A52&lt;'Données projet'!$A$244,$FW$205^A52,IF(A52='Données projet'!$A$244,'Données projet'!$B$244,FZ51+FY52-GH51)))</f>
        <v>267.00000000000006</v>
      </c>
      <c r="GA52" s="17">
        <f>FZ52*VLOOKUP('Données projet'!$B$17,Paramètres!$A$1:$I$89,3,0)*VLOOKUP('Données projet'!$B$17,Paramètres!$A$1:$I$89,5,0)</f>
        <v>212.42520000000007</v>
      </c>
      <c r="GB52" s="13">
        <f t="shared" si="49"/>
        <v>52.465198231787234</v>
      </c>
      <c r="GC52" s="20">
        <f t="shared" si="25"/>
        <v>461.35077692036288</v>
      </c>
      <c r="GD52" s="59">
        <f t="shared" si="26"/>
        <v>715.79715674465479</v>
      </c>
      <c r="GE52" s="59">
        <f ca="1">AVERAGE(OFFSET($GD$3,0,0,'Données projet'!$E$17+1,1))-AVERAGE(OFFSET($H$3,0,0,'Données projet'!$E$17+1,1))</f>
        <v>308.33954512886351</v>
      </c>
      <c r="GF52" s="59">
        <f t="shared" si="50"/>
        <v>408.79075392716277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18.088563645500628</v>
      </c>
      <c r="GM52" s="21">
        <f>EXP(-LN(2)/25)*GM51+(1-EXP(-LN(2)/25))/(LN(2)/25)*Calculateur!GH52*Calculateur!GJ52*VLOOKUP('Données projet'!$B$17,Paramètres!$A$1:$I$89,3,0)*0.475*44/12</f>
        <v>0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18.088563645500628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342.84342155097613</v>
      </c>
      <c r="T53" s="59">
        <f t="shared" si="34"/>
        <v>565.68976940602215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156.70008530959612</v>
      </c>
      <c r="AA53" s="21">
        <f>EXP(-LN(2)/25)*AA52+(1-EXP(-LN(2)/25))/(LN(2)/25)*Calculateur!V53*Calculateur!X53*VLOOKUP('Données projet'!$B$9,Paramètres!$A$1:$I$89,3,0)*0.475*44/12</f>
        <v>76.901681039418918</v>
      </c>
      <c r="AB53" s="21">
        <f>EXP(-LN(2)/2)*AB52+(1-EXP(-LN(2)/2))/(LN(2)/2)*V53*Y53*VLOOKUP('Données projet'!$B$9,Paramètres!$A$1:$I$89,3,0)*0.475*44/12</f>
        <v>7.3167784345914253</v>
      </c>
      <c r="AC53" s="22">
        <f t="shared" si="3"/>
        <v>240.91854478360645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217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217.00000000000006</v>
      </c>
      <c r="AJ53" s="13">
        <f>AI53*VLOOKUP('Données projet'!$B$10,Paramètres!$A$1:$I$89,3,0)*VLOOKUP('Données projet'!$B$10,Paramètres!$A$1:$I$89,5,0)</f>
        <v>206.49720000000005</v>
      </c>
      <c r="AK53" s="13">
        <f t="shared" si="35"/>
        <v>51.16938803514504</v>
      </c>
      <c r="AL53" s="20">
        <f t="shared" si="4"/>
        <v>448.76930749454436</v>
      </c>
      <c r="AM53" s="59">
        <f t="shared" si="5"/>
        <v>703.89028902401446</v>
      </c>
      <c r="AN53" s="59">
        <f ca="1">AVERAGE(OFFSET($AM$3,0,0,'Données projet'!$E$10+1,1))-AVERAGE(OFFSET($H$3,0,0,'Données projet'!$E$10+1,1))</f>
        <v>320.33056209214476</v>
      </c>
      <c r="AO53" s="59">
        <f t="shared" si="36"/>
        <v>299.27200854723446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0.215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6.3078982147595282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6.3078982147595282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538.2948702456938</v>
      </c>
      <c r="BI53" s="59">
        <f ca="1">AVERAGE(OFFSET($BH$3,0,0,'Données projet'!$E$11+1,1))-AVERAGE(OFFSET($H$3,0,0,'Données projet'!$E$11+1,1))</f>
        <v>256.85706398254547</v>
      </c>
      <c r="BJ53" s="59">
        <f t="shared" si="38"/>
        <v>363.68094621014734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49.66045038616187</v>
      </c>
      <c r="BQ53" s="21">
        <f>EXP(-LN(2)/25)*BQ52+(1-EXP(-LN(2)/25))/(LN(2)/25)*Calculateur!BL53*Calculateur!BN53*VLOOKUP('Données projet'!$B$11,Paramètres!$A$1:$I$89,3,0)*0.475*44/12</f>
        <v>31.498216213629227</v>
      </c>
      <c r="BR53" s="21">
        <f>EXP(-LN(2)/2)*BR52+(1-EXP(-LN(2)/2))/(LN(2)/2)*BL53*BO53*VLOOKUP('Données projet'!$B$11,Paramètres!$A$1:$I$89,3,0)*0.475*44/12</f>
        <v>5.2650486443539766</v>
      </c>
      <c r="BS53" s="22">
        <f t="shared" si="9"/>
        <v>86.423715244145086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3.125</v>
      </c>
      <c r="BX53" s="12">
        <f t="array" ref="BX53">INDEX(BW:BW,MIN(IF(ISNUMBER(BW53:BW249),ROW(BW53:BW249),"")))</f>
        <v>3.125</v>
      </c>
      <c r="BY53" s="12">
        <f>IF('Données projet'!$A$114&gt;35,BY52+BX53-CG52,IF(A53&lt;'Données projet'!$A$114,$BV$205^A53,IF(A53='Données projet'!$A$114,'Données projet'!$B$114,BY52+BX53-CG52)))</f>
        <v>121</v>
      </c>
      <c r="BZ53" s="13">
        <f>BY53*VLOOKUP('Données projet'!$B$12,Paramètres!$A$1:$I$89,3,0)*VLOOKUP('Données projet'!$B$12,Paramètres!$A$1:$I$89,5,0)</f>
        <v>109.48079999999999</v>
      </c>
      <c r="CA53" s="13">
        <f t="shared" si="39"/>
        <v>29.208623339903898</v>
      </c>
      <c r="CB53" s="20">
        <f t="shared" si="10"/>
        <v>241.5507456503326</v>
      </c>
      <c r="CC53" s="59">
        <f t="shared" si="11"/>
        <v>496.6717271798027</v>
      </c>
      <c r="CD53" s="59">
        <f ca="1">AVERAGE(OFFSET($CC$3,0,0,'Données projet'!$E$12+1,1))-AVERAGE(OFFSET($H$3,0,0,'Données projet'!$E$12+1,1))</f>
        <v>357.68828740212223</v>
      </c>
      <c r="CE53" s="59">
        <f t="shared" si="40"/>
        <v>236.76626845829483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</v>
      </c>
      <c r="CH53" s="16">
        <f>IF(ISNA(VLOOKUP(A53,'Données projet'!$A$113:$I$133,5,0)),0%,VLOOKUP(A53,'Données projet'!$A$113:$I$133,5,0)*VLOOKUP('Données projet'!$B$12,Paramètres!$A$1:$I$89,7,0))</f>
        <v>8.6000000000000007E-2</v>
      </c>
      <c r="CI53" s="16">
        <f>IF(ISNA(VLOOKUP(A53,'Données projet'!$A$113:$I$133,6,0)),0%,VLOOKUP(A53,'Données projet'!$A$113:$I$133,6,0)*VLOOKUP('Données projet'!$B$12,Paramètres!$A$1:$I$89,7,0))</f>
        <v>8.6000000000000007E-2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5.2131740290344446</v>
      </c>
      <c r="CL53" s="21">
        <f>EXP(-LN(2)/25)*CL52+(1-EXP(-LN(2)/25))/(LN(2)/25)*Calculateur!CG53*Calculateur!CI53*VLOOKUP('Données projet'!$B$12,Paramètres!$A$1:$I$89,3,0)*0.475*44/12</f>
        <v>5.0579321761729528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10.271106205207397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274</v>
      </c>
      <c r="CR53" s="12">
        <f>VLOOKUP(A53,'Données projet'!$A$139:$I$159,9,0)</f>
        <v>7</v>
      </c>
      <c r="CS53" s="12">
        <f t="array" ref="CS53">INDEX(CR:CR,MIN(IF(ISNUMBER(CR53:CR249),ROW(CR53:CR249),"")))</f>
        <v>7</v>
      </c>
      <c r="CT53" s="12">
        <f>IF('Données projet'!$A$140&gt;35,CT52+CS53-DB52,IF(A53&lt;'Données projet'!$A$140,$CQ$205^A53,IF(A53='Données projet'!$A$140,'Données projet'!$B$140,CT52+CS53-DB52)))</f>
        <v>274.00000000000006</v>
      </c>
      <c r="CU53" s="17">
        <f>CT53*VLOOKUP('Données projet'!$B$13,Paramètres!$A$1:$I$89,3,0)*VLOOKUP('Données projet'!$B$13,Paramètres!$A$1:$I$89,5,0)</f>
        <v>179.52480000000006</v>
      </c>
      <c r="CV53" s="13">
        <f t="shared" si="41"/>
        <v>45.216446661458264</v>
      </c>
      <c r="CW53" s="20">
        <f t="shared" si="13"/>
        <v>391.42433793537322</v>
      </c>
      <c r="CX53" s="59">
        <f t="shared" si="14"/>
        <v>646.54531946484326</v>
      </c>
      <c r="CY53" s="59">
        <f ca="1">AVERAGE(OFFSET($CX$3,0,0,'Données projet'!$E$13+1,1))-AVERAGE(OFFSET($H$3,0,0,'Données projet'!$E$13+1,1))</f>
        <v>220.18342986563667</v>
      </c>
      <c r="CZ53" s="59">
        <f t="shared" si="42"/>
        <v>347.84382145531163</v>
      </c>
      <c r="DA53" s="15">
        <f>IF(ISNA(VLOOKUP(A53,'Données projet'!$A$139:$I$159,3,0)),0,VLOOKUP(A53,'Données projet'!$A$139:$I$159,3,0))</f>
        <v>6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1.0052764538227944E-2</v>
      </c>
      <c r="DI53" s="22">
        <f t="shared" si="15"/>
        <v>1.0052764538227944E-2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121</v>
      </c>
      <c r="DM53" s="12">
        <f>VLOOKUP(A53,'Données projet'!$A$165:$I$185,9,0)</f>
        <v>3.125</v>
      </c>
      <c r="DN53" s="12">
        <f t="array" ref="DN53">INDEX(DM:DM,MIN(IF(ISNUMBER(DM53:DM249),ROW(DM53:DM249),"")))</f>
        <v>3.125</v>
      </c>
      <c r="DO53" s="12">
        <f>IF('Données projet'!$A$166&gt;35,DO52+DN53-DW52,IF(A53&lt;'Données projet'!$A$166,$DL$205^A53,IF(A53='Données projet'!$A$166,'Données projet'!$B$166,DO52+DN53-DW52)))</f>
        <v>121</v>
      </c>
      <c r="DP53" s="17">
        <f>DO53*VLOOKUP('Données projet'!$B$14,Paramètres!$A$1:$I$89,3,0)*VLOOKUP('Données projet'!$B$14,Paramètres!$A$1:$I$89,5,0)</f>
        <v>122.69400000000002</v>
      </c>
      <c r="DQ53" s="13">
        <f t="shared" si="43"/>
        <v>32.302516360650685</v>
      </c>
      <c r="DR53" s="20">
        <f t="shared" si="16"/>
        <v>269.95226599479992</v>
      </c>
      <c r="DS53" s="59">
        <f t="shared" si="17"/>
        <v>525.07324752427007</v>
      </c>
      <c r="DT53" s="59">
        <f ca="1">AVERAGE(OFFSET($DS$3,0,0,'Données projet'!$E$14+1,1))-AVERAGE(OFFSET($H$3,0,0,'Données projet'!$E$14+1,1))</f>
        <v>392.49465607243178</v>
      </c>
      <c r="DU53" s="59">
        <f t="shared" si="44"/>
        <v>258.031856676031</v>
      </c>
      <c r="DV53" s="15">
        <f>IF(ISNA(VLOOKUP(A53,'Données projet'!$A$165:$I$185,3,0)),0,VLOOKUP(A53,'Données projet'!$A$165:$I$185,3,0))</f>
        <v>2</v>
      </c>
      <c r="DW53" s="15">
        <f>IF(ISNA(VLOOKUP(A53,'Données projet'!$A$165:$I$185,4,0)),0,VLOOKUP(A53,'Données projet'!$A$165:$I$185,4,0))</f>
        <v>35</v>
      </c>
      <c r="DX53" s="16">
        <f>IF(ISNA(VLOOKUP(A53,'Données projet'!$A$165:$I$185,5,0)),0%,VLOOKUP(A53,'Données projet'!$A$165:$I$185,5,0)*VLOOKUP('Données projet'!$B$14,Paramètres!$A$1:$I$89,7,0))</f>
        <v>8.6000000000000007E-2</v>
      </c>
      <c r="DY53" s="16">
        <f>IF(ISNA(VLOOKUP(A53,'Données projet'!$A$165:$I$185,6,0)),0%,VLOOKUP(A53,'Données projet'!$A$165:$I$185,6,0)*VLOOKUP('Données projet'!$B$14,Paramètres!$A$1:$I$89,7,0))</f>
        <v>8.6000000000000007E-2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5.8423502049523961</v>
      </c>
      <c r="EB53" s="21">
        <f>EXP(-LN(2)/25)*EB52+(1-EXP(-LN(2)/25))/(LN(2)/25)*Calculateur!DW53*Calculateur!DY53*VLOOKUP('Données projet'!$B$14,Paramètres!$A$1:$I$89,3,0)*0.475*44/12</f>
        <v>5.6683722664007234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11.51072247135312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217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217.00000000000006</v>
      </c>
      <c r="EK53" s="17">
        <f>EJ53*VLOOKUP('Données projet'!$B$15,Paramètres!$A$1:$I$89,3,0)*VLOOKUP('Données projet'!$B$15,Paramètres!$A$1:$I$89,5,0)</f>
        <v>186.18600000000006</v>
      </c>
      <c r="EL53" s="13">
        <f t="shared" si="45"/>
        <v>46.69573903947046</v>
      </c>
      <c r="EM53" s="20">
        <f t="shared" si="19"/>
        <v>405.60236216041108</v>
      </c>
      <c r="EN53" s="59">
        <f t="shared" si="20"/>
        <v>660.72334368988118</v>
      </c>
      <c r="EO53" s="59">
        <f ca="1">AVERAGE(OFFSET($EN$3,0,0,'Données projet'!$E$15+1,1))-AVERAGE(OFFSET($H$3,0,0,'Données projet'!$E$15+1,1))</f>
        <v>294.24530606293143</v>
      </c>
      <c r="EP53" s="59">
        <f t="shared" si="46"/>
        <v>275.88160405468193</v>
      </c>
      <c r="EQ53" s="15">
        <f>IF(ISNA(VLOOKUP(A53,'Données projet'!$A$191:$I$211,3,0)),0,VLOOKUP(A53,'Données projet'!$A$191:$I$211,3,0))</f>
        <v>6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0.42400000000000004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28.387480982889841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28.387480982889841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217</v>
      </c>
      <c r="FC53" s="12">
        <f>VLOOKUP(A53,'Données projet'!$A$217:$I$237,9,0)</f>
        <v>11</v>
      </c>
      <c r="FD53" s="12">
        <f t="array" ref="FD53">INDEX(FC:FC,MIN(IF(ISNUMBER(FC53:FC249),ROW(FC53:FC249),"")))</f>
        <v>11</v>
      </c>
      <c r="FE53" s="12">
        <f>IF('Données projet'!$A$218&gt;35,FE52+FD53-FM52,IF(A53&lt;'Données projet'!$A$218,$FB$205^A53,IF(A53='Données projet'!$A$218,'Données projet'!$B$218,FE52+FD53-FM52)))</f>
        <v>217.00000000000006</v>
      </c>
      <c r="FF53" s="17">
        <f>FE53*VLOOKUP('Données projet'!$B$16,Paramètres!$A$1:$I$89,3,0)*VLOOKUP('Données projet'!$B$16,Paramètres!$A$1:$I$89,5,0)</f>
        <v>159.10440000000006</v>
      </c>
      <c r="FG53" s="13">
        <f t="shared" si="47"/>
        <v>40.640444381186896</v>
      </c>
      <c r="FH53" s="20">
        <f t="shared" si="22"/>
        <v>347.88893729723395</v>
      </c>
      <c r="FI53" s="59">
        <f t="shared" si="23"/>
        <v>603.00991882670405</v>
      </c>
      <c r="FJ53" s="59">
        <f ca="1">AVERAGE(OFFSET($FI$3,0,0,'Données projet'!$E$16+1,1))-AVERAGE(OFFSET($H$3,0,0,'Données projet'!$E$16+1,1))</f>
        <v>214.31585175697521</v>
      </c>
      <c r="FK53" s="59">
        <f t="shared" si="48"/>
        <v>244.60383864821372</v>
      </c>
      <c r="FL53" s="15">
        <f>IF(ISNA(VLOOKUP(A53,'Données projet'!$A$217:$I$237,3,0)),0,VLOOKUP(A53,'Données projet'!$A$217:$I$237,3,0))</f>
        <v>6</v>
      </c>
      <c r="FM53" s="15">
        <f>IF(ISNA(VLOOKUP(A53,'Données projet'!$A$217:$I$237,4,0)),0,VLOOKUP(A53,'Données projet'!$A$217:$I$237,4,0))</f>
        <v>28</v>
      </c>
      <c r="FN53" s="16">
        <f>IF(ISNA(VLOOKUP(A53,'Données projet'!$A$217:$I$237,5,0)),0%,VLOOKUP(A53,'Données projet'!$A$217:$I$237,5,0)*VLOOKUP('Données projet'!$B$16,Paramètres!$A$1:$I$89,7,0))</f>
        <v>0.34400000000000003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19.681337587108192</v>
      </c>
      <c r="FR53" s="21">
        <f>EXP(-LN(2)/25)*FR52+(1-EXP(-LN(2)/25))/(LN(2)/25)*Calculateur!FM53*Calculateur!FO53*VLOOKUP('Données projet'!$B$16,Paramètres!$A$1:$I$89,3,0)*0.475*44/12</f>
        <v>0</v>
      </c>
      <c r="FS53" s="21">
        <f>EXP(-LN(2)/2)*FS52+(1-EXP(-LN(2)/2))/(LN(2)/2)*FM53*FP53*VLOOKUP('Données projet'!$B$16,Paramètres!$A$1:$I$89,3,0)*0.475*44/12</f>
        <v>0</v>
      </c>
      <c r="FT53" s="22">
        <f t="shared" si="24"/>
        <v>19.681337587108192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274</v>
      </c>
      <c r="FX53" s="12">
        <f>VLOOKUP(A53,'Données projet'!$A$243:$I$263,9,0)</f>
        <v>7</v>
      </c>
      <c r="FY53" s="12">
        <f t="array" ref="FY53">INDEX(FX:FX,MIN(IF(ISNUMBER(FX53:FX249),ROW(FX53:FX249),"")))</f>
        <v>7</v>
      </c>
      <c r="FZ53" s="12">
        <f>IF('Données projet'!$A$244&gt;35,FZ52+FY53-GH52,IF(A53&lt;'Données projet'!$A$244,$FW$205^A53,IF(A53='Données projet'!$A$244,'Données projet'!$B$244,FZ52+FY53-GH52)))</f>
        <v>274.00000000000006</v>
      </c>
      <c r="GA53" s="17">
        <f>FZ53*VLOOKUP('Données projet'!$B$17,Paramètres!$A$1:$I$89,3,0)*VLOOKUP('Données projet'!$B$17,Paramètres!$A$1:$I$89,5,0)</f>
        <v>217.99440000000007</v>
      </c>
      <c r="GB53" s="13">
        <f t="shared" si="49"/>
        <v>53.678746401110416</v>
      </c>
      <c r="GC53" s="20">
        <f t="shared" si="25"/>
        <v>473.16406331526747</v>
      </c>
      <c r="GD53" s="59">
        <f t="shared" si="26"/>
        <v>728.28504484473751</v>
      </c>
      <c r="GE53" s="59">
        <f ca="1">AVERAGE(OFFSET($GD$3,0,0,'Données projet'!$E$17+1,1))-AVERAGE(OFFSET($H$3,0,0,'Données projet'!$E$17+1,1))</f>
        <v>308.33954512886351</v>
      </c>
      <c r="GF53" s="59">
        <f t="shared" si="50"/>
        <v>408.79075392716277</v>
      </c>
      <c r="GG53" s="15">
        <f>IF(ISNA(VLOOKUP(A53,'Données projet'!$A$243:$I$263,3,0)),0,VLOOKUP(A53,'Données projet'!$A$243:$I$263,3,0))</f>
        <v>6</v>
      </c>
      <c r="GH53" s="15">
        <f>IF(ISNA(VLOOKUP(A53,'Données projet'!$A$243:$I$263,4,0)),0,VLOOKUP(A53,'Données projet'!$A$243:$I$263,4,0))</f>
        <v>17</v>
      </c>
      <c r="GI53" s="16">
        <f>IF(ISNA(VLOOKUP(A53,'Données projet'!$A$243:$I$263,5,0)),0%,VLOOKUP(A53,'Données projet'!$A$243:$I$263,5,0)*VLOOKUP('Données projet'!$B$17,Paramètres!$A$1:$I$89,7,0))</f>
        <v>0.42400000000000004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24.073382127704615</v>
      </c>
      <c r="GM53" s="21">
        <f>EXP(-LN(2)/25)*GM52+(1-EXP(-LN(2)/25))/(LN(2)/25)*Calculateur!GH53*Calculateur!GJ53*VLOOKUP('Données projet'!$B$17,Paramètres!$A$1:$I$89,3,0)*0.475*44/12</f>
        <v>0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24.073382127704615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342.84342155097613</v>
      </c>
      <c r="T54" s="59">
        <f t="shared" si="34"/>
        <v>565.68976940602215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153.62729221428947</v>
      </c>
      <c r="AA54" s="21">
        <f>EXP(-LN(2)/25)*AA53+(1-EXP(-LN(2)/25))/(LN(2)/25)*Calculateur!V54*Calculateur!X54*VLOOKUP('Données projet'!$B$9,Paramètres!$A$1:$I$89,3,0)*0.475*44/12</f>
        <v>74.798800527312366</v>
      </c>
      <c r="AB54" s="21">
        <f>EXP(-LN(2)/2)*AB53+(1-EXP(-LN(2)/2))/(LN(2)/2)*V54*Y54*VLOOKUP('Données projet'!$B$9,Paramètres!$A$1:$I$89,3,0)*0.475*44/12</f>
        <v>5.173743647539089</v>
      </c>
      <c r="AC54" s="22">
        <f t="shared" si="3"/>
        <v>233.59983638914093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</v>
      </c>
      <c r="AI54" s="13">
        <f>IF('Données projet'!$A$62&gt;35,AI53+AH54-AQ53,IF(A54&lt;'Données projet'!$A$62,$AF$205^A54,IF(A54='Données projet'!$A$62,'Données projet'!$B$62,AI53+AH54-AQ53)))</f>
        <v>200.00000000000006</v>
      </c>
      <c r="AJ54" s="13">
        <f>AI54*VLOOKUP('Données projet'!$B$10,Paramètres!$A$1:$I$89,3,0)*VLOOKUP('Données projet'!$B$10,Paramètres!$A$1:$I$89,5,0)</f>
        <v>190.32000000000005</v>
      </c>
      <c r="AK54" s="13">
        <f t="shared" si="35"/>
        <v>47.610693377401923</v>
      </c>
      <c r="AL54" s="20">
        <f t="shared" si="4"/>
        <v>414.39595763230841</v>
      </c>
      <c r="AM54" s="59">
        <f t="shared" si="5"/>
        <v>670.17983803555524</v>
      </c>
      <c r="AN54" s="59">
        <f ca="1">AVERAGE(OFFSET($AM$3,0,0,'Données projet'!$E$10+1,1))-AVERAGE(OFFSET($H$3,0,0,'Données projet'!$E$10+1,1))</f>
        <v>320.33056209214476</v>
      </c>
      <c r="AO54" s="59">
        <f t="shared" si="36"/>
        <v>299.27200854723446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6.1354084063589784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6.1354084063589784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551.99846359706112</v>
      </c>
      <c r="BI54" s="59">
        <f ca="1">AVERAGE(OFFSET($BH$3,0,0,'Données projet'!$E$11+1,1))-AVERAGE(OFFSET($H$3,0,0,'Données projet'!$E$11+1,1))</f>
        <v>256.85706398254547</v>
      </c>
      <c r="BJ54" s="59">
        <f t="shared" si="38"/>
        <v>363.68094621014734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48.68663924397309</v>
      </c>
      <c r="BQ54" s="21">
        <f>EXP(-LN(2)/25)*BQ53+(1-EXP(-LN(2)/25))/(LN(2)/25)*Calculateur!BL54*Calculateur!BN54*VLOOKUP('Données projet'!$B$11,Paramètres!$A$1:$I$89,3,0)*0.475*44/12</f>
        <v>30.636895834848335</v>
      </c>
      <c r="BR54" s="21">
        <f>EXP(-LN(2)/2)*BR53+(1-EXP(-LN(2)/2))/(LN(2)/2)*BL54*BO54*VLOOKUP('Données projet'!$B$11,Paramètres!$A$1:$I$89,3,0)*0.475*44/12</f>
        <v>3.7229515996997362</v>
      </c>
      <c r="BS54" s="22">
        <f t="shared" si="9"/>
        <v>83.046486678521163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</v>
      </c>
      <c r="BY54" s="12">
        <f>IF('Données projet'!$A$114&gt;35,BY53+BX54-CG53,IF(A54&lt;'Données projet'!$A$114,$BV$205^A54,IF(A54='Données projet'!$A$114,'Données projet'!$B$114,BY53+BX54-CG53)))</f>
        <v>94</v>
      </c>
      <c r="BZ54" s="13">
        <f>BY54*VLOOKUP('Données projet'!$B$12,Paramètres!$A$1:$I$89,3,0)*VLOOKUP('Données projet'!$B$12,Paramètres!$A$1:$I$89,5,0)</f>
        <v>85.051199999999994</v>
      </c>
      <c r="CA54" s="13">
        <f t="shared" si="39"/>
        <v>23.367793520672731</v>
      </c>
      <c r="CB54" s="20">
        <f t="shared" si="10"/>
        <v>188.82974704850497</v>
      </c>
      <c r="CC54" s="59">
        <f t="shared" si="11"/>
        <v>444.61362745175177</v>
      </c>
      <c r="CD54" s="59">
        <f ca="1">AVERAGE(OFFSET($CC$3,0,0,'Données projet'!$E$12+1,1))-AVERAGE(OFFSET($H$3,0,0,'Données projet'!$E$12+1,1))</f>
        <v>357.68828740212223</v>
      </c>
      <c r="CE54" s="59">
        <f t="shared" si="40"/>
        <v>236.76626845829483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5.1109468660472652</v>
      </c>
      <c r="CL54" s="21">
        <f>EXP(-LN(2)/25)*CL53+(1-EXP(-LN(2)/25))/(LN(2)/25)*Calculateur!CG54*Calculateur!CI54*VLOOKUP('Données projet'!$B$12,Paramètres!$A$1:$I$89,3,0)*0.475*44/12</f>
        <v>4.9196227548304101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10.030569620877674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257.00000000000006</v>
      </c>
      <c r="CU54" s="17">
        <f>CT54*VLOOKUP('Données projet'!$B$13,Paramètres!$A$1:$I$89,3,0)*VLOOKUP('Données projet'!$B$13,Paramètres!$A$1:$I$89,5,0)</f>
        <v>168.38640000000004</v>
      </c>
      <c r="CV54" s="13">
        <f t="shared" si="41"/>
        <v>42.728430513203243</v>
      </c>
      <c r="CW54" s="20">
        <f t="shared" si="13"/>
        <v>367.69166314382898</v>
      </c>
      <c r="CX54" s="59">
        <f t="shared" si="14"/>
        <v>623.47554354707586</v>
      </c>
      <c r="CY54" s="59">
        <f ca="1">AVERAGE(OFFSET($CX$3,0,0,'Données projet'!$E$13+1,1))-AVERAGE(OFFSET($H$3,0,0,'Données projet'!$E$13+1,1))</f>
        <v>220.18342986563667</v>
      </c>
      <c r="CZ54" s="59">
        <f t="shared" si="42"/>
        <v>347.84382145531163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7.1083779746526311E-3</v>
      </c>
      <c r="DI54" s="22">
        <f t="shared" si="15"/>
        <v>7.1083779746526311E-3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</v>
      </c>
      <c r="DO54" s="12">
        <f>IF('Données projet'!$A$166&gt;35,DO53+DN54-DW53,IF(A54&lt;'Données projet'!$A$166,$DL$205^A54,IF(A54='Données projet'!$A$166,'Données projet'!$B$166,DO53+DN54-DW53)))</f>
        <v>94</v>
      </c>
      <c r="DP54" s="17">
        <f>DO54*VLOOKUP('Données projet'!$B$14,Paramètres!$A$1:$I$89,3,0)*VLOOKUP('Données projet'!$B$14,Paramètres!$A$1:$I$89,5,0)</f>
        <v>95.316000000000003</v>
      </c>
      <c r="DQ54" s="13">
        <f t="shared" si="43"/>
        <v>25.843002723192381</v>
      </c>
      <c r="DR54" s="20">
        <f t="shared" si="16"/>
        <v>211.01859640956005</v>
      </c>
      <c r="DS54" s="59">
        <f t="shared" si="17"/>
        <v>466.80247681280684</v>
      </c>
      <c r="DT54" s="59">
        <f ca="1">AVERAGE(OFFSET($DS$3,0,0,'Données projet'!$E$14+1,1))-AVERAGE(OFFSET($H$3,0,0,'Données projet'!$E$14+1,1))</f>
        <v>392.49465607243178</v>
      </c>
      <c r="DU54" s="59">
        <f t="shared" si="44"/>
        <v>258.031856676031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5.7277852809150405</v>
      </c>
      <c r="EB54" s="21">
        <f>EXP(-LN(2)/25)*EB53+(1-EXP(-LN(2)/25))/(LN(2)/25)*Calculateur!DW54*Calculateur!DY54*VLOOKUP('Données projet'!$B$14,Paramètres!$A$1:$I$89,3,0)*0.475*44/12</f>
        <v>5.5133703286892537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11.241155609604295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11</v>
      </c>
      <c r="EJ54" s="12">
        <f>IF('Données projet'!$A$192&gt;35,EJ53+EI54-ER53,IF(A54&lt;'Données projet'!$A$192,$EG$205^A54,IF(A54='Données projet'!$A$192,'Données projet'!$B$192,EJ53+EI54-ER53)))</f>
        <v>200.00000000000006</v>
      </c>
      <c r="EK54" s="17">
        <f>EJ54*VLOOKUP('Données projet'!$B$15,Paramètres!$A$1:$I$89,3,0)*VLOOKUP('Données projet'!$B$15,Paramètres!$A$1:$I$89,5,0)</f>
        <v>171.60000000000008</v>
      </c>
      <c r="EL54" s="13">
        <f t="shared" si="45"/>
        <v>43.448174754648562</v>
      </c>
      <c r="EM54" s="20">
        <f t="shared" si="19"/>
        <v>374.5422376976797</v>
      </c>
      <c r="EN54" s="59">
        <f t="shared" si="20"/>
        <v>630.32611810092658</v>
      </c>
      <c r="EO54" s="59">
        <f ca="1">AVERAGE(OFFSET($EN$3,0,0,'Données projet'!$E$15+1,1))-AVERAGE(OFFSET($H$3,0,0,'Données projet'!$E$15+1,1))</f>
        <v>294.24530606293143</v>
      </c>
      <c r="EP54" s="59">
        <f t="shared" si="46"/>
        <v>275.88160405468193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27.83081979546909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27.83081979546909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11</v>
      </c>
      <c r="FE54" s="12">
        <f>IF('Données projet'!$A$218&gt;35,FE53+FD54-FM53,IF(A54&lt;'Données projet'!$A$218,$FB$205^A54,IF(A54='Données projet'!$A$218,'Données projet'!$B$218,FE53+FD54-FM53)))</f>
        <v>200.00000000000006</v>
      </c>
      <c r="FF54" s="17">
        <f>FE54*VLOOKUP('Données projet'!$B$16,Paramètres!$A$1:$I$89,3,0)*VLOOKUP('Données projet'!$B$16,Paramètres!$A$1:$I$89,5,0)</f>
        <v>146.64000000000004</v>
      </c>
      <c r="FG54" s="13">
        <f t="shared" si="47"/>
        <v>37.814009712703054</v>
      </c>
      <c r="FH54" s="20">
        <f t="shared" si="22"/>
        <v>321.2574002496246</v>
      </c>
      <c r="FI54" s="59">
        <f t="shared" si="23"/>
        <v>577.04128065287136</v>
      </c>
      <c r="FJ54" s="59">
        <f ca="1">AVERAGE(OFFSET($FI$3,0,0,'Données projet'!$E$16+1,1))-AVERAGE(OFFSET($H$3,0,0,'Données projet'!$E$16+1,1))</f>
        <v>214.31585175697521</v>
      </c>
      <c r="FK54" s="59">
        <f t="shared" si="48"/>
        <v>244.60383864821372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19.295398561455588</v>
      </c>
      <c r="FR54" s="21">
        <f>EXP(-LN(2)/25)*FR53+(1-EXP(-LN(2)/25))/(LN(2)/25)*Calculateur!FM54*Calculateur!FO54*VLOOKUP('Données projet'!$B$16,Paramètres!$A$1:$I$89,3,0)*0.475*44/12</f>
        <v>0</v>
      </c>
      <c r="FS54" s="21">
        <f>EXP(-LN(2)/2)*FS53+(1-EXP(-LN(2)/2))/(LN(2)/2)*FM54*FP54*VLOOKUP('Données projet'!$B$16,Paramètres!$A$1:$I$89,3,0)*0.475*44/12</f>
        <v>0</v>
      </c>
      <c r="FT54" s="22">
        <f t="shared" si="24"/>
        <v>19.295398561455588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6.2</v>
      </c>
      <c r="FZ54" s="12">
        <f>IF('Données projet'!$A$244&gt;35,FZ53+FY54-GH53,IF(A54&lt;'Données projet'!$A$244,$FW$205^A54,IF(A54='Données projet'!$A$244,'Données projet'!$B$244,FZ53+FY54-GH53)))</f>
        <v>263.20000000000005</v>
      </c>
      <c r="GA54" s="17">
        <f>FZ54*VLOOKUP('Données projet'!$B$17,Paramètres!$A$1:$I$89,3,0)*VLOOKUP('Données projet'!$B$17,Paramètres!$A$1:$I$89,5,0)</f>
        <v>209.40192000000005</v>
      </c>
      <c r="GB54" s="13">
        <f t="shared" si="49"/>
        <v>51.804868484579089</v>
      </c>
      <c r="GC54" s="20">
        <f t="shared" si="25"/>
        <v>454.93515661064197</v>
      </c>
      <c r="GD54" s="59">
        <f t="shared" si="26"/>
        <v>710.71903701388874</v>
      </c>
      <c r="GE54" s="59">
        <f ca="1">AVERAGE(OFFSET($GD$3,0,0,'Données projet'!$E$17+1,1))-AVERAGE(OFFSET($H$3,0,0,'Données projet'!$E$17+1,1))</f>
        <v>308.33954512886351</v>
      </c>
      <c r="GF54" s="59">
        <f t="shared" si="50"/>
        <v>408.79075392716277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23.601317787493571</v>
      </c>
      <c r="GM54" s="21">
        <f>EXP(-LN(2)/25)*GM53+(1-EXP(-LN(2)/25))/(LN(2)/25)*Calculateur!GH54*Calculateur!GJ54*VLOOKUP('Données projet'!$B$17,Paramètres!$A$1:$I$89,3,0)*0.475*44/12</f>
        <v>0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23.601317787493571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342.84342155097613</v>
      </c>
      <c r="T55" s="59">
        <f t="shared" si="34"/>
        <v>565.68976940602215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150.61475471736307</v>
      </c>
      <c r="AA55" s="21">
        <f>EXP(-LN(2)/25)*AA54+(1-EXP(-LN(2)/25))/(LN(2)/25)*Calculateur!V55*Calculateur!X55*VLOOKUP('Données projet'!$B$9,Paramètres!$A$1:$I$89,3,0)*0.475*44/12</f>
        <v>72.753423393395039</v>
      </c>
      <c r="AB55" s="21">
        <f>EXP(-LN(2)/2)*AB54+(1-EXP(-LN(2)/2))/(LN(2)/2)*V55*Y55*VLOOKUP('Données projet'!$B$9,Paramètres!$A$1:$I$89,3,0)*0.475*44/12</f>
        <v>3.6583892172957131</v>
      </c>
      <c r="AC55" s="22">
        <f t="shared" si="3"/>
        <v>227.0265673280538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11</v>
      </c>
      <c r="AI55" s="13">
        <f>IF('Données projet'!$A$62&gt;35,AI54+AH55-AQ54,IF(A55&lt;'Données projet'!$A$62,$AF$205^A55,IF(A55='Données projet'!$A$62,'Données projet'!$B$62,AI54+AH55-AQ54)))</f>
        <v>211.00000000000006</v>
      </c>
      <c r="AJ55" s="13">
        <f>AI55*VLOOKUP('Données projet'!$B$10,Paramètres!$A$1:$I$89,3,0)*VLOOKUP('Données projet'!$B$10,Paramètres!$A$1:$I$89,5,0)</f>
        <v>200.78760000000005</v>
      </c>
      <c r="AK55" s="13">
        <f t="shared" si="35"/>
        <v>49.917218754196675</v>
      </c>
      <c r="AL55" s="20">
        <f t="shared" si="4"/>
        <v>436.6442259968926</v>
      </c>
      <c r="AM55" s="59">
        <f t="shared" si="5"/>
        <v>693.07950546047596</v>
      </c>
      <c r="AN55" s="59">
        <f ca="1">AVERAGE(OFFSET($AM$3,0,0,'Données projet'!$E$10+1,1))-AVERAGE(OFFSET($H$3,0,0,'Données projet'!$E$10+1,1))</f>
        <v>320.33056209214476</v>
      </c>
      <c r="AO55" s="59">
        <f t="shared" si="36"/>
        <v>299.27200854723446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5.9676353408399869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5.9676353408399869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565.67775775116195</v>
      </c>
      <c r="BI55" s="59">
        <f ca="1">AVERAGE(OFFSET($BH$3,0,0,'Données projet'!$E$11+1,1))-AVERAGE(OFFSET($H$3,0,0,'Données projet'!$E$11+1,1))</f>
        <v>256.85706398254547</v>
      </c>
      <c r="BJ55" s="59">
        <f t="shared" si="38"/>
        <v>363.68094621014734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47.731923944316492</v>
      </c>
      <c r="BQ55" s="21">
        <f>EXP(-LN(2)/25)*BQ54+(1-EXP(-LN(2)/25))/(LN(2)/25)*Calculateur!BL55*Calculateur!BN55*VLOOKUP('Données projet'!$B$11,Paramètres!$A$1:$I$89,3,0)*0.475*44/12</f>
        <v>29.799128307120078</v>
      </c>
      <c r="BR55" s="21">
        <f>EXP(-LN(2)/2)*BR54+(1-EXP(-LN(2)/2))/(LN(2)/2)*BL55*BO55*VLOOKUP('Données projet'!$B$11,Paramètres!$A$1:$I$89,3,0)*0.475*44/12</f>
        <v>2.6325243221769887</v>
      </c>
      <c r="BS55" s="22">
        <f t="shared" si="9"/>
        <v>80.163576573613554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</v>
      </c>
      <c r="BY55" s="12">
        <f>IF('Données projet'!$A$114&gt;35,BY54+BX55-CG54,IF(A55&lt;'Données projet'!$A$114,$BV$205^A55,IF(A55='Données projet'!$A$114,'Données projet'!$B$114,BY54+BX55-CG54)))</f>
        <v>102</v>
      </c>
      <c r="BZ55" s="13">
        <f>BY55*VLOOKUP('Données projet'!$B$12,Paramètres!$A$1:$I$89,3,0)*VLOOKUP('Données projet'!$B$12,Paramètres!$A$1:$I$89,5,0)</f>
        <v>92.289599999999993</v>
      </c>
      <c r="CA55" s="13">
        <f t="shared" si="39"/>
        <v>25.116611431659546</v>
      </c>
      <c r="CB55" s="20">
        <f t="shared" si="10"/>
        <v>204.48248491014036</v>
      </c>
      <c r="CC55" s="59">
        <f t="shared" si="11"/>
        <v>460.91776437372368</v>
      </c>
      <c r="CD55" s="59">
        <f ca="1">AVERAGE(OFFSET($CC$3,0,0,'Données projet'!$E$12+1,1))-AVERAGE(OFFSET($H$3,0,0,'Données projet'!$E$12+1,1))</f>
        <v>357.68828740212223</v>
      </c>
      <c r="CE55" s="59">
        <f t="shared" si="40"/>
        <v>236.76626845829483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5.0107243153738521</v>
      </c>
      <c r="CL55" s="21">
        <f>EXP(-LN(2)/25)*CL54+(1-EXP(-LN(2)/25))/(LN(2)/25)*Calculateur!CG55*Calculateur!CI55*VLOOKUP('Données projet'!$B$12,Paramètres!$A$1:$I$89,3,0)*0.475*44/12</f>
        <v>4.7850954118878555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9.7958197272617085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257.00000000000006</v>
      </c>
      <c r="CU55" s="17">
        <f>CT55*VLOOKUP('Données projet'!$B$13,Paramètres!$A$1:$I$89,3,0)*VLOOKUP('Données projet'!$B$13,Paramètres!$A$1:$I$89,5,0)</f>
        <v>168.38640000000004</v>
      </c>
      <c r="CV55" s="13">
        <f t="shared" si="41"/>
        <v>42.728430513203243</v>
      </c>
      <c r="CW55" s="20">
        <f t="shared" si="13"/>
        <v>367.69166314382898</v>
      </c>
      <c r="CX55" s="59">
        <f t="shared" si="14"/>
        <v>624.12694260741227</v>
      </c>
      <c r="CY55" s="59">
        <f ca="1">AVERAGE(OFFSET($CX$3,0,0,'Données projet'!$E$13+1,1))-AVERAGE(OFFSET($H$3,0,0,'Données projet'!$E$13+1,1))</f>
        <v>220.18342986563667</v>
      </c>
      <c r="CZ55" s="59">
        <f t="shared" si="42"/>
        <v>347.84382145531163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5.0263822691139718E-3</v>
      </c>
      <c r="DI55" s="22">
        <f t="shared" si="15"/>
        <v>5.0263822691139718E-3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</v>
      </c>
      <c r="DO55" s="12">
        <f>IF('Données projet'!$A$166&gt;35,DO54+DN55-DW54,IF(A55&lt;'Données projet'!$A$166,$DL$205^A55,IF(A55='Données projet'!$A$166,'Données projet'!$B$166,DO54+DN55-DW54)))</f>
        <v>102</v>
      </c>
      <c r="DP55" s="17">
        <f>DO55*VLOOKUP('Données projet'!$B$14,Paramètres!$A$1:$I$89,3,0)*VLOOKUP('Données projet'!$B$14,Paramètres!$A$1:$I$89,5,0)</f>
        <v>103.428</v>
      </c>
      <c r="DQ55" s="13">
        <f t="shared" si="43"/>
        <v>27.777062350859747</v>
      </c>
      <c r="DR55" s="20">
        <f t="shared" si="16"/>
        <v>228.51548359441404</v>
      </c>
      <c r="DS55" s="59">
        <f t="shared" si="17"/>
        <v>484.95076305799739</v>
      </c>
      <c r="DT55" s="59">
        <f ca="1">AVERAGE(OFFSET($DS$3,0,0,'Données projet'!$E$14+1,1))-AVERAGE(OFFSET($H$3,0,0,'Données projet'!$E$14+1,1))</f>
        <v>392.49465607243178</v>
      </c>
      <c r="DU55" s="59">
        <f t="shared" si="44"/>
        <v>258.031856676031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5.6154669051603534</v>
      </c>
      <c r="EB55" s="21">
        <f>EXP(-LN(2)/25)*EB54+(1-EXP(-LN(2)/25))/(LN(2)/25)*Calculateur!DW55*Calculateur!DY55*VLOOKUP('Données projet'!$B$14,Paramètres!$A$1:$I$89,3,0)*0.475*44/12</f>
        <v>5.3626069271157011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10.978073832276054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11</v>
      </c>
      <c r="EJ55" s="12">
        <f>IF('Données projet'!$A$192&gt;35,EJ54+EI55-ER54,IF(A55&lt;'Données projet'!$A$192,$EG$205^A55,IF(A55='Données projet'!$A$192,'Données projet'!$B$192,EJ54+EI55-ER54)))</f>
        <v>211.00000000000006</v>
      </c>
      <c r="EK55" s="17">
        <f>EJ55*VLOOKUP('Données projet'!$B$15,Paramètres!$A$1:$I$89,3,0)*VLOOKUP('Données projet'!$B$15,Paramètres!$A$1:$I$89,5,0)</f>
        <v>181.03800000000007</v>
      </c>
      <c r="EL55" s="13">
        <f t="shared" si="45"/>
        <v>45.553044701671382</v>
      </c>
      <c r="EM55" s="20">
        <f t="shared" si="19"/>
        <v>394.64606952207777</v>
      </c>
      <c r="EN55" s="59">
        <f t="shared" si="20"/>
        <v>651.08134898566118</v>
      </c>
      <c r="EO55" s="59">
        <f ca="1">AVERAGE(OFFSET($EN$3,0,0,'Données projet'!$E$15+1,1))-AVERAGE(OFFSET($H$3,0,0,'Données projet'!$E$15+1,1))</f>
        <v>294.24530606293143</v>
      </c>
      <c r="EP55" s="59">
        <f t="shared" si="46"/>
        <v>275.88160405468193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27.285074394403861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27.285074394403861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11</v>
      </c>
      <c r="FE55" s="12">
        <f>IF('Données projet'!$A$218&gt;35,FE54+FD55-FM54,IF(A55&lt;'Données projet'!$A$218,$FB$205^A55,IF(A55='Données projet'!$A$218,'Données projet'!$B$218,FE54+FD55-FM54)))</f>
        <v>211.00000000000006</v>
      </c>
      <c r="FF55" s="17">
        <f>FE55*VLOOKUP('Données projet'!$B$16,Paramètres!$A$1:$I$89,3,0)*VLOOKUP('Données projet'!$B$16,Paramètres!$A$1:$I$89,5,0)</f>
        <v>154.70520000000002</v>
      </c>
      <c r="FG55" s="13">
        <f t="shared" si="47"/>
        <v>39.645929536036533</v>
      </c>
      <c r="FH55" s="20">
        <f t="shared" si="22"/>
        <v>338.49488394193031</v>
      </c>
      <c r="FI55" s="59">
        <f t="shared" si="23"/>
        <v>594.93016340551367</v>
      </c>
      <c r="FJ55" s="59">
        <f ca="1">AVERAGE(OFFSET($FI$3,0,0,'Données projet'!$E$16+1,1))-AVERAGE(OFFSET($H$3,0,0,'Données projet'!$E$16+1,1))</f>
        <v>214.31585175697521</v>
      </c>
      <c r="FK55" s="59">
        <f t="shared" si="48"/>
        <v>244.60383864821372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18.917027564696472</v>
      </c>
      <c r="FR55" s="21">
        <f>EXP(-LN(2)/25)*FR54+(1-EXP(-LN(2)/25))/(LN(2)/25)*Calculateur!FM55*Calculateur!FO55*VLOOKUP('Données projet'!$B$16,Paramètres!$A$1:$I$89,3,0)*0.475*44/12</f>
        <v>0</v>
      </c>
      <c r="FS55" s="21">
        <f>EXP(-LN(2)/2)*FS54+(1-EXP(-LN(2)/2))/(LN(2)/2)*FM55*FP55*VLOOKUP('Données projet'!$B$16,Paramètres!$A$1:$I$89,3,0)*0.475*44/12</f>
        <v>0</v>
      </c>
      <c r="FT55" s="22">
        <f t="shared" si="24"/>
        <v>18.917027564696472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6.2</v>
      </c>
      <c r="FZ55" s="12">
        <f>IF('Données projet'!$A$244&gt;35,FZ54+FY55-GH54,IF(A55&lt;'Données projet'!$A$244,$FW$205^A55,IF(A55='Données projet'!$A$244,'Données projet'!$B$244,FZ54+FY55-GH54)))</f>
        <v>269.40000000000003</v>
      </c>
      <c r="GA55" s="17">
        <f>FZ55*VLOOKUP('Données projet'!$B$17,Paramètres!$A$1:$I$89,3,0)*VLOOKUP('Données projet'!$B$17,Paramètres!$A$1:$I$89,5,0)</f>
        <v>214.33464000000006</v>
      </c>
      <c r="GB55" s="13">
        <f t="shared" si="49"/>
        <v>52.881684324030324</v>
      </c>
      <c r="GC55" s="20">
        <f t="shared" si="25"/>
        <v>465.40176486435286</v>
      </c>
      <c r="GD55" s="59">
        <f t="shared" si="26"/>
        <v>721.83704432793616</v>
      </c>
      <c r="GE55" s="59">
        <f ca="1">AVERAGE(OFFSET($GD$3,0,0,'Données projet'!$E$17+1,1))-AVERAGE(OFFSET($H$3,0,0,'Données projet'!$E$17+1,1))</f>
        <v>308.33954512886351</v>
      </c>
      <c r="GF55" s="59">
        <f t="shared" si="50"/>
        <v>408.79075392716277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23.138510341063245</v>
      </c>
      <c r="GM55" s="21">
        <f>EXP(-LN(2)/25)*GM54+(1-EXP(-LN(2)/25))/(LN(2)/25)*Calculateur!GH55*Calculateur!GJ55*VLOOKUP('Données projet'!$B$17,Paramètres!$A$1:$I$89,3,0)*0.475*44/12</f>
        <v>0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23.138510341063245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342.84342155097613</v>
      </c>
      <c r="T56" s="59">
        <f t="shared" si="34"/>
        <v>565.68976940602215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147.66129124328495</v>
      </c>
      <c r="AA56" s="21">
        <f>EXP(-LN(2)/25)*AA55+(1-EXP(-LN(2)/25))/(LN(2)/25)*Calculateur!V56*Calculateur!X56*VLOOKUP('Données projet'!$B$9,Paramètres!$A$1:$I$89,3,0)*0.475*44/12</f>
        <v>70.763977204766391</v>
      </c>
      <c r="AB56" s="21">
        <f>EXP(-LN(2)/2)*AB55+(1-EXP(-LN(2)/2))/(LN(2)/2)*V56*Y56*VLOOKUP('Données projet'!$B$9,Paramètres!$A$1:$I$89,3,0)*0.475*44/12</f>
        <v>2.5868718237695449</v>
      </c>
      <c r="AC56" s="22">
        <f t="shared" si="3"/>
        <v>221.01214027182087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11</v>
      </c>
      <c r="AI56" s="13">
        <f>IF('Données projet'!$A$62&gt;35,AI55+AH56-AQ55,IF(A56&lt;'Données projet'!$A$62,$AF$205^A56,IF(A56='Données projet'!$A$62,'Données projet'!$B$62,AI55+AH56-AQ55)))</f>
        <v>222.00000000000006</v>
      </c>
      <c r="AJ56" s="13">
        <f>AI56*VLOOKUP('Données projet'!$B$10,Paramètres!$A$1:$I$89,3,0)*VLOOKUP('Données projet'!$B$10,Paramètres!$A$1:$I$89,5,0)</f>
        <v>211.25520000000009</v>
      </c>
      <c r="AK56" s="13">
        <f t="shared" si="35"/>
        <v>52.209783272091016</v>
      </c>
      <c r="AL56" s="20">
        <f t="shared" si="4"/>
        <v>458.86817919889199</v>
      </c>
      <c r="AM56" s="59">
        <f t="shared" si="5"/>
        <v>715.94355740542528</v>
      </c>
      <c r="AN56" s="59">
        <f ca="1">AVERAGE(OFFSET($AM$3,0,0,'Données projet'!$E$10+1,1))-AVERAGE(OFFSET($H$3,0,0,'Données projet'!$E$10+1,1))</f>
        <v>320.33056209214476</v>
      </c>
      <c r="AO56" s="59">
        <f t="shared" si="36"/>
        <v>299.27200854723446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5.8044500386204145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5.8044500386204145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579.33356750860969</v>
      </c>
      <c r="BI56" s="59">
        <f ca="1">AVERAGE(OFFSET($BH$3,0,0,'Données projet'!$E$11+1,1))-AVERAGE(OFFSET($H$3,0,0,'Données projet'!$E$11+1,1))</f>
        <v>256.85706398254547</v>
      </c>
      <c r="BJ56" s="59">
        <f t="shared" si="38"/>
        <v>363.68094621014734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46.795930029367319</v>
      </c>
      <c r="BQ56" s="21">
        <f>EXP(-LN(2)/25)*BQ55+(1-EXP(-LN(2)/25))/(LN(2)/25)*Calculateur!BL56*Calculateur!BN56*VLOOKUP('Données projet'!$B$11,Paramètres!$A$1:$I$89,3,0)*0.475*44/12</f>
        <v>28.98426957649383</v>
      </c>
      <c r="BR56" s="21">
        <f>EXP(-LN(2)/2)*BR55+(1-EXP(-LN(2)/2))/(LN(2)/2)*BL56*BO56*VLOOKUP('Données projet'!$B$11,Paramètres!$A$1:$I$89,3,0)*0.475*44/12</f>
        <v>1.8614757998498683</v>
      </c>
      <c r="BS56" s="22">
        <f t="shared" si="9"/>
        <v>77.641675405711027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</v>
      </c>
      <c r="BY56" s="12">
        <f>IF('Données projet'!$A$114&gt;35,BY55+BX56-CG55,IF(A56&lt;'Données projet'!$A$114,$BV$205^A56,IF(A56='Données projet'!$A$114,'Données projet'!$B$114,BY55+BX56-CG55)))</f>
        <v>110</v>
      </c>
      <c r="BZ56" s="13">
        <f>BY56*VLOOKUP('Données projet'!$B$12,Paramètres!$A$1:$I$89,3,0)*VLOOKUP('Données projet'!$B$12,Paramètres!$A$1:$I$89,5,0)</f>
        <v>99.528000000000006</v>
      </c>
      <c r="CA56" s="13">
        <f t="shared" si="39"/>
        <v>26.849519112903323</v>
      </c>
      <c r="CB56" s="20">
        <f t="shared" si="10"/>
        <v>220.10751245497329</v>
      </c>
      <c r="CC56" s="59">
        <f t="shared" si="11"/>
        <v>477.18289066150652</v>
      </c>
      <c r="CD56" s="59">
        <f ca="1">AVERAGE(OFFSET($CC$3,0,0,'Données projet'!$E$12+1,1))-AVERAGE(OFFSET($H$3,0,0,'Données projet'!$E$12+1,1))</f>
        <v>357.68828740212223</v>
      </c>
      <c r="CE56" s="59">
        <f t="shared" si="40"/>
        <v>236.76626845829483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4.9124670677894242</v>
      </c>
      <c r="CL56" s="21">
        <f>EXP(-LN(2)/25)*CL55+(1-EXP(-LN(2)/25))/(LN(2)/25)*Calculateur!CG56*Calculateur!CI56*VLOOKUP('Données projet'!$B$12,Paramètres!$A$1:$I$89,3,0)*0.475*44/12</f>
        <v>4.6542467262125511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9.5667137940019753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257.00000000000006</v>
      </c>
      <c r="CU56" s="17">
        <f>CT56*VLOOKUP('Données projet'!$B$13,Paramètres!$A$1:$I$89,3,0)*VLOOKUP('Données projet'!$B$13,Paramètres!$A$1:$I$89,5,0)</f>
        <v>168.38640000000004</v>
      </c>
      <c r="CV56" s="13">
        <f t="shared" si="41"/>
        <v>42.728430513203243</v>
      </c>
      <c r="CW56" s="20">
        <f t="shared" si="13"/>
        <v>367.69166314382898</v>
      </c>
      <c r="CX56" s="59">
        <f t="shared" si="14"/>
        <v>624.76704135036221</v>
      </c>
      <c r="CY56" s="59">
        <f ca="1">AVERAGE(OFFSET($CX$3,0,0,'Données projet'!$E$13+1,1))-AVERAGE(OFFSET($H$3,0,0,'Données projet'!$E$13+1,1))</f>
        <v>220.18342986563667</v>
      </c>
      <c r="CZ56" s="59">
        <f t="shared" si="42"/>
        <v>347.84382145531163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3.5541889873263155E-3</v>
      </c>
      <c r="DI56" s="22">
        <f t="shared" si="15"/>
        <v>3.5541889873263155E-3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</v>
      </c>
      <c r="DO56" s="12">
        <f>IF('Données projet'!$A$166&gt;35,DO55+DN56-DW55,IF(A56&lt;'Données projet'!$A$166,$DL$205^A56,IF(A56='Données projet'!$A$166,'Données projet'!$B$166,DO55+DN56-DW55)))</f>
        <v>110</v>
      </c>
      <c r="DP56" s="17">
        <f>DO56*VLOOKUP('Données projet'!$B$14,Paramètres!$A$1:$I$89,3,0)*VLOOKUP('Données projet'!$B$14,Paramètres!$A$1:$I$89,5,0)</f>
        <v>111.54</v>
      </c>
      <c r="DQ56" s="13">
        <f t="shared" si="43"/>
        <v>29.693526474261301</v>
      </c>
      <c r="DR56" s="20">
        <f t="shared" si="16"/>
        <v>245.98172527600511</v>
      </c>
      <c r="DS56" s="59">
        <f t="shared" si="17"/>
        <v>503.05710348253831</v>
      </c>
      <c r="DT56" s="59">
        <f ca="1">AVERAGE(OFFSET($DS$3,0,0,'Données projet'!$E$14+1,1))-AVERAGE(OFFSET($H$3,0,0,'Données projet'!$E$14+1,1))</f>
        <v>392.49465607243178</v>
      </c>
      <c r="DU56" s="59">
        <f t="shared" si="44"/>
        <v>258.031856676031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5.5053510242467709</v>
      </c>
      <c r="EB56" s="21">
        <f>EXP(-LN(2)/25)*EB55+(1-EXP(-LN(2)/25))/(LN(2)/25)*Calculateur!DW56*Calculateur!DY56*VLOOKUP('Données projet'!$B$14,Paramètres!$A$1:$I$89,3,0)*0.475*44/12</f>
        <v>5.2159661586864807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10.721317182933252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11</v>
      </c>
      <c r="EJ56" s="12">
        <f>IF('Données projet'!$A$192&gt;35,EJ55+EI56-ER55,IF(A56&lt;'Données projet'!$A$192,$EG$205^A56,IF(A56='Données projet'!$A$192,'Données projet'!$B$192,EJ55+EI56-ER55)))</f>
        <v>222.00000000000006</v>
      </c>
      <c r="EK56" s="17">
        <f>EJ56*VLOOKUP('Données projet'!$B$15,Paramètres!$A$1:$I$89,3,0)*VLOOKUP('Données projet'!$B$15,Paramètres!$A$1:$I$89,5,0)</f>
        <v>190.47600000000006</v>
      </c>
      <c r="EL56" s="13">
        <f t="shared" si="45"/>
        <v>47.645174362968355</v>
      </c>
      <c r="EM56" s="20">
        <f t="shared" si="19"/>
        <v>414.7277120155033</v>
      </c>
      <c r="EN56" s="59">
        <f t="shared" si="20"/>
        <v>671.80309022203653</v>
      </c>
      <c r="EO56" s="59">
        <f ca="1">AVERAGE(OFFSET($EN$3,0,0,'Données projet'!$E$15+1,1))-AVERAGE(OFFSET($H$3,0,0,'Données projet'!$E$15+1,1))</f>
        <v>294.24530606293143</v>
      </c>
      <c r="EP56" s="59">
        <f t="shared" si="46"/>
        <v>275.88160405468193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26.750030727781695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26.750030727781695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11</v>
      </c>
      <c r="FE56" s="12">
        <f>IF('Données projet'!$A$218&gt;35,FE55+FD56-FM55,IF(A56&lt;'Données projet'!$A$218,$FB$205^A56,IF(A56='Données projet'!$A$218,'Données projet'!$B$218,FE55+FD56-FM55)))</f>
        <v>222.00000000000006</v>
      </c>
      <c r="FF56" s="17">
        <f>FE56*VLOOKUP('Données projet'!$B$16,Paramètres!$A$1:$I$89,3,0)*VLOOKUP('Données projet'!$B$16,Paramètres!$A$1:$I$89,5,0)</f>
        <v>162.77040000000002</v>
      </c>
      <c r="FG56" s="13">
        <f t="shared" si="47"/>
        <v>41.466761176934256</v>
      </c>
      <c r="FH56" s="20">
        <f t="shared" si="22"/>
        <v>355.7130557164939</v>
      </c>
      <c r="FI56" s="59">
        <f t="shared" si="23"/>
        <v>612.78843392302713</v>
      </c>
      <c r="FJ56" s="59">
        <f ca="1">AVERAGE(OFFSET($FI$3,0,0,'Données projet'!$E$16+1,1))-AVERAGE(OFFSET($H$3,0,0,'Données projet'!$E$16+1,1))</f>
        <v>214.31585175697521</v>
      </c>
      <c r="FK56" s="59">
        <f t="shared" si="48"/>
        <v>244.60383864821372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18.546076192400282</v>
      </c>
      <c r="FR56" s="21">
        <f>EXP(-LN(2)/25)*FR55+(1-EXP(-LN(2)/25))/(LN(2)/25)*Calculateur!FM56*Calculateur!FO56*VLOOKUP('Données projet'!$B$16,Paramètres!$A$1:$I$89,3,0)*0.475*44/12</f>
        <v>0</v>
      </c>
      <c r="FS56" s="21">
        <f>EXP(-LN(2)/2)*FS55+(1-EXP(-LN(2)/2))/(LN(2)/2)*FM56*FP56*VLOOKUP('Données projet'!$B$16,Paramètres!$A$1:$I$89,3,0)*0.475*44/12</f>
        <v>0</v>
      </c>
      <c r="FT56" s="22">
        <f t="shared" si="24"/>
        <v>18.546076192400282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6.2</v>
      </c>
      <c r="FZ56" s="12">
        <f>IF('Données projet'!$A$244&gt;35,FZ55+FY56-GH55,IF(A56&lt;'Données projet'!$A$244,$FW$205^A56,IF(A56='Données projet'!$A$244,'Données projet'!$B$244,FZ55+FY56-GH55)))</f>
        <v>275.60000000000002</v>
      </c>
      <c r="GA56" s="17">
        <f>FZ56*VLOOKUP('Données projet'!$B$17,Paramètres!$A$1:$I$89,3,0)*VLOOKUP('Données projet'!$B$17,Paramètres!$A$1:$I$89,5,0)</f>
        <v>219.26736000000002</v>
      </c>
      <c r="GB56" s="13">
        <f t="shared" si="49"/>
        <v>53.955619135597438</v>
      </c>
      <c r="GC56" s="20">
        <f t="shared" si="25"/>
        <v>475.86335532783232</v>
      </c>
      <c r="GD56" s="59">
        <f t="shared" si="26"/>
        <v>732.93873353436561</v>
      </c>
      <c r="GE56" s="59">
        <f ca="1">AVERAGE(OFFSET($GD$3,0,0,'Données projet'!$E$17+1,1))-AVERAGE(OFFSET($H$3,0,0,'Données projet'!$E$17+1,1))</f>
        <v>308.33954512886351</v>
      </c>
      <c r="GF56" s="59">
        <f t="shared" si="50"/>
        <v>408.79075392716277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22.684778266372749</v>
      </c>
      <c r="GM56" s="21">
        <f>EXP(-LN(2)/25)*GM55+(1-EXP(-LN(2)/25))/(LN(2)/25)*Calculateur!GH56*Calculateur!GJ56*VLOOKUP('Données projet'!$B$17,Paramètres!$A$1:$I$89,3,0)*0.475*44/12</f>
        <v>0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22.684778266372749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342.84342155097613</v>
      </c>
      <c r="T57" s="59">
        <f t="shared" si="34"/>
        <v>565.68976940602215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144.76574338649866</v>
      </c>
      <c r="AA57" s="21">
        <f>EXP(-LN(2)/25)*AA56+(1-EXP(-LN(2)/25))/(LN(2)/25)*Calculateur!V57*Calculateur!X57*VLOOKUP('Données projet'!$B$9,Paramètres!$A$1:$I$89,3,0)*0.475*44/12</f>
        <v>68.828932526786232</v>
      </c>
      <c r="AB57" s="21">
        <f>EXP(-LN(2)/2)*AB56+(1-EXP(-LN(2)/2))/(LN(2)/2)*V57*Y57*VLOOKUP('Données projet'!$B$9,Paramètres!$A$1:$I$89,3,0)*0.475*44/12</f>
        <v>1.8291946086478568</v>
      </c>
      <c r="AC57" s="22">
        <f t="shared" si="3"/>
        <v>215.42387052193277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11</v>
      </c>
      <c r="AI57" s="13">
        <f>IF('Données projet'!$A$62&gt;35,AI56+AH57-AQ56,IF(A57&lt;'Données projet'!$A$62,$AF$205^A57,IF(A57='Données projet'!$A$62,'Données projet'!$B$62,AI56+AH57-AQ56)))</f>
        <v>233.00000000000006</v>
      </c>
      <c r="AJ57" s="13">
        <f>AI57*VLOOKUP('Données projet'!$B$10,Paramètres!$A$1:$I$89,3,0)*VLOOKUP('Données projet'!$B$10,Paramètres!$A$1:$I$89,5,0)</f>
        <v>221.72280000000003</v>
      </c>
      <c r="AK57" s="13">
        <f t="shared" si="35"/>
        <v>54.489157628530627</v>
      </c>
      <c r="AL57" s="20">
        <f t="shared" si="4"/>
        <v>481.06915953635763</v>
      </c>
      <c r="AM57" s="59">
        <f t="shared" si="5"/>
        <v>738.77353220369696</v>
      </c>
      <c r="AN57" s="59">
        <f ca="1">AVERAGE(OFFSET($AM$3,0,0,'Données projet'!$E$10+1,1))-AVERAGE(OFFSET($H$3,0,0,'Données projet'!$E$10+1,1))</f>
        <v>320.33056209214476</v>
      </c>
      <c r="AO57" s="59">
        <f t="shared" si="36"/>
        <v>299.27200854723446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5.6457270470715777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5.6457270470715777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592.96665043478663</v>
      </c>
      <c r="BI57" s="59">
        <f ca="1">AVERAGE(OFFSET($BH$3,0,0,'Données projet'!$E$11+1,1))-AVERAGE(OFFSET($H$3,0,0,'Données projet'!$E$11+1,1))</f>
        <v>256.85706398254547</v>
      </c>
      <c r="BJ57" s="59">
        <f t="shared" si="38"/>
        <v>363.68094621014734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45.878290384190386</v>
      </c>
      <c r="BQ57" s="21">
        <f>EXP(-LN(2)/25)*BQ56+(1-EXP(-LN(2)/25))/(LN(2)/25)*Calculateur!BL57*Calculateur!BN57*VLOOKUP('Données projet'!$B$11,Paramètres!$A$1:$I$89,3,0)*0.475*44/12</f>
        <v>28.191693200708112</v>
      </c>
      <c r="BR57" s="21">
        <f>EXP(-LN(2)/2)*BR56+(1-EXP(-LN(2)/2))/(LN(2)/2)*BL57*BO57*VLOOKUP('Données projet'!$B$11,Paramètres!$A$1:$I$89,3,0)*0.475*44/12</f>
        <v>1.3162621610884944</v>
      </c>
      <c r="BS57" s="22">
        <f t="shared" si="9"/>
        <v>75.386245745986983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</v>
      </c>
      <c r="BY57" s="12">
        <f>IF('Données projet'!$A$114&gt;35,BY56+BX57-CG56,IF(A57&lt;'Données projet'!$A$114,$BV$205^A57,IF(A57='Données projet'!$A$114,'Données projet'!$B$114,BY56+BX57-CG56)))</f>
        <v>118</v>
      </c>
      <c r="BZ57" s="13">
        <f>BY57*VLOOKUP('Données projet'!$B$12,Paramètres!$A$1:$I$89,3,0)*VLOOKUP('Données projet'!$B$12,Paramètres!$A$1:$I$89,5,0)</f>
        <v>106.7664</v>
      </c>
      <c r="CA57" s="13">
        <f t="shared" si="39"/>
        <v>28.5678052620942</v>
      </c>
      <c r="CB57" s="20">
        <f t="shared" si="10"/>
        <v>235.70707416481403</v>
      </c>
      <c r="CC57" s="59">
        <f t="shared" si="11"/>
        <v>493.41144683215339</v>
      </c>
      <c r="CD57" s="59">
        <f ca="1">AVERAGE(OFFSET($CC$3,0,0,'Données projet'!$E$12+1,1))-AVERAGE(OFFSET($H$3,0,0,'Données projet'!$E$12+1,1))</f>
        <v>357.68828740212223</v>
      </c>
      <c r="CE57" s="59">
        <f t="shared" si="40"/>
        <v>236.76626845829483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4.816136584899124</v>
      </c>
      <c r="CL57" s="21">
        <f>EXP(-LN(2)/25)*CL56+(1-EXP(-LN(2)/25))/(LN(2)/25)*Calculateur!CG57*Calculateur!CI57*VLOOKUP('Données projet'!$B$12,Paramètres!$A$1:$I$89,3,0)*0.475*44/12</f>
        <v>4.526976104728071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9.3431126896271941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257.00000000000006</v>
      </c>
      <c r="CU57" s="17">
        <f>CT57*VLOOKUP('Données projet'!$B$13,Paramètres!$A$1:$I$89,3,0)*VLOOKUP('Données projet'!$B$13,Paramètres!$A$1:$I$89,5,0)</f>
        <v>168.38640000000004</v>
      </c>
      <c r="CV57" s="13">
        <f t="shared" si="41"/>
        <v>42.728430513203243</v>
      </c>
      <c r="CW57" s="20">
        <f t="shared" si="13"/>
        <v>367.69166314382898</v>
      </c>
      <c r="CX57" s="59">
        <f t="shared" si="14"/>
        <v>625.3960358111683</v>
      </c>
      <c r="CY57" s="59">
        <f ca="1">AVERAGE(OFFSET($CX$3,0,0,'Données projet'!$E$13+1,1))-AVERAGE(OFFSET($H$3,0,0,'Données projet'!$E$13+1,1))</f>
        <v>220.18342986563667</v>
      </c>
      <c r="CZ57" s="59">
        <f t="shared" si="42"/>
        <v>347.84382145531163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2.5131911345569859E-3</v>
      </c>
      <c r="DI57" s="22">
        <f t="shared" si="15"/>
        <v>2.5131911345569859E-3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</v>
      </c>
      <c r="DO57" s="12">
        <f>IF('Données projet'!$A$166&gt;35,DO56+DN57-DW56,IF(A57&lt;'Données projet'!$A$166,$DL$205^A57,IF(A57='Données projet'!$A$166,'Données projet'!$B$166,DO56+DN57-DW56)))</f>
        <v>118</v>
      </c>
      <c r="DP57" s="17">
        <f>DO57*VLOOKUP('Données projet'!$B$14,Paramètres!$A$1:$I$89,3,0)*VLOOKUP('Données projet'!$B$14,Paramètres!$A$1:$I$89,5,0)</f>
        <v>119.65200000000002</v>
      </c>
      <c r="DQ57" s="13">
        <f t="shared" si="43"/>
        <v>31.593820295048392</v>
      </c>
      <c r="DR57" s="20">
        <f t="shared" si="16"/>
        <v>263.41980368054266</v>
      </c>
      <c r="DS57" s="59">
        <f t="shared" si="17"/>
        <v>521.12417634788198</v>
      </c>
      <c r="DT57" s="59">
        <f ca="1">AVERAGE(OFFSET($DS$3,0,0,'Données projet'!$E$14+1,1))-AVERAGE(OFFSET($H$3,0,0,'Données projet'!$E$14+1,1))</f>
        <v>392.49465607243178</v>
      </c>
      <c r="DU57" s="59">
        <f t="shared" si="44"/>
        <v>258.031856676031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5.3973944485938485</v>
      </c>
      <c r="EB57" s="21">
        <f>EXP(-LN(2)/25)*EB56+(1-EXP(-LN(2)/25))/(LN(2)/25)*Calculateur!DW57*Calculateur!DY57*VLOOKUP('Données projet'!$B$14,Paramètres!$A$1:$I$89,3,0)*0.475*44/12</f>
        <v>5.0733352897814603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10.470729738375308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11</v>
      </c>
      <c r="EJ57" s="12">
        <f>IF('Données projet'!$A$192&gt;35,EJ56+EI57-ER56,IF(A57&lt;'Données projet'!$A$192,$EG$205^A57,IF(A57='Données projet'!$A$192,'Données projet'!$B$192,EJ56+EI57-ER56)))</f>
        <v>233.00000000000006</v>
      </c>
      <c r="EK57" s="17">
        <f>EJ57*VLOOKUP('Données projet'!$B$15,Paramètres!$A$1:$I$89,3,0)*VLOOKUP('Données projet'!$B$15,Paramètres!$A$1:$I$89,5,0)</f>
        <v>199.91400000000007</v>
      </c>
      <c r="EL57" s="13">
        <f t="shared" si="45"/>
        <v>49.725267055272241</v>
      </c>
      <c r="EM57" s="20">
        <f t="shared" si="19"/>
        <v>434.78839012126599</v>
      </c>
      <c r="EN57" s="59">
        <f t="shared" si="20"/>
        <v>692.49276278860532</v>
      </c>
      <c r="EO57" s="59">
        <f ca="1">AVERAGE(OFFSET($EN$3,0,0,'Données projet'!$E$15+1,1))-AVERAGE(OFFSET($H$3,0,0,'Données projet'!$E$15+1,1))</f>
        <v>294.24530606293143</v>
      </c>
      <c r="EP57" s="59">
        <f t="shared" si="46"/>
        <v>275.88160405468193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26.225478941117579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26.225478941117579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11</v>
      </c>
      <c r="FE57" s="12">
        <f>IF('Données projet'!$A$218&gt;35,FE56+FD57-FM56,IF(A57&lt;'Données projet'!$A$218,$FB$205^A57,IF(A57='Données projet'!$A$218,'Données projet'!$B$218,FE56+FD57-FM56)))</f>
        <v>233.00000000000006</v>
      </c>
      <c r="FF57" s="17">
        <f>FE57*VLOOKUP('Données projet'!$B$16,Paramètres!$A$1:$I$89,3,0)*VLOOKUP('Données projet'!$B$16,Paramètres!$A$1:$I$89,5,0)</f>
        <v>170.83560000000003</v>
      </c>
      <c r="FG57" s="13">
        <f t="shared" si="47"/>
        <v>43.277116749159681</v>
      </c>
      <c r="FH57" s="20">
        <f t="shared" si="22"/>
        <v>372.91298167145311</v>
      </c>
      <c r="FI57" s="59">
        <f t="shared" si="23"/>
        <v>630.61735433879244</v>
      </c>
      <c r="FJ57" s="59">
        <f ca="1">AVERAGE(OFFSET($FI$3,0,0,'Données projet'!$E$16+1,1))-AVERAGE(OFFSET($H$3,0,0,'Données projet'!$E$16+1,1))</f>
        <v>214.31585175697521</v>
      </c>
      <c r="FK57" s="59">
        <f t="shared" si="48"/>
        <v>244.60383864821372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18.182398950256822</v>
      </c>
      <c r="FR57" s="21">
        <f>EXP(-LN(2)/25)*FR56+(1-EXP(-LN(2)/25))/(LN(2)/25)*Calculateur!FM57*Calculateur!FO57*VLOOKUP('Données projet'!$B$16,Paramètres!$A$1:$I$89,3,0)*0.475*44/12</f>
        <v>0</v>
      </c>
      <c r="FS57" s="21">
        <f>EXP(-LN(2)/2)*FS56+(1-EXP(-LN(2)/2))/(LN(2)/2)*FM57*FP57*VLOOKUP('Données projet'!$B$16,Paramètres!$A$1:$I$89,3,0)*0.475*44/12</f>
        <v>0</v>
      </c>
      <c r="FT57" s="22">
        <f t="shared" si="24"/>
        <v>18.182398950256822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6.2</v>
      </c>
      <c r="FZ57" s="12">
        <f>IF('Données projet'!$A$244&gt;35,FZ56+FY57-GH56,IF(A57&lt;'Données projet'!$A$244,$FW$205^A57,IF(A57='Données projet'!$A$244,'Données projet'!$B$244,FZ56+FY57-GH56)))</f>
        <v>281.8</v>
      </c>
      <c r="GA57" s="17">
        <f>FZ57*VLOOKUP('Données projet'!$B$17,Paramètres!$A$1:$I$89,3,0)*VLOOKUP('Données projet'!$B$17,Paramètres!$A$1:$I$89,5,0)</f>
        <v>224.20008000000004</v>
      </c>
      <c r="GB57" s="13">
        <f t="shared" si="49"/>
        <v>55.026745193813987</v>
      </c>
      <c r="GC57" s="20">
        <f t="shared" si="25"/>
        <v>486.32005387922612</v>
      </c>
      <c r="GD57" s="59">
        <f t="shared" si="26"/>
        <v>744.02442654656545</v>
      </c>
      <c r="GE57" s="59">
        <f ca="1">AVERAGE(OFFSET($GD$3,0,0,'Données projet'!$E$17+1,1))-AVERAGE(OFFSET($H$3,0,0,'Données projet'!$E$17+1,1))</f>
        <v>308.33954512886351</v>
      </c>
      <c r="GF57" s="59">
        <f t="shared" si="50"/>
        <v>408.79075392716277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22.239943600917695</v>
      </c>
      <c r="GM57" s="21">
        <f>EXP(-LN(2)/25)*GM56+(1-EXP(-LN(2)/25))/(LN(2)/25)*Calculateur!GH57*Calculateur!GJ57*VLOOKUP('Données projet'!$B$17,Paramètres!$A$1:$I$89,3,0)*0.475*44/12</f>
        <v>0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22.239943600917695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342.84342155097613</v>
      </c>
      <c r="T58" s="59">
        <f t="shared" si="34"/>
        <v>565.68976940602215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141.92697545707415</v>
      </c>
      <c r="AA58" s="21">
        <f>EXP(-LN(2)/25)*AA57+(1-EXP(-LN(2)/25))/(LN(2)/25)*Calculateur!V58*Calculateur!X58*VLOOKUP('Données projet'!$B$9,Paramètres!$A$1:$I$89,3,0)*0.475*44/12</f>
        <v>66.946801747285008</v>
      </c>
      <c r="AB58" s="21">
        <f>EXP(-LN(2)/2)*AB57+(1-EXP(-LN(2)/2))/(LN(2)/2)*V58*Y58*VLOOKUP('Données projet'!$B$9,Paramètres!$A$1:$I$89,3,0)*0.475*44/12</f>
        <v>1.2934359118847725</v>
      </c>
      <c r="AC58" s="22">
        <f t="shared" si="3"/>
        <v>210.16721311624394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244</v>
      </c>
      <c r="AG58" s="12">
        <f>VLOOKUP(A58,'Données projet'!$A$61:$I$81,9,0)</f>
        <v>11</v>
      </c>
      <c r="AH58" s="12">
        <f t="array" ref="AH58">INDEX(AG:AG,MIN(IF(ISNUMBER(AG58:AG254),ROW(AG58:AG254),"")))</f>
        <v>11</v>
      </c>
      <c r="AI58" s="13">
        <f>IF('Données projet'!$A$62&gt;35,AI57+AH58-AQ57,IF(A58&lt;'Données projet'!$A$62,$AF$205^A58,IF(A58='Données projet'!$A$62,'Données projet'!$B$62,AI57+AH58-AQ57)))</f>
        <v>244.00000000000006</v>
      </c>
      <c r="AJ58" s="13">
        <f>AI58*VLOOKUP('Données projet'!$B$10,Paramètres!$A$1:$I$89,3,0)*VLOOKUP('Données projet'!$B$10,Paramètres!$A$1:$I$89,5,0)</f>
        <v>232.19040000000007</v>
      </c>
      <c r="AK58" s="13">
        <f t="shared" si="35"/>
        <v>56.756035639094605</v>
      </c>
      <c r="AL58" s="20">
        <f t="shared" si="4"/>
        <v>503.24837540475647</v>
      </c>
      <c r="AM58" s="59">
        <f t="shared" si="5"/>
        <v>761.57083088522791</v>
      </c>
      <c r="AN58" s="59">
        <f ca="1">AVERAGE(OFFSET($AM$3,0,0,'Données projet'!$E$10+1,1))-AVERAGE(OFFSET($H$3,0,0,'Données projet'!$E$10+1,1))</f>
        <v>320.33056209214476</v>
      </c>
      <c r="AO58" s="59">
        <f t="shared" si="36"/>
        <v>299.27200854723446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0.215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11.799242558833051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11.799242558833051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606.57771356726334</v>
      </c>
      <c r="BI58" s="59">
        <f ca="1">AVERAGE(OFFSET($BH$3,0,0,'Données projet'!$E$11+1,1))-AVERAGE(OFFSET($H$3,0,0,'Données projet'!$E$11+1,1))</f>
        <v>256.85706398254547</v>
      </c>
      <c r="BJ58" s="59">
        <f t="shared" si="38"/>
        <v>363.68094621014734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44.978645092750455</v>
      </c>
      <c r="BQ58" s="21">
        <f>EXP(-LN(2)/25)*BQ57+(1-EXP(-LN(2)/25))/(LN(2)/25)*Calculateur!BL58*Calculateur!BN58*VLOOKUP('Données projet'!$B$11,Paramètres!$A$1:$I$89,3,0)*0.475*44/12</f>
        <v>27.420789867598035</v>
      </c>
      <c r="BR58" s="21">
        <f>EXP(-LN(2)/2)*BR57+(1-EXP(-LN(2)/2))/(LN(2)/2)*BL58*BO58*VLOOKUP('Données projet'!$B$11,Paramètres!$A$1:$I$89,3,0)*0.475*44/12</f>
        <v>0.93073789992493416</v>
      </c>
      <c r="BS58" s="22">
        <f t="shared" si="9"/>
        <v>73.330172860273422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8</v>
      </c>
      <c r="BY58" s="12">
        <f>IF('Données projet'!$A$114&gt;35,BY57+BX58-CG57,IF(A58&lt;'Données projet'!$A$114,$BV$205^A58,IF(A58='Données projet'!$A$114,'Données projet'!$B$114,BY57+BX58-CG57)))</f>
        <v>126</v>
      </c>
      <c r="BZ58" s="13">
        <f>BY58*VLOOKUP('Données projet'!$B$12,Paramètres!$A$1:$I$89,3,0)*VLOOKUP('Données projet'!$B$12,Paramètres!$A$1:$I$89,5,0)</f>
        <v>114.0048</v>
      </c>
      <c r="CA58" s="13">
        <f t="shared" si="39"/>
        <v>30.272573949217303</v>
      </c>
      <c r="CB58" s="20">
        <f t="shared" si="10"/>
        <v>251.28309296155342</v>
      </c>
      <c r="CC58" s="59">
        <f t="shared" si="11"/>
        <v>509.60554844202477</v>
      </c>
      <c r="CD58" s="59">
        <f ca="1">AVERAGE(OFFSET($CC$3,0,0,'Données projet'!$E$12+1,1))-AVERAGE(OFFSET($H$3,0,0,'Données projet'!$E$12+1,1))</f>
        <v>357.68828740212223</v>
      </c>
      <c r="CE58" s="59">
        <f t="shared" si="40"/>
        <v>236.76626845829483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4.7216950840225094</v>
      </c>
      <c r="CL58" s="21">
        <f>EXP(-LN(2)/25)*CL57+(1-EXP(-LN(2)/25))/(LN(2)/25)*Calculateur!CG58*Calculateur!CI58*VLOOKUP('Données projet'!$B$12,Paramètres!$A$1:$I$89,3,0)*0.475*44/12</f>
        <v>4.4031857050809551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9.1248807891034645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257.00000000000006</v>
      </c>
      <c r="CU58" s="17">
        <f>CT58*VLOOKUP('Données projet'!$B$13,Paramètres!$A$1:$I$89,3,0)*VLOOKUP('Données projet'!$B$13,Paramètres!$A$1:$I$89,5,0)</f>
        <v>168.38640000000004</v>
      </c>
      <c r="CV58" s="13">
        <f t="shared" si="41"/>
        <v>42.728430513203243</v>
      </c>
      <c r="CW58" s="20">
        <f t="shared" si="13"/>
        <v>367.69166314382898</v>
      </c>
      <c r="CX58" s="59">
        <f t="shared" si="14"/>
        <v>626.01411862430041</v>
      </c>
      <c r="CY58" s="59">
        <f ca="1">AVERAGE(OFFSET($CX$3,0,0,'Données projet'!$E$13+1,1))-AVERAGE(OFFSET($H$3,0,0,'Données projet'!$E$13+1,1))</f>
        <v>220.18342986563667</v>
      </c>
      <c r="CZ58" s="59">
        <f t="shared" si="42"/>
        <v>347.84382145531163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1.7770944936631578E-3</v>
      </c>
      <c r="DI58" s="22">
        <f t="shared" si="15"/>
        <v>1.7770944936631578E-3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</v>
      </c>
      <c r="DO58" s="12">
        <f>IF('Données projet'!$A$166&gt;35,DO57+DN58-DW57,IF(A58&lt;'Données projet'!$A$166,$DL$205^A58,IF(A58='Données projet'!$A$166,'Données projet'!$B$166,DO57+DN58-DW57)))</f>
        <v>126</v>
      </c>
      <c r="DP58" s="17">
        <f>DO58*VLOOKUP('Données projet'!$B$14,Paramètres!$A$1:$I$89,3,0)*VLOOKUP('Données projet'!$B$14,Paramètres!$A$1:$I$89,5,0)</f>
        <v>127.76400000000001</v>
      </c>
      <c r="DQ58" s="13">
        <f t="shared" si="43"/>
        <v>33.479164830670051</v>
      </c>
      <c r="DR58" s="20">
        <f t="shared" si="16"/>
        <v>280.83184541341694</v>
      </c>
      <c r="DS58" s="59">
        <f t="shared" si="17"/>
        <v>539.15430089388838</v>
      </c>
      <c r="DT58" s="59">
        <f ca="1">AVERAGE(OFFSET($DS$3,0,0,'Données projet'!$E$14+1,1))-AVERAGE(OFFSET($H$3,0,0,'Données projet'!$E$14+1,1))</f>
        <v>392.49465607243178</v>
      </c>
      <c r="DU58" s="59">
        <f t="shared" si="44"/>
        <v>258.031856676031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5.2915548355424704</v>
      </c>
      <c r="EB58" s="21">
        <f>EXP(-LN(2)/25)*EB57+(1-EXP(-LN(2)/25))/(LN(2)/25)*Calculateur!DW58*Calculateur!DY58*VLOOKUP('Données projet'!$B$14,Paramètres!$A$1:$I$89,3,0)*0.475*44/12</f>
        <v>4.9346046694872783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10.226159505029749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>
        <f>VLOOKUP(A58,'Données projet'!$A$191:$I$211,2,0)</f>
        <v>244</v>
      </c>
      <c r="EH58" s="12">
        <f>VLOOKUP(A58,'Données projet'!$A$191:$I$211,9,0)</f>
        <v>11</v>
      </c>
      <c r="EI58" s="12">
        <f t="array" ref="EI58">INDEX(EH:EH,MIN(IF(ISNUMBER(EH58:EH254),ROW(EH58:EH254),"")))</f>
        <v>11</v>
      </c>
      <c r="EJ58" s="12">
        <f>IF('Données projet'!$A$192&gt;35,EJ57+EI58-ER57,IF(A58&lt;'Données projet'!$A$192,$EG$205^A58,IF(A58='Données projet'!$A$192,'Données projet'!$B$192,EJ57+EI58-ER57)))</f>
        <v>244.00000000000006</v>
      </c>
      <c r="EK58" s="17">
        <f>EJ58*VLOOKUP('Données projet'!$B$15,Paramètres!$A$1:$I$89,3,0)*VLOOKUP('Données projet'!$B$15,Paramètres!$A$1:$I$89,5,0)</f>
        <v>209.35200000000009</v>
      </c>
      <c r="EL58" s="13">
        <f t="shared" si="45"/>
        <v>51.793955935094402</v>
      </c>
      <c r="EM58" s="20">
        <f t="shared" si="19"/>
        <v>454.82920658695622</v>
      </c>
      <c r="EN58" s="59">
        <f t="shared" si="20"/>
        <v>713.15166206742765</v>
      </c>
      <c r="EO58" s="59">
        <f ca="1">AVERAGE(OFFSET($EN$3,0,0,'Données projet'!$E$15+1,1))-AVERAGE(OFFSET($H$3,0,0,'Données projet'!$E$15+1,1))</f>
        <v>294.24530606293143</v>
      </c>
      <c r="EP58" s="59">
        <f t="shared" si="46"/>
        <v>275.88160405468193</v>
      </c>
      <c r="EQ58" s="15">
        <f>IF(ISNA(VLOOKUP(A58,'Données projet'!$A$191:$I$211,3,0)),0,VLOOKUP(A58,'Données projet'!$A$191:$I$211,3,0))</f>
        <v>7</v>
      </c>
      <c r="ER58" s="15">
        <f>IF(ISNA(VLOOKUP(A58,'Données projet'!$A$191:$I$211,4,0)),0,VLOOKUP(A58,'Données projet'!$A$191:$I$211,4,0))</f>
        <v>28</v>
      </c>
      <c r="ES58" s="16">
        <f>IF(ISNA(VLOOKUP(A58,'Données projet'!$A$191:$I$211,5,0)),0%,VLOOKUP(A58,'Données projet'!$A$191:$I$211,5,0)*VLOOKUP('Données projet'!$B$15,Paramètres!$A$1:$I$89,7,0))</f>
        <v>0.42400000000000004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36.971729143754374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36.971729143754374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244</v>
      </c>
      <c r="FC58" s="12">
        <f>VLOOKUP(A58,'Données projet'!$A$217:$I$237,9,0)</f>
        <v>11</v>
      </c>
      <c r="FD58" s="12">
        <f t="array" ref="FD58">INDEX(FC:FC,MIN(IF(ISNUMBER(FC58:FC254),ROW(FC58:FC254),"")))</f>
        <v>11</v>
      </c>
      <c r="FE58" s="12">
        <f>IF('Données projet'!$A$218&gt;35,FE57+FD58-FM57,IF(A58&lt;'Données projet'!$A$218,$FB$205^A58,IF(A58='Données projet'!$A$218,'Données projet'!$B$218,FE57+FD58-FM57)))</f>
        <v>244.00000000000006</v>
      </c>
      <c r="FF58" s="17">
        <f>FE58*VLOOKUP('Données projet'!$B$16,Paramètres!$A$1:$I$89,3,0)*VLOOKUP('Données projet'!$B$16,Paramètres!$A$1:$I$89,5,0)</f>
        <v>178.90080000000003</v>
      </c>
      <c r="FG58" s="13">
        <f t="shared" si="47"/>
        <v>45.077547304318657</v>
      </c>
      <c r="FH58" s="20">
        <f t="shared" si="22"/>
        <v>390.09562155502164</v>
      </c>
      <c r="FI58" s="59">
        <f t="shared" si="23"/>
        <v>648.41807703549307</v>
      </c>
      <c r="FJ58" s="59">
        <f ca="1">AVERAGE(OFFSET($FI$3,0,0,'Données projet'!$E$16+1,1))-AVERAGE(OFFSET($H$3,0,0,'Données projet'!$E$16+1,1))</f>
        <v>214.31585175697521</v>
      </c>
      <c r="FK58" s="59">
        <f t="shared" si="48"/>
        <v>244.60383864821372</v>
      </c>
      <c r="FL58" s="15">
        <f>IF(ISNA(VLOOKUP(A58,'Données projet'!$A$217:$I$237,3,0)),0,VLOOKUP(A58,'Données projet'!$A$217:$I$237,3,0))</f>
        <v>7</v>
      </c>
      <c r="FM58" s="15">
        <f>IF(ISNA(VLOOKUP(A58,'Données projet'!$A$217:$I$237,4,0)),0,VLOOKUP(A58,'Données projet'!$A$217:$I$237,4,0))</f>
        <v>28</v>
      </c>
      <c r="FN58" s="16">
        <f>IF(ISNA(VLOOKUP(A58,'Données projet'!$A$217:$I$237,5,0)),0%,VLOOKUP(A58,'Données projet'!$A$217:$I$237,5,0)*VLOOKUP('Données projet'!$B$16,Paramètres!$A$1:$I$89,7,0))</f>
        <v>0.34400000000000003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25.632886655069502</v>
      </c>
      <c r="FR58" s="21">
        <f>EXP(-LN(2)/25)*FR57+(1-EXP(-LN(2)/25))/(LN(2)/25)*Calculateur!FM58*Calculateur!FO58*VLOOKUP('Données projet'!$B$16,Paramètres!$A$1:$I$89,3,0)*0.475*44/12</f>
        <v>0</v>
      </c>
      <c r="FS58" s="21">
        <f>EXP(-LN(2)/2)*FS57+(1-EXP(-LN(2)/2))/(LN(2)/2)*FM58*FP58*VLOOKUP('Données projet'!$B$16,Paramètres!$A$1:$I$89,3,0)*0.475*44/12</f>
        <v>0</v>
      </c>
      <c r="FT58" s="22">
        <f t="shared" si="24"/>
        <v>25.632886655069502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>
        <f>VLOOKUP(A58,'Données projet'!$A$243:$I$263,2,0)</f>
        <v>288</v>
      </c>
      <c r="FX58" s="12">
        <f>VLOOKUP(A58,'Données projet'!$A$243:$I$263,9,0)</f>
        <v>6.2</v>
      </c>
      <c r="FY58" s="12">
        <f t="array" ref="FY58">INDEX(FX:FX,MIN(IF(ISNUMBER(FX58:FX254),ROW(FX58:FX254),"")))</f>
        <v>6.2</v>
      </c>
      <c r="FZ58" s="12">
        <f>IF('Données projet'!$A$244&gt;35,FZ57+FY58-GH57,IF(A58&lt;'Données projet'!$A$244,$FW$205^A58,IF(A58='Données projet'!$A$244,'Données projet'!$B$244,FZ57+FY58-GH57)))</f>
        <v>288</v>
      </c>
      <c r="GA58" s="17">
        <f>FZ58*VLOOKUP('Données projet'!$B$17,Paramètres!$A$1:$I$89,3,0)*VLOOKUP('Données projet'!$B$17,Paramètres!$A$1:$I$89,5,0)</f>
        <v>229.1328</v>
      </c>
      <c r="GB58" s="13">
        <f t="shared" si="49"/>
        <v>56.095131411326882</v>
      </c>
      <c r="GC58" s="20">
        <f t="shared" si="25"/>
        <v>496.77198054139427</v>
      </c>
      <c r="GD58" s="59">
        <f t="shared" si="26"/>
        <v>755.0944360218657</v>
      </c>
      <c r="GE58" s="59">
        <f ca="1">AVERAGE(OFFSET($GD$3,0,0,'Données projet'!$E$17+1,1))-AVERAGE(OFFSET($H$3,0,0,'Données projet'!$E$17+1,1))</f>
        <v>308.33954512886351</v>
      </c>
      <c r="GF58" s="59">
        <f t="shared" si="50"/>
        <v>408.79075392716277</v>
      </c>
      <c r="GG58" s="15">
        <f>IF(ISNA(VLOOKUP(A58,'Données projet'!$A$243:$I$263,3,0)),0,VLOOKUP(A58,'Données projet'!$A$243:$I$263,3,0))</f>
        <v>7</v>
      </c>
      <c r="GH58" s="15">
        <f>IF(ISNA(VLOOKUP(A58,'Données projet'!$A$243:$I$263,4,0)),0,VLOOKUP(A58,'Données projet'!$A$243:$I$263,4,0))</f>
        <v>13</v>
      </c>
      <c r="GI58" s="16">
        <f>IF(ISNA(VLOOKUP(A58,'Données projet'!$A$243:$I$263,5,0)),0%,VLOOKUP(A58,'Données projet'!$A$243:$I$263,5,0)*VLOOKUP('Données projet'!$B$17,Paramètres!$A$1:$I$89,7,0))</f>
        <v>0.42400000000000004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26.65170330549762</v>
      </c>
      <c r="GM58" s="21">
        <f>EXP(-LN(2)/25)*GM57+(1-EXP(-LN(2)/25))/(LN(2)/25)*Calculateur!GH58*Calculateur!GJ58*VLOOKUP('Données projet'!$B$17,Paramètres!$A$1:$I$89,3,0)*0.475*44/12</f>
        <v>0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26.65170330549762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342.84342155097613</v>
      </c>
      <c r="T59" s="59">
        <f t="shared" si="34"/>
        <v>565.68976940602215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139.14387403526817</v>
      </c>
      <c r="AA59" s="21">
        <f>EXP(-LN(2)/25)*AA58+(1-EXP(-LN(2)/25))/(LN(2)/25)*Calculateur!V59*Calculateur!X59*VLOOKUP('Données projet'!$B$9,Paramètres!$A$1:$I$89,3,0)*0.475*44/12</f>
        <v>65.116137932926208</v>
      </c>
      <c r="AB59" s="21">
        <f>EXP(-LN(2)/2)*AB58+(1-EXP(-LN(2)/2))/(LN(2)/2)*V59*Y59*VLOOKUP('Données projet'!$B$9,Paramètres!$A$1:$I$89,3,0)*0.475*44/12</f>
        <v>0.91459730432392838</v>
      </c>
      <c r="AC59" s="22">
        <f t="shared" si="3"/>
        <v>205.1746092725183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10.8</v>
      </c>
      <c r="AI59" s="13">
        <f>IF('Données projet'!$A$62&gt;35,AI58+AH59-AQ58,IF(A59&lt;'Données projet'!$A$62,$AF$205^A59,IF(A59='Données projet'!$A$62,'Données projet'!$B$62,AI58+AH59-AQ58)))</f>
        <v>226.80000000000007</v>
      </c>
      <c r="AJ59" s="13">
        <f>AI59*VLOOKUP('Données projet'!$B$10,Paramètres!$A$1:$I$89,3,0)*VLOOKUP('Données projet'!$B$10,Paramètres!$A$1:$I$89,5,0)</f>
        <v>215.82288000000008</v>
      </c>
      <c r="AK59" s="13">
        <f t="shared" si="35"/>
        <v>53.205998928315871</v>
      </c>
      <c r="AL59" s="20">
        <f t="shared" si="4"/>
        <v>468.5586308001503</v>
      </c>
      <c r="AM59" s="59">
        <f t="shared" si="5"/>
        <v>727.48844673877204</v>
      </c>
      <c r="AN59" s="59">
        <f ca="1">AVERAGE(OFFSET($AM$3,0,0,'Données projet'!$E$10+1,1))-AVERAGE(OFFSET($H$3,0,0,'Données projet'!$E$10+1,1))</f>
        <v>320.33056209214476</v>
      </c>
      <c r="AO59" s="59">
        <f t="shared" si="36"/>
        <v>299.27200854723446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11.476591650566561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11.476591650566561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620.16741907794665</v>
      </c>
      <c r="BI59" s="59">
        <f ca="1">AVERAGE(OFFSET($BH$3,0,0,'Données projet'!$E$11+1,1))-AVERAGE(OFFSET($H$3,0,0,'Données projet'!$E$11+1,1))</f>
        <v>256.85706398254547</v>
      </c>
      <c r="BJ59" s="59">
        <f t="shared" si="38"/>
        <v>363.68094621014734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44.096641296746213</v>
      </c>
      <c r="BQ59" s="21">
        <f>EXP(-LN(2)/25)*BQ58+(1-EXP(-LN(2)/25))/(LN(2)/25)*Calculateur!BL59*Calculateur!BN59*VLOOKUP('Données projet'!$B$11,Paramètres!$A$1:$I$89,3,0)*0.475*44/12</f>
        <v>26.670966926671898</v>
      </c>
      <c r="BR59" s="21">
        <f>EXP(-LN(2)/2)*BR58+(1-EXP(-LN(2)/2))/(LN(2)/2)*BL59*BO59*VLOOKUP('Données projet'!$B$11,Paramètres!$A$1:$I$89,3,0)*0.475*44/12</f>
        <v>0.65813108054424718</v>
      </c>
      <c r="BS59" s="22">
        <f t="shared" si="9"/>
        <v>71.425739303962359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8</v>
      </c>
      <c r="BY59" s="12">
        <f>IF('Données projet'!$A$114&gt;35,BY58+BX59-CG58,IF(A59&lt;'Données projet'!$A$114,$BV$205^A59,IF(A59='Données projet'!$A$114,'Données projet'!$B$114,BY58+BX59-CG58)))</f>
        <v>134</v>
      </c>
      <c r="BZ59" s="13">
        <f>BY59*VLOOKUP('Données projet'!$B$12,Paramètres!$A$1:$I$89,3,0)*VLOOKUP('Données projet'!$B$12,Paramètres!$A$1:$I$89,5,0)</f>
        <v>121.2432</v>
      </c>
      <c r="CA59" s="13">
        <f t="shared" si="39"/>
        <v>31.964781119270334</v>
      </c>
      <c r="CB59" s="20">
        <f t="shared" si="10"/>
        <v>266.83723378272913</v>
      </c>
      <c r="CC59" s="59">
        <f t="shared" si="11"/>
        <v>525.76704972135087</v>
      </c>
      <c r="CD59" s="59">
        <f ca="1">AVERAGE(OFFSET($CC$3,0,0,'Données projet'!$E$12+1,1))-AVERAGE(OFFSET($H$3,0,0,'Données projet'!$E$12+1,1))</f>
        <v>357.68828740212223</v>
      </c>
      <c r="CE59" s="59">
        <f t="shared" si="40"/>
        <v>236.76626845829483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4.6291055233744576</v>
      </c>
      <c r="CL59" s="21">
        <f>EXP(-LN(2)/25)*CL58+(1-EXP(-LN(2)/25))/(LN(2)/25)*Calculateur!CG59*Calculateur!CI59*VLOOKUP('Données projet'!$B$12,Paramètres!$A$1:$I$89,3,0)*0.475*44/12</f>
        <v>4.282780360422044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8.9118858837965007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257.00000000000006</v>
      </c>
      <c r="CU59" s="17">
        <f>CT59*VLOOKUP('Données projet'!$B$13,Paramètres!$A$1:$I$89,3,0)*VLOOKUP('Données projet'!$B$13,Paramètres!$A$1:$I$89,5,0)</f>
        <v>168.38640000000004</v>
      </c>
      <c r="CV59" s="13">
        <f t="shared" si="41"/>
        <v>42.728430513203243</v>
      </c>
      <c r="CW59" s="20">
        <f t="shared" si="13"/>
        <v>367.69166314382898</v>
      </c>
      <c r="CX59" s="59">
        <f t="shared" si="14"/>
        <v>626.62147908245072</v>
      </c>
      <c r="CY59" s="59">
        <f ca="1">AVERAGE(OFFSET($CX$3,0,0,'Données projet'!$E$13+1,1))-AVERAGE(OFFSET($H$3,0,0,'Données projet'!$E$13+1,1))</f>
        <v>220.18342986563667</v>
      </c>
      <c r="CZ59" s="59">
        <f t="shared" si="42"/>
        <v>347.84382145531163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1.256595567278493E-3</v>
      </c>
      <c r="DI59" s="22">
        <f t="shared" si="15"/>
        <v>1.256595567278493E-3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</v>
      </c>
      <c r="DO59" s="12">
        <f>IF('Données projet'!$A$166&gt;35,DO58+DN59-DW58,IF(A59&lt;'Données projet'!$A$166,$DL$205^A59,IF(A59='Données projet'!$A$166,'Données projet'!$B$166,DO58+DN59-DW58)))</f>
        <v>134</v>
      </c>
      <c r="DP59" s="17">
        <f>DO59*VLOOKUP('Données projet'!$B$14,Paramètres!$A$1:$I$89,3,0)*VLOOKUP('Données projet'!$B$14,Paramètres!$A$1:$I$89,5,0)</f>
        <v>135.876</v>
      </c>
      <c r="DQ59" s="13">
        <f t="shared" si="43"/>
        <v>35.350617283602709</v>
      </c>
      <c r="DR59" s="20">
        <f t="shared" si="16"/>
        <v>298.21969176894135</v>
      </c>
      <c r="DS59" s="59">
        <f t="shared" si="17"/>
        <v>557.14950770756309</v>
      </c>
      <c r="DT59" s="59">
        <f ca="1">AVERAGE(OFFSET($DS$3,0,0,'Données projet'!$E$14+1,1))-AVERAGE(OFFSET($H$3,0,0,'Données projet'!$E$14+1,1))</f>
        <v>392.49465607243178</v>
      </c>
      <c r="DU59" s="59">
        <f t="shared" si="44"/>
        <v>258.031856676031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5.1877906727472398</v>
      </c>
      <c r="EB59" s="21">
        <f>EXP(-LN(2)/25)*EB58+(1-EXP(-LN(2)/25))/(LN(2)/25)*Calculateur!DW59*Calculateur!DY59*VLOOKUP('Données projet'!$B$14,Paramètres!$A$1:$I$89,3,0)*0.475*44/12</f>
        <v>4.7996676453005671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9.9874583180478069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10.8</v>
      </c>
      <c r="EJ59" s="12">
        <f>IF('Données projet'!$A$192&gt;35,EJ58+EI59-ER58,IF(A59&lt;'Données projet'!$A$192,$EG$205^A59,IF(A59='Données projet'!$A$192,'Données projet'!$B$192,EJ58+EI59-ER58)))</f>
        <v>226.80000000000007</v>
      </c>
      <c r="EK59" s="17">
        <f>EJ59*VLOOKUP('Données projet'!$B$15,Paramètres!$A$1:$I$89,3,0)*VLOOKUP('Données projet'!$B$15,Paramètres!$A$1:$I$89,5,0)</f>
        <v>194.59440000000009</v>
      </c>
      <c r="EL59" s="13">
        <f t="shared" si="45"/>
        <v>48.554292648263498</v>
      </c>
      <c r="EM59" s="20">
        <f t="shared" si="19"/>
        <v>423.48397302905909</v>
      </c>
      <c r="EN59" s="59">
        <f t="shared" si="20"/>
        <v>682.41378896768083</v>
      </c>
      <c r="EO59" s="59">
        <f ca="1">AVERAGE(OFFSET($EN$3,0,0,'Données projet'!$E$15+1,1))-AVERAGE(OFFSET($H$3,0,0,'Données projet'!$E$15+1,1))</f>
        <v>294.24530606293143</v>
      </c>
      <c r="EP59" s="59">
        <f t="shared" si="46"/>
        <v>275.88160405468193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36.246736085773449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36.246736085773449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10.8</v>
      </c>
      <c r="FE59" s="12">
        <f>IF('Données projet'!$A$218&gt;35,FE58+FD59-FM58,IF(A59&lt;'Données projet'!$A$218,$FB$205^A59,IF(A59='Données projet'!$A$218,'Données projet'!$B$218,FE58+FD59-FM58)))</f>
        <v>226.80000000000007</v>
      </c>
      <c r="FF59" s="17">
        <f>FE59*VLOOKUP('Données projet'!$B$16,Paramètres!$A$1:$I$89,3,0)*VLOOKUP('Données projet'!$B$16,Paramètres!$A$1:$I$89,5,0)</f>
        <v>166.28976000000006</v>
      </c>
      <c r="FG59" s="13">
        <f t="shared" si="47"/>
        <v>42.257989067732332</v>
      </c>
      <c r="FH59" s="20">
        <f t="shared" si="22"/>
        <v>363.2206629596339</v>
      </c>
      <c r="FI59" s="59">
        <f t="shared" si="23"/>
        <v>622.15047889825564</v>
      </c>
      <c r="FJ59" s="59">
        <f ca="1">AVERAGE(OFFSET($FI$3,0,0,'Données projet'!$E$16+1,1))-AVERAGE(OFFSET($H$3,0,0,'Données projet'!$E$16+1,1))</f>
        <v>214.31585175697521</v>
      </c>
      <c r="FK59" s="59">
        <f t="shared" si="48"/>
        <v>244.60383864821372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25.130241382280669</v>
      </c>
      <c r="FR59" s="21">
        <f>EXP(-LN(2)/25)*FR58+(1-EXP(-LN(2)/25))/(LN(2)/25)*Calculateur!FM59*Calculateur!FO59*VLOOKUP('Données projet'!$B$16,Paramètres!$A$1:$I$89,3,0)*0.475*44/12</f>
        <v>0</v>
      </c>
      <c r="FS59" s="21">
        <f>EXP(-LN(2)/2)*FS58+(1-EXP(-LN(2)/2))/(LN(2)/2)*FM59*FP59*VLOOKUP('Données projet'!$B$16,Paramètres!$A$1:$I$89,3,0)*0.475*44/12</f>
        <v>0</v>
      </c>
      <c r="FT59" s="22">
        <f t="shared" si="24"/>
        <v>25.130241382280669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5.2</v>
      </c>
      <c r="FZ59" s="12">
        <f>IF('Données projet'!$A$244&gt;35,FZ58+FY59-GH58,IF(A59&lt;'Données projet'!$A$244,$FW$205^A59,IF(A59='Données projet'!$A$244,'Données projet'!$B$244,FZ58+FY59-GH58)))</f>
        <v>280.2</v>
      </c>
      <c r="GA59" s="17">
        <f>FZ59*VLOOKUP('Données projet'!$B$17,Paramètres!$A$1:$I$89,3,0)*VLOOKUP('Données projet'!$B$17,Paramètres!$A$1:$I$89,5,0)</f>
        <v>222.92711999999997</v>
      </c>
      <c r="GB59" s="13">
        <f t="shared" si="49"/>
        <v>54.750590570780574</v>
      </c>
      <c r="GC59" s="20">
        <f t="shared" si="25"/>
        <v>483.62201257744277</v>
      </c>
      <c r="GD59" s="59">
        <f t="shared" si="26"/>
        <v>742.55182851606446</v>
      </c>
      <c r="GE59" s="59">
        <f ca="1">AVERAGE(OFFSET($GD$3,0,0,'Données projet'!$E$17+1,1))-AVERAGE(OFFSET($H$3,0,0,'Données projet'!$E$17+1,1))</f>
        <v>308.33954512886351</v>
      </c>
      <c r="GF59" s="59">
        <f t="shared" si="50"/>
        <v>408.79075392716277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26.129079659610689</v>
      </c>
      <c r="GM59" s="21">
        <f>EXP(-LN(2)/25)*GM58+(1-EXP(-LN(2)/25))/(LN(2)/25)*Calculateur!GH59*Calculateur!GJ59*VLOOKUP('Données projet'!$B$17,Paramètres!$A$1:$I$89,3,0)*0.475*44/12</f>
        <v>0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26.129079659610689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342.84342155097613</v>
      </c>
      <c r="T60" s="59">
        <f t="shared" si="34"/>
        <v>565.68976940602215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136.41534753481957</v>
      </c>
      <c r="AA60" s="21">
        <f>EXP(-LN(2)/25)*AA59+(1-EXP(-LN(2)/25))/(LN(2)/25)*Calculateur!V60*Calculateur!X60*VLOOKUP('Données projet'!$B$9,Paramètres!$A$1:$I$89,3,0)*0.475*44/12</f>
        <v>63.335533716841475</v>
      </c>
      <c r="AB60" s="21">
        <f>EXP(-LN(2)/2)*AB59+(1-EXP(-LN(2)/2))/(LN(2)/2)*V60*Y60*VLOOKUP('Données projet'!$B$9,Paramètres!$A$1:$I$89,3,0)*0.475*44/12</f>
        <v>0.64671795594238624</v>
      </c>
      <c r="AC60" s="22">
        <f t="shared" si="3"/>
        <v>200.39759920760343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10.8</v>
      </c>
      <c r="AI60" s="13">
        <f>IF('Données projet'!$A$62&gt;35,AI59+AH60-AQ59,IF(A60&lt;'Données projet'!$A$62,$AF$205^A60,IF(A60='Données projet'!$A$62,'Données projet'!$B$62,AI59+AH60-AQ59)))</f>
        <v>237.60000000000008</v>
      </c>
      <c r="AJ60" s="13">
        <f>AI60*VLOOKUP('Données projet'!$B$10,Paramètres!$A$1:$I$89,3,0)*VLOOKUP('Données projet'!$B$10,Paramètres!$A$1:$I$89,5,0)</f>
        <v>226.10016000000007</v>
      </c>
      <c r="AK60" s="13">
        <f t="shared" si="35"/>
        <v>55.438607516274921</v>
      </c>
      <c r="AL60" s="20">
        <f t="shared" si="4"/>
        <v>490.34668675751232</v>
      </c>
      <c r="AM60" s="59">
        <f t="shared" si="5"/>
        <v>749.87332680819009</v>
      </c>
      <c r="AN60" s="59">
        <f ca="1">AVERAGE(OFFSET($AM$3,0,0,'Données projet'!$E$10+1,1))-AVERAGE(OFFSET($H$3,0,0,'Données projet'!$E$10+1,1))</f>
        <v>320.33056209214476</v>
      </c>
      <c r="AO60" s="59">
        <f t="shared" si="36"/>
        <v>299.27200854723446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11.162763648354094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11.162763648354094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633.7363890864118</v>
      </c>
      <c r="BI60" s="59">
        <f ca="1">AVERAGE(OFFSET($BH$3,0,0,'Données projet'!$E$11+1,1))-AVERAGE(OFFSET($H$3,0,0,'Données projet'!$E$11+1,1))</f>
        <v>256.85706398254547</v>
      </c>
      <c r="BJ60" s="59">
        <f t="shared" si="38"/>
        <v>363.68094621014734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43.231933057212423</v>
      </c>
      <c r="BQ60" s="21">
        <f>EXP(-LN(2)/25)*BQ59+(1-EXP(-LN(2)/25))/(LN(2)/25)*Calculateur!BL60*Calculateur!BN60*VLOOKUP('Données projet'!$B$11,Paramètres!$A$1:$I$89,3,0)*0.475*44/12</f>
        <v>25.941647933496863</v>
      </c>
      <c r="BR60" s="21">
        <f>EXP(-LN(2)/2)*BR59+(1-EXP(-LN(2)/2))/(LN(2)/2)*BL60*BO60*VLOOKUP('Données projet'!$B$11,Paramètres!$A$1:$I$89,3,0)*0.475*44/12</f>
        <v>0.46536894996246708</v>
      </c>
      <c r="BS60" s="22">
        <f t="shared" si="9"/>
        <v>69.63894994067175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8</v>
      </c>
      <c r="BY60" s="12">
        <f>IF('Données projet'!$A$114&gt;35,BY59+BX60-CG59,IF(A60&lt;'Données projet'!$A$114,$BV$205^A60,IF(A60='Données projet'!$A$114,'Données projet'!$B$114,BY59+BX60-CG59)))</f>
        <v>142</v>
      </c>
      <c r="BZ60" s="13">
        <f>BY60*VLOOKUP('Données projet'!$B$12,Paramètres!$A$1:$I$89,3,0)*VLOOKUP('Données projet'!$B$12,Paramètres!$A$1:$I$89,5,0)</f>
        <v>128.48160000000001</v>
      </c>
      <c r="CA60" s="13">
        <f t="shared" si="39"/>
        <v>33.645262125937215</v>
      </c>
      <c r="CB60" s="20">
        <f t="shared" si="10"/>
        <v>282.37095153600734</v>
      </c>
      <c r="CC60" s="59">
        <f t="shared" si="11"/>
        <v>541.89759158668505</v>
      </c>
      <c r="CD60" s="59">
        <f ca="1">AVERAGE(OFFSET($CC$3,0,0,'Données projet'!$E$12+1,1))-AVERAGE(OFFSET($H$3,0,0,'Données projet'!$E$12+1,1))</f>
        <v>357.68828740212223</v>
      </c>
      <c r="CE60" s="59">
        <f t="shared" si="40"/>
        <v>236.76626845829483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4.5383315875366588</v>
      </c>
      <c r="CL60" s="21">
        <f>EXP(-LN(2)/25)*CL59+(1-EXP(-LN(2)/25))/(LN(2)/25)*Calculateur!CG60*Calculateur!CI60*VLOOKUP('Données projet'!$B$12,Paramètres!$A$1:$I$89,3,0)*0.475*44/12</f>
        <v>4.1656675062446729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8.7039990937813307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257.00000000000006</v>
      </c>
      <c r="CU60" s="17">
        <f>CT60*VLOOKUP('Données projet'!$B$13,Paramètres!$A$1:$I$89,3,0)*VLOOKUP('Données projet'!$B$13,Paramètres!$A$1:$I$89,5,0)</f>
        <v>168.38640000000004</v>
      </c>
      <c r="CV60" s="13">
        <f t="shared" si="41"/>
        <v>42.728430513203243</v>
      </c>
      <c r="CW60" s="20">
        <f t="shared" si="13"/>
        <v>367.69166314382898</v>
      </c>
      <c r="CX60" s="59">
        <f t="shared" si="14"/>
        <v>627.21830319450669</v>
      </c>
      <c r="CY60" s="59">
        <f ca="1">AVERAGE(OFFSET($CX$3,0,0,'Données projet'!$E$13+1,1))-AVERAGE(OFFSET($H$3,0,0,'Données projet'!$E$13+1,1))</f>
        <v>220.18342986563667</v>
      </c>
      <c r="CZ60" s="59">
        <f t="shared" si="42"/>
        <v>347.84382145531163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8.8854724683157889E-4</v>
      </c>
      <c r="DI60" s="22">
        <f t="shared" si="15"/>
        <v>8.8854724683157889E-4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</v>
      </c>
      <c r="DO60" s="12">
        <f>IF('Données projet'!$A$166&gt;35,DO59+DN60-DW59,IF(A60&lt;'Données projet'!$A$166,$DL$205^A60,IF(A60='Données projet'!$A$166,'Données projet'!$B$166,DO59+DN60-DW59)))</f>
        <v>142</v>
      </c>
      <c r="DP60" s="17">
        <f>DO60*VLOOKUP('Données projet'!$B$14,Paramètres!$A$1:$I$89,3,0)*VLOOKUP('Données projet'!$B$14,Paramètres!$A$1:$I$89,5,0)</f>
        <v>143.988</v>
      </c>
      <c r="DQ60" s="13">
        <f t="shared" si="43"/>
        <v>37.20910149149956</v>
      </c>
      <c r="DR60" s="20">
        <f t="shared" si="16"/>
        <v>315.58495176436173</v>
      </c>
      <c r="DS60" s="59">
        <f t="shared" si="17"/>
        <v>575.11159181503945</v>
      </c>
      <c r="DT60" s="59">
        <f ca="1">AVERAGE(OFFSET($DS$3,0,0,'Données projet'!$E$14+1,1))-AVERAGE(OFFSET($H$3,0,0,'Données projet'!$E$14+1,1))</f>
        <v>392.49465607243178</v>
      </c>
      <c r="DU60" s="59">
        <f t="shared" si="44"/>
        <v>258.031856676031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5.0860612618945344</v>
      </c>
      <c r="EB60" s="21">
        <f>EXP(-LN(2)/25)*EB59+(1-EXP(-LN(2)/25))/(LN(2)/25)*Calculateur!DW60*Calculateur!DY60*VLOOKUP('Données projet'!$B$14,Paramètres!$A$1:$I$89,3,0)*0.475*44/12</f>
        <v>4.6684204811362715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9.7544817430308051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10.8</v>
      </c>
      <c r="EJ60" s="12">
        <f>IF('Données projet'!$A$192&gt;35,EJ59+EI60-ER59,IF(A60&lt;'Données projet'!$A$192,$EG$205^A60,IF(A60='Données projet'!$A$192,'Données projet'!$B$192,EJ59+EI60-ER59)))</f>
        <v>237.60000000000008</v>
      </c>
      <c r="EK60" s="17">
        <f>EJ60*VLOOKUP('Données projet'!$B$15,Paramètres!$A$1:$I$89,3,0)*VLOOKUP('Données projet'!$B$15,Paramètres!$A$1:$I$89,5,0)</f>
        <v>203.8608000000001</v>
      </c>
      <c r="EL60" s="13">
        <f t="shared" si="45"/>
        <v>50.591708220421786</v>
      </c>
      <c r="EM60" s="20">
        <f t="shared" si="19"/>
        <v>443.17145181723475</v>
      </c>
      <c r="EN60" s="59">
        <f t="shared" si="20"/>
        <v>702.69809186791247</v>
      </c>
      <c r="EO60" s="59">
        <f ca="1">AVERAGE(OFFSET($EN$3,0,0,'Données projet'!$E$15+1,1))-AVERAGE(OFFSET($H$3,0,0,'Données projet'!$E$15+1,1))</f>
        <v>294.24530606293143</v>
      </c>
      <c r="EP60" s="59">
        <f t="shared" si="46"/>
        <v>275.88160405468193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35.535959699457429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35.535959699457429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10.8</v>
      </c>
      <c r="FE60" s="12">
        <f>IF('Données projet'!$A$218&gt;35,FE59+FD60-FM59,IF(A60&lt;'Données projet'!$A$218,$FB$205^A60,IF(A60='Données projet'!$A$218,'Données projet'!$B$218,FE59+FD60-FM59)))</f>
        <v>237.60000000000008</v>
      </c>
      <c r="FF60" s="17">
        <f>FE60*VLOOKUP('Données projet'!$B$16,Paramètres!$A$1:$I$89,3,0)*VLOOKUP('Données projet'!$B$16,Paramètres!$A$1:$I$89,5,0)</f>
        <v>174.20832000000004</v>
      </c>
      <c r="FG60" s="13">
        <f t="shared" si="47"/>
        <v>44.031201697939835</v>
      </c>
      <c r="FH60" s="20">
        <f t="shared" si="22"/>
        <v>380.10050029057862</v>
      </c>
      <c r="FI60" s="59">
        <f t="shared" si="23"/>
        <v>639.62714034125634</v>
      </c>
      <c r="FJ60" s="59">
        <f ca="1">AVERAGE(OFFSET($FI$3,0,0,'Données projet'!$E$16+1,1))-AVERAGE(OFFSET($H$3,0,0,'Données projet'!$E$16+1,1))</f>
        <v>214.31585175697521</v>
      </c>
      <c r="FK60" s="59">
        <f t="shared" si="48"/>
        <v>244.60383864821372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24.637452676707881</v>
      </c>
      <c r="FR60" s="21">
        <f>EXP(-LN(2)/25)*FR59+(1-EXP(-LN(2)/25))/(LN(2)/25)*Calculateur!FM60*Calculateur!FO60*VLOOKUP('Données projet'!$B$16,Paramètres!$A$1:$I$89,3,0)*0.475*44/12</f>
        <v>0</v>
      </c>
      <c r="FS60" s="21">
        <f>EXP(-LN(2)/2)*FS59+(1-EXP(-LN(2)/2))/(LN(2)/2)*FM60*FP60*VLOOKUP('Données projet'!$B$16,Paramètres!$A$1:$I$89,3,0)*0.475*44/12</f>
        <v>0</v>
      </c>
      <c r="FT60" s="22">
        <f t="shared" si="24"/>
        <v>24.637452676707881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5.2</v>
      </c>
      <c r="FZ60" s="12">
        <f>IF('Données projet'!$A$244&gt;35,FZ59+FY60-GH59,IF(A60&lt;'Données projet'!$A$244,$FW$205^A60,IF(A60='Données projet'!$A$244,'Données projet'!$B$244,FZ59+FY60-GH59)))</f>
        <v>285.39999999999998</v>
      </c>
      <c r="GA60" s="17">
        <f>FZ60*VLOOKUP('Données projet'!$B$17,Paramètres!$A$1:$I$89,3,0)*VLOOKUP('Données projet'!$B$17,Paramètres!$A$1:$I$89,5,0)</f>
        <v>227.06424000000001</v>
      </c>
      <c r="GB60" s="13">
        <f t="shared" si="49"/>
        <v>55.64742776379812</v>
      </c>
      <c r="GC60" s="20">
        <f t="shared" si="25"/>
        <v>492.38948802194841</v>
      </c>
      <c r="GD60" s="59">
        <f t="shared" si="26"/>
        <v>751.91612807262618</v>
      </c>
      <c r="GE60" s="59">
        <f ca="1">AVERAGE(OFFSET($GD$3,0,0,'Données projet'!$E$17+1,1))-AVERAGE(OFFSET($H$3,0,0,'Données projet'!$E$17+1,1))</f>
        <v>308.33954512886351</v>
      </c>
      <c r="GF60" s="59">
        <f t="shared" si="50"/>
        <v>408.79075392716277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25.61670434465065</v>
      </c>
      <c r="GM60" s="21">
        <f>EXP(-LN(2)/25)*GM59+(1-EXP(-LN(2)/25))/(LN(2)/25)*Calculateur!GH60*Calculateur!GJ60*VLOOKUP('Données projet'!$B$17,Paramètres!$A$1:$I$89,3,0)*0.475*44/12</f>
        <v>0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25.61670434465065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342.84342155097613</v>
      </c>
      <c r="T61" s="59">
        <f t="shared" si="34"/>
        <v>565.68976940602215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133.74032577480793</v>
      </c>
      <c r="AA61" s="21">
        <f>EXP(-LN(2)/25)*AA60+(1-EXP(-LN(2)/25))/(LN(2)/25)*Calculateur!V61*Calculateur!X61*VLOOKUP('Données projet'!$B$9,Paramètres!$A$1:$I$89,3,0)*0.475*44/12</f>
        <v>61.603620216683481</v>
      </c>
      <c r="AB61" s="21">
        <f>EXP(-LN(2)/2)*AB60+(1-EXP(-LN(2)/2))/(LN(2)/2)*V61*Y61*VLOOKUP('Données projet'!$B$9,Paramètres!$A$1:$I$89,3,0)*0.475*44/12</f>
        <v>0.45729865216196419</v>
      </c>
      <c r="AC61" s="22">
        <f t="shared" si="3"/>
        <v>195.80124464365338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10.8</v>
      </c>
      <c r="AI61" s="13">
        <f>IF('Données projet'!$A$62&gt;35,AI60+AH61-AQ60,IF(A61&lt;'Données projet'!$A$62,$AF$205^A61,IF(A61='Données projet'!$A$62,'Données projet'!$B$62,AI60+AH61-AQ60)))</f>
        <v>248.40000000000009</v>
      </c>
      <c r="AJ61" s="13">
        <f>AI61*VLOOKUP('Données projet'!$B$10,Paramètres!$A$1:$I$89,3,0)*VLOOKUP('Données projet'!$B$10,Paramètres!$A$1:$I$89,5,0)</f>
        <v>236.37744000000009</v>
      </c>
      <c r="AK61" s="13">
        <f t="shared" si="35"/>
        <v>57.659430484223826</v>
      </c>
      <c r="AL61" s="20">
        <f t="shared" si="4"/>
        <v>512.11421609335673</v>
      </c>
      <c r="AM61" s="59">
        <f t="shared" si="5"/>
        <v>772.22732669204515</v>
      </c>
      <c r="AN61" s="59">
        <f ca="1">AVERAGE(OFFSET($AM$3,0,0,'Données projet'!$E$10+1,1))-AVERAGE(OFFSET($H$3,0,0,'Données projet'!$E$10+1,1))</f>
        <v>320.33056209214476</v>
      </c>
      <c r="AO61" s="59">
        <f t="shared" si="36"/>
        <v>299.27200854723446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10.857517289365624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10.857517289365624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647.28520977825099</v>
      </c>
      <c r="BI61" s="59">
        <f ca="1">AVERAGE(OFFSET($BH$3,0,0,'Données projet'!$E$11+1,1))-AVERAGE(OFFSET($H$3,0,0,'Données projet'!$E$11+1,1))</f>
        <v>256.85706398254547</v>
      </c>
      <c r="BJ61" s="59">
        <f t="shared" si="38"/>
        <v>363.68094621014734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42.384181218835941</v>
      </c>
      <c r="BQ61" s="21">
        <f>EXP(-LN(2)/25)*BQ60+(1-EXP(-LN(2)/25))/(LN(2)/25)*Calculateur!BL61*Calculateur!BN61*VLOOKUP('Données projet'!$B$11,Paramètres!$A$1:$I$89,3,0)*0.475*44/12</f>
        <v>25.232272206543417</v>
      </c>
      <c r="BR61" s="21">
        <f>EXP(-LN(2)/2)*BR60+(1-EXP(-LN(2)/2))/(LN(2)/2)*BL61*BO61*VLOOKUP('Données projet'!$B$11,Paramètres!$A$1:$I$89,3,0)*0.475*44/12</f>
        <v>0.32906554027212359</v>
      </c>
      <c r="BS61" s="22">
        <f t="shared" si="9"/>
        <v>67.945518965651488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150</v>
      </c>
      <c r="BW61" s="12">
        <f>VLOOKUP(A61,'Données projet'!$A$113:$I$133,9,0)</f>
        <v>8</v>
      </c>
      <c r="BX61" s="12">
        <f t="array" ref="BX61">INDEX(BW:BW,MIN(IF(ISNUMBER(BW61:BW257),ROW(BW61:BW257),"")))</f>
        <v>8</v>
      </c>
      <c r="BY61" s="12">
        <f>IF('Données projet'!$A$114&gt;35,BY60+BX61-CG60,IF(A61&lt;'Données projet'!$A$114,$BV$205^A61,IF(A61='Données projet'!$A$114,'Données projet'!$B$114,BY60+BX61-CG60)))</f>
        <v>150</v>
      </c>
      <c r="BZ61" s="13">
        <f>BY61*VLOOKUP('Données projet'!$B$12,Paramètres!$A$1:$I$89,3,0)*VLOOKUP('Données projet'!$B$12,Paramètres!$A$1:$I$89,5,0)</f>
        <v>135.72</v>
      </c>
      <c r="CA61" s="13">
        <f t="shared" si="39"/>
        <v>35.314752882348131</v>
      </c>
      <c r="CB61" s="20">
        <f t="shared" si="10"/>
        <v>297.88552793675632</v>
      </c>
      <c r="CC61" s="59">
        <f t="shared" si="11"/>
        <v>557.9986385354448</v>
      </c>
      <c r="CD61" s="59">
        <f ca="1">AVERAGE(OFFSET($CC$3,0,0,'Données projet'!$E$12+1,1))-AVERAGE(OFFSET($H$3,0,0,'Données projet'!$E$12+1,1))</f>
        <v>357.68828740212223</v>
      </c>
      <c r="CE61" s="59">
        <f t="shared" si="40"/>
        <v>236.76626845829483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0.17200000000000001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10.126640879416426</v>
      </c>
      <c r="CL61" s="21">
        <f>EXP(-LN(2)/25)*CL60+(1-EXP(-LN(2)/25))/(LN(2)/25)*Calculateur!CG61*Calculateur!CI61*VLOOKUP('Données projet'!$B$12,Paramètres!$A$1:$I$89,3,0)*0.475*44/12</f>
        <v>11.591689776233462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21.718330655649886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257.00000000000006</v>
      </c>
      <c r="CU61" s="17">
        <f>CT61*VLOOKUP('Données projet'!$B$13,Paramètres!$A$1:$I$89,3,0)*VLOOKUP('Données projet'!$B$13,Paramètres!$A$1:$I$89,5,0)</f>
        <v>168.38640000000004</v>
      </c>
      <c r="CV61" s="13">
        <f t="shared" si="41"/>
        <v>42.728430513203243</v>
      </c>
      <c r="CW61" s="20">
        <f t="shared" si="13"/>
        <v>367.69166314382898</v>
      </c>
      <c r="CX61" s="59">
        <f t="shared" si="14"/>
        <v>627.80477374251745</v>
      </c>
      <c r="CY61" s="59">
        <f ca="1">AVERAGE(OFFSET($CX$3,0,0,'Données projet'!$E$13+1,1))-AVERAGE(OFFSET($H$3,0,0,'Données projet'!$E$13+1,1))</f>
        <v>220.18342986563667</v>
      </c>
      <c r="CZ61" s="59">
        <f t="shared" si="42"/>
        <v>347.84382145531163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6.2829778363924648E-4</v>
      </c>
      <c r="DI61" s="22">
        <f t="shared" si="15"/>
        <v>6.2829778363924648E-4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>
        <f>VLOOKUP(A61,'Données projet'!$A$165:$I$185,2,0)</f>
        <v>150</v>
      </c>
      <c r="DM61" s="12">
        <f>VLOOKUP(A61,'Données projet'!$A$165:$I$185,9,0)</f>
        <v>8</v>
      </c>
      <c r="DN61" s="12">
        <f t="array" ref="DN61">INDEX(DM:DM,MIN(IF(ISNUMBER(DM61:DM257),ROW(DM61:DM257),"")))</f>
        <v>8</v>
      </c>
      <c r="DO61" s="12">
        <f>IF('Données projet'!$A$166&gt;35,DO60+DN61-DW60,IF(A61&lt;'Données projet'!$A$166,$DL$205^A61,IF(A61='Données projet'!$A$166,'Données projet'!$B$166,DO60+DN61-DW60)))</f>
        <v>150</v>
      </c>
      <c r="DP61" s="17">
        <f>DO61*VLOOKUP('Données projet'!$B$14,Paramètres!$A$1:$I$89,3,0)*VLOOKUP('Données projet'!$B$14,Paramètres!$A$1:$I$89,5,0)</f>
        <v>152.1</v>
      </c>
      <c r="DQ61" s="13">
        <f t="shared" si="43"/>
        <v>39.055431318323095</v>
      </c>
      <c r="DR61" s="20">
        <f t="shared" si="16"/>
        <v>332.92904287941269</v>
      </c>
      <c r="DS61" s="59">
        <f t="shared" si="17"/>
        <v>593.04215347810111</v>
      </c>
      <c r="DT61" s="59">
        <f ca="1">AVERAGE(OFFSET($DS$3,0,0,'Données projet'!$E$14+1,1))-AVERAGE(OFFSET($H$3,0,0,'Données projet'!$E$14+1,1))</f>
        <v>392.49465607243178</v>
      </c>
      <c r="DU61" s="59">
        <f t="shared" si="44"/>
        <v>258.031856676031</v>
      </c>
      <c r="DV61" s="15">
        <f>IF(ISNA(VLOOKUP(A61,'Données projet'!$A$165:$I$185,3,0)),0,VLOOKUP(A61,'Données projet'!$A$165:$I$185,3,0))</f>
        <v>3</v>
      </c>
      <c r="DW61" s="15">
        <f>IF(ISNA(VLOOKUP(A61,'Données projet'!$A$165:$I$185,4,0)),0,VLOOKUP(A61,'Données projet'!$A$165:$I$185,4,0))</f>
        <v>44</v>
      </c>
      <c r="DX61" s="16">
        <f>IF(ISNA(VLOOKUP(A61,'Données projet'!$A$165:$I$185,5,0)),0%,VLOOKUP(A61,'Données projet'!$A$165:$I$185,5,0)*VLOOKUP('Données projet'!$B$14,Paramètres!$A$1:$I$89,7,0))</f>
        <v>0.129</v>
      </c>
      <c r="DY61" s="16">
        <f>IF(ISNA(VLOOKUP(A61,'Données projet'!$A$165:$I$185,6,0)),0%,VLOOKUP(A61,'Données projet'!$A$165:$I$185,6,0)*VLOOKUP('Données projet'!$B$14,Paramètres!$A$1:$I$89,7,0))</f>
        <v>0.17200000000000001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11.348821675208068</v>
      </c>
      <c r="EB61" s="21">
        <f>EXP(-LN(2)/25)*EB60+(1-EXP(-LN(2)/25))/(LN(2)/25)*Calculateur!DW61*Calculateur!DY61*VLOOKUP('Données projet'!$B$14,Paramètres!$A$1:$I$89,3,0)*0.475*44/12</f>
        <v>12.990686818192675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24.339508493400743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10.8</v>
      </c>
      <c r="EJ61" s="12">
        <f>IF('Données projet'!$A$192&gt;35,EJ60+EI61-ER60,IF(A61&lt;'Données projet'!$A$192,$EG$205^A61,IF(A61='Données projet'!$A$192,'Données projet'!$B$192,EJ60+EI61-ER60)))</f>
        <v>248.40000000000009</v>
      </c>
      <c r="EK61" s="17">
        <f>EJ61*VLOOKUP('Données projet'!$B$15,Paramètres!$A$1:$I$89,3,0)*VLOOKUP('Données projet'!$B$15,Paramètres!$A$1:$I$89,5,0)</f>
        <v>213.1272000000001</v>
      </c>
      <c r="EL61" s="13">
        <f t="shared" si="45"/>
        <v>52.618368568459893</v>
      </c>
      <c r="EM61" s="20">
        <f t="shared" si="19"/>
        <v>462.84019859006776</v>
      </c>
      <c r="EN61" s="59">
        <f t="shared" si="20"/>
        <v>722.95330918875618</v>
      </c>
      <c r="EO61" s="59">
        <f ca="1">AVERAGE(OFFSET($EN$3,0,0,'Données projet'!$E$15+1,1))-AVERAGE(OFFSET($H$3,0,0,'Données projet'!$E$15+1,1))</f>
        <v>294.24530606293143</v>
      </c>
      <c r="EP61" s="59">
        <f t="shared" si="46"/>
        <v>275.88160405468193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34.839121204546274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34.839121204546274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10.8</v>
      </c>
      <c r="FE61" s="12">
        <f>IF('Données projet'!$A$218&gt;35,FE60+FD61-FM60,IF(A61&lt;'Données projet'!$A$218,$FB$205^A61,IF(A61='Données projet'!$A$218,'Données projet'!$B$218,FE60+FD61-FM60)))</f>
        <v>248.40000000000009</v>
      </c>
      <c r="FF61" s="17">
        <f>FE61*VLOOKUP('Données projet'!$B$16,Paramètres!$A$1:$I$89,3,0)*VLOOKUP('Données projet'!$B$16,Paramètres!$A$1:$I$89,5,0)</f>
        <v>182.12688000000006</v>
      </c>
      <c r="FG61" s="13">
        <f t="shared" si="47"/>
        <v>45.795053793403618</v>
      </c>
      <c r="FH61" s="20">
        <f t="shared" si="22"/>
        <v>396.96403469017804</v>
      </c>
      <c r="FI61" s="59">
        <f t="shared" si="23"/>
        <v>657.0771452888664</v>
      </c>
      <c r="FJ61" s="59">
        <f ca="1">AVERAGE(OFFSET($FI$3,0,0,'Données projet'!$E$16+1,1))-AVERAGE(OFFSET($H$3,0,0,'Données projet'!$E$16+1,1))</f>
        <v>214.31585175697521</v>
      </c>
      <c r="FK61" s="59">
        <f t="shared" si="48"/>
        <v>244.60383864821372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24.154327257079942</v>
      </c>
      <c r="FR61" s="21">
        <f>EXP(-LN(2)/25)*FR60+(1-EXP(-LN(2)/25))/(LN(2)/25)*Calculateur!FM61*Calculateur!FO61*VLOOKUP('Données projet'!$B$16,Paramètres!$A$1:$I$89,3,0)*0.475*44/12</f>
        <v>0</v>
      </c>
      <c r="FS61" s="21">
        <f>EXP(-LN(2)/2)*FS60+(1-EXP(-LN(2)/2))/(LN(2)/2)*FM61*FP61*VLOOKUP('Données projet'!$B$16,Paramètres!$A$1:$I$89,3,0)*0.475*44/12</f>
        <v>0</v>
      </c>
      <c r="FT61" s="22">
        <f t="shared" si="24"/>
        <v>24.154327257079942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5.2</v>
      </c>
      <c r="FZ61" s="12">
        <f>IF('Données projet'!$A$244&gt;35,FZ60+FY61-GH60,IF(A61&lt;'Données projet'!$A$244,$FW$205^A61,IF(A61='Données projet'!$A$244,'Données projet'!$B$244,FZ60+FY61-GH60)))</f>
        <v>290.59999999999997</v>
      </c>
      <c r="GA61" s="17">
        <f>FZ61*VLOOKUP('Données projet'!$B$17,Paramètres!$A$1:$I$89,3,0)*VLOOKUP('Données projet'!$B$17,Paramètres!$A$1:$I$89,5,0)</f>
        <v>231.20135999999999</v>
      </c>
      <c r="GB61" s="13">
        <f t="shared" si="49"/>
        <v>56.542364837285888</v>
      </c>
      <c r="GC61" s="20">
        <f t="shared" si="25"/>
        <v>501.15365409160626</v>
      </c>
      <c r="GD61" s="59">
        <f t="shared" si="26"/>
        <v>761.26676469029462</v>
      </c>
      <c r="GE61" s="59">
        <f ca="1">AVERAGE(OFFSET($GD$3,0,0,'Données projet'!$E$17+1,1))-AVERAGE(OFFSET($H$3,0,0,'Données projet'!$E$17+1,1))</f>
        <v>308.33954512886351</v>
      </c>
      <c r="GF61" s="59">
        <f t="shared" si="50"/>
        <v>408.79075392716277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25.114376397098894</v>
      </c>
      <c r="GM61" s="21">
        <f>EXP(-LN(2)/25)*GM60+(1-EXP(-LN(2)/25))/(LN(2)/25)*Calculateur!GH61*Calculateur!GJ61*VLOOKUP('Données projet'!$B$17,Paramètres!$A$1:$I$89,3,0)*0.475*44/12</f>
        <v>0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25.114376397098894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342.84342155097613</v>
      </c>
      <c r="T62" s="59">
        <f t="shared" si="34"/>
        <v>565.68976940602215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131.11775955990794</v>
      </c>
      <c r="AA62" s="21">
        <f>EXP(-LN(2)/25)*AA61+(1-EXP(-LN(2)/25))/(LN(2)/25)*Calculateur!V62*Calculateur!X62*VLOOKUP('Données projet'!$B$9,Paramètres!$A$1:$I$89,3,0)*0.475*44/12</f>
        <v>59.919065982264684</v>
      </c>
      <c r="AB62" s="21">
        <f>EXP(-LN(2)/2)*AB61+(1-EXP(-LN(2)/2))/(LN(2)/2)*V62*Y62*VLOOKUP('Données projet'!$B$9,Paramètres!$A$1:$I$89,3,0)*0.475*44/12</f>
        <v>0.32335897797119312</v>
      </c>
      <c r="AC62" s="22">
        <f t="shared" si="3"/>
        <v>191.3601845201438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10.8</v>
      </c>
      <c r="AI62" s="13">
        <f>IF('Données projet'!$A$62&gt;35,AI61+AH62-AQ61,IF(A62&lt;'Données projet'!$A$62,$AF$205^A62,IF(A62='Données projet'!$A$62,'Données projet'!$B$62,AI61+AH62-AQ61)))</f>
        <v>259.2000000000001</v>
      </c>
      <c r="AJ62" s="13">
        <f>AI62*VLOOKUP('Données projet'!$B$10,Paramètres!$A$1:$I$89,3,0)*VLOOKUP('Données projet'!$B$10,Paramètres!$A$1:$I$89,5,0)</f>
        <v>246.65472000000008</v>
      </c>
      <c r="AK62" s="13">
        <f t="shared" si="35"/>
        <v>59.869038818016278</v>
      </c>
      <c r="AL62" s="20">
        <f t="shared" si="4"/>
        <v>533.86221327471185</v>
      </c>
      <c r="AM62" s="59">
        <f t="shared" si="5"/>
        <v>794.55162046855457</v>
      </c>
      <c r="AN62" s="59">
        <f ca="1">AVERAGE(OFFSET($AM$3,0,0,'Données projet'!$E$10+1,1))-AVERAGE(OFFSET($H$3,0,0,'Données projet'!$E$10+1,1))</f>
        <v>320.33056209214476</v>
      </c>
      <c r="AO62" s="59">
        <f t="shared" si="36"/>
        <v>299.27200854723446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10.560617908115903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10.560617908115903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660.81443495004623</v>
      </c>
      <c r="BI62" s="59">
        <f ca="1">AVERAGE(OFFSET($BH$3,0,0,'Données projet'!$E$11+1,1))-AVERAGE(OFFSET($H$3,0,0,'Données projet'!$E$11+1,1))</f>
        <v>256.85706398254547</v>
      </c>
      <c r="BJ62" s="59">
        <f t="shared" si="38"/>
        <v>363.68094621014734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41.553053276932459</v>
      </c>
      <c r="BQ62" s="21">
        <f>EXP(-LN(2)/25)*BQ61+(1-EXP(-LN(2)/25))/(LN(2)/25)*Calculateur!BL62*Calculateur!BN62*VLOOKUP('Données projet'!$B$11,Paramètres!$A$1:$I$89,3,0)*0.475*44/12</f>
        <v>24.542294396147962</v>
      </c>
      <c r="BR62" s="21">
        <f>EXP(-LN(2)/2)*BR61+(1-EXP(-LN(2)/2))/(LN(2)/2)*BL62*BO62*VLOOKUP('Données projet'!$B$11,Paramètres!$A$1:$I$89,3,0)*0.475*44/12</f>
        <v>0.23268447498123354</v>
      </c>
      <c r="BS62" s="22">
        <f t="shared" si="9"/>
        <v>66.328032148061652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13.25</v>
      </c>
      <c r="BY62" s="12">
        <f>IF('Données projet'!$A$114&gt;35,BY61+BX62-CG61,IF(A62&lt;'Données projet'!$A$114,$BV$205^A62,IF(A62='Données projet'!$A$114,'Données projet'!$B$114,BY61+BX62-CG61)))</f>
        <v>119.25</v>
      </c>
      <c r="BZ62" s="13">
        <f>BY62*VLOOKUP('Données projet'!$B$12,Paramètres!$A$1:$I$89,3,0)*VLOOKUP('Données projet'!$B$12,Paramètres!$A$1:$I$89,5,0)</f>
        <v>107.89739999999999</v>
      </c>
      <c r="CA62" s="13">
        <f t="shared" si="39"/>
        <v>28.8350405490275</v>
      </c>
      <c r="CB62" s="20">
        <f t="shared" si="10"/>
        <v>238.14233395622293</v>
      </c>
      <c r="CC62" s="59">
        <f t="shared" si="11"/>
        <v>498.83174115006568</v>
      </c>
      <c r="CD62" s="59">
        <f ca="1">AVERAGE(OFFSET($CC$3,0,0,'Données projet'!$E$12+1,1))-AVERAGE(OFFSET($H$3,0,0,'Données projet'!$E$12+1,1))</f>
        <v>357.68828740212223</v>
      </c>
      <c r="CE62" s="59">
        <f t="shared" si="40"/>
        <v>236.76626845829483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9.9280636284121133</v>
      </c>
      <c r="CL62" s="21">
        <f>EXP(-LN(2)/25)*CL61+(1-EXP(-LN(2)/25))/(LN(2)/25)*Calculateur!CG62*Calculateur!CI62*VLOOKUP('Données projet'!$B$12,Paramètres!$A$1:$I$89,3,0)*0.475*44/12</f>
        <v>11.274714409721886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21.202778038133999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257.00000000000006</v>
      </c>
      <c r="CU62" s="17">
        <f>CT62*VLOOKUP('Données projet'!$B$13,Paramètres!$A$1:$I$89,3,0)*VLOOKUP('Données projet'!$B$13,Paramètres!$A$1:$I$89,5,0)</f>
        <v>168.38640000000004</v>
      </c>
      <c r="CV62" s="13">
        <f t="shared" si="41"/>
        <v>42.728430513203243</v>
      </c>
      <c r="CW62" s="20">
        <f t="shared" si="13"/>
        <v>367.69166314382898</v>
      </c>
      <c r="CX62" s="59">
        <f t="shared" si="14"/>
        <v>628.38107033767176</v>
      </c>
      <c r="CY62" s="59">
        <f ca="1">AVERAGE(OFFSET($CX$3,0,0,'Données projet'!$E$13+1,1))-AVERAGE(OFFSET($H$3,0,0,'Données projet'!$E$13+1,1))</f>
        <v>220.18342986563667</v>
      </c>
      <c r="CZ62" s="59">
        <f t="shared" si="42"/>
        <v>347.84382145531163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4.4427362341578944E-4</v>
      </c>
      <c r="DI62" s="22">
        <f t="shared" si="15"/>
        <v>4.4427362341578944E-4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13.25</v>
      </c>
      <c r="DO62" s="12">
        <f>IF('Données projet'!$A$166&gt;35,DO61+DN62-DW61,IF(A62&lt;'Données projet'!$A$166,$DL$205^A62,IF(A62='Données projet'!$A$166,'Données projet'!$B$166,DO61+DN62-DW61)))</f>
        <v>119.25</v>
      </c>
      <c r="DP62" s="17">
        <f>DO62*VLOOKUP('Données projet'!$B$14,Paramètres!$A$1:$I$89,3,0)*VLOOKUP('Données projet'!$B$14,Paramètres!$A$1:$I$89,5,0)</f>
        <v>120.91950000000001</v>
      </c>
      <c r="DQ62" s="13">
        <f t="shared" si="43"/>
        <v>31.889362201554942</v>
      </c>
      <c r="DR62" s="20">
        <f t="shared" si="16"/>
        <v>266.14210166770823</v>
      </c>
      <c r="DS62" s="59">
        <f t="shared" si="17"/>
        <v>526.83150886155101</v>
      </c>
      <c r="DT62" s="59">
        <f ca="1">AVERAGE(OFFSET($DS$3,0,0,'Données projet'!$E$14+1,1))-AVERAGE(OFFSET($H$3,0,0,'Données projet'!$E$14+1,1))</f>
        <v>392.49465607243178</v>
      </c>
      <c r="DU62" s="59">
        <f t="shared" si="44"/>
        <v>258.031856676031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11.126278204254959</v>
      </c>
      <c r="EB62" s="21">
        <f>EXP(-LN(2)/25)*EB61+(1-EXP(-LN(2)/25))/(LN(2)/25)*Calculateur!DW62*Calculateur!DY62*VLOOKUP('Données projet'!$B$14,Paramètres!$A$1:$I$89,3,0)*0.475*44/12</f>
        <v>12.635455803998667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23.761734008253626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10.8</v>
      </c>
      <c r="EJ62" s="12">
        <f>IF('Données projet'!$A$192&gt;35,EJ61+EI62-ER61,IF(A62&lt;'Données projet'!$A$192,$EG$205^A62,IF(A62='Données projet'!$A$192,'Données projet'!$B$192,EJ61+EI62-ER61)))</f>
        <v>259.2000000000001</v>
      </c>
      <c r="EK62" s="17">
        <f>EJ62*VLOOKUP('Données projet'!$B$15,Paramètres!$A$1:$I$89,3,0)*VLOOKUP('Données projet'!$B$15,Paramètres!$A$1:$I$89,5,0)</f>
        <v>222.39360000000011</v>
      </c>
      <c r="EL62" s="13">
        <f t="shared" si="45"/>
        <v>54.634794757949287</v>
      </c>
      <c r="EM62" s="20">
        <f t="shared" si="19"/>
        <v>482.49112087009524</v>
      </c>
      <c r="EN62" s="59">
        <f t="shared" si="20"/>
        <v>743.18052806393803</v>
      </c>
      <c r="EO62" s="59">
        <f ca="1">AVERAGE(OFFSET($EN$3,0,0,'Données projet'!$E$15+1,1))-AVERAGE(OFFSET($H$3,0,0,'Données projet'!$E$15+1,1))</f>
        <v>294.24530606293143</v>
      </c>
      <c r="EP62" s="59">
        <f t="shared" si="46"/>
        <v>275.88160405468193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34.155947287490818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34.155947287490818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10.8</v>
      </c>
      <c r="FE62" s="12">
        <f>IF('Données projet'!$A$218&gt;35,FE61+FD62-FM61,IF(A62&lt;'Données projet'!$A$218,$FB$205^A62,IF(A62='Données projet'!$A$218,'Données projet'!$B$218,FE61+FD62-FM61)))</f>
        <v>259.2000000000001</v>
      </c>
      <c r="FF62" s="17">
        <f>FE62*VLOOKUP('Données projet'!$B$16,Paramètres!$A$1:$I$89,3,0)*VLOOKUP('Données projet'!$B$16,Paramètres!$A$1:$I$89,5,0)</f>
        <v>190.04544000000007</v>
      </c>
      <c r="FG62" s="13">
        <f t="shared" si="47"/>
        <v>47.549998850241536</v>
      </c>
      <c r="FH62" s="20">
        <f t="shared" si="22"/>
        <v>413.8120559975041</v>
      </c>
      <c r="FI62" s="59">
        <f t="shared" si="23"/>
        <v>674.50146319134683</v>
      </c>
      <c r="FJ62" s="59">
        <f ca="1">AVERAGE(OFFSET($FI$3,0,0,'Données projet'!$E$16+1,1))-AVERAGE(OFFSET($H$3,0,0,'Données projet'!$E$16+1,1))</f>
        <v>214.31585175697521</v>
      </c>
      <c r="FK62" s="59">
        <f t="shared" si="48"/>
        <v>244.60383864821372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23.6806756322535</v>
      </c>
      <c r="FR62" s="21">
        <f>EXP(-LN(2)/25)*FR61+(1-EXP(-LN(2)/25))/(LN(2)/25)*Calculateur!FM62*Calculateur!FO62*VLOOKUP('Données projet'!$B$16,Paramètres!$A$1:$I$89,3,0)*0.475*44/12</f>
        <v>0</v>
      </c>
      <c r="FS62" s="21">
        <f>EXP(-LN(2)/2)*FS61+(1-EXP(-LN(2)/2))/(LN(2)/2)*FM62*FP62*VLOOKUP('Données projet'!$B$16,Paramètres!$A$1:$I$89,3,0)*0.475*44/12</f>
        <v>0</v>
      </c>
      <c r="FT62" s="22">
        <f t="shared" si="24"/>
        <v>23.6806756322535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5.2</v>
      </c>
      <c r="FZ62" s="12">
        <f>IF('Données projet'!$A$244&gt;35,FZ61+FY62-GH61,IF(A62&lt;'Données projet'!$A$244,$FW$205^A62,IF(A62='Données projet'!$A$244,'Données projet'!$B$244,FZ61+FY62-GH61)))</f>
        <v>295.79999999999995</v>
      </c>
      <c r="GA62" s="17">
        <f>FZ62*VLOOKUP('Données projet'!$B$17,Paramètres!$A$1:$I$89,3,0)*VLOOKUP('Données projet'!$B$17,Paramètres!$A$1:$I$89,5,0)</f>
        <v>235.33847999999998</v>
      </c>
      <c r="GB62" s="13">
        <f t="shared" si="49"/>
        <v>57.435439714271993</v>
      </c>
      <c r="GC62" s="20">
        <f t="shared" si="25"/>
        <v>509.9145768356903</v>
      </c>
      <c r="GD62" s="59">
        <f t="shared" si="26"/>
        <v>770.60398402953308</v>
      </c>
      <c r="GE62" s="59">
        <f ca="1">AVERAGE(OFFSET($GD$3,0,0,'Données projet'!$E$17+1,1))-AVERAGE(OFFSET($H$3,0,0,'Données projet'!$E$17+1,1))</f>
        <v>308.33954512886351</v>
      </c>
      <c r="GF62" s="59">
        <f t="shared" si="50"/>
        <v>408.79075392716277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24.621898794208835</v>
      </c>
      <c r="GM62" s="21">
        <f>EXP(-LN(2)/25)*GM61+(1-EXP(-LN(2)/25))/(LN(2)/25)*Calculateur!GH62*Calculateur!GJ62*VLOOKUP('Données projet'!$B$17,Paramètres!$A$1:$I$89,3,0)*0.475*44/12</f>
        <v>0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24.621898794208835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342.84342155097613</v>
      </c>
      <c r="T63" s="59">
        <f t="shared" si="34"/>
        <v>565.68976940602215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128.5466202688747</v>
      </c>
      <c r="AA63" s="21">
        <f>EXP(-LN(2)/25)*AA62+(1-EXP(-LN(2)/25))/(LN(2)/25)*Calculateur!V63*Calculateur!X63*VLOOKUP('Données projet'!$B$9,Paramètres!$A$1:$I$89,3,0)*0.475*44/12</f>
        <v>58.280575971972922</v>
      </c>
      <c r="AB63" s="21">
        <f>EXP(-LN(2)/2)*AB62+(1-EXP(-LN(2)/2))/(LN(2)/2)*V63*Y63*VLOOKUP('Données projet'!$B$9,Paramètres!$A$1:$I$89,3,0)*0.475*44/12</f>
        <v>0.2286493260809821</v>
      </c>
      <c r="AC63" s="22">
        <f t="shared" si="3"/>
        <v>187.05584556692861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270</v>
      </c>
      <c r="AG63" s="12">
        <f>VLOOKUP(A63,'Données projet'!$A$61:$I$81,9,0)</f>
        <v>10.8</v>
      </c>
      <c r="AH63" s="12">
        <f t="array" ref="AH63">INDEX(AG:AG,MIN(IF(ISNUMBER(AG63:AG259),ROW(AG63:AG259),"")))</f>
        <v>10.8</v>
      </c>
      <c r="AI63" s="13">
        <f>IF('Données projet'!$A$62&gt;35,AI62+AH63-AQ62,IF(A63&lt;'Données projet'!$A$62,$AF$205^A63,IF(A63='Données projet'!$A$62,'Données projet'!$B$62,AI62+AH63-AQ62)))</f>
        <v>270.00000000000011</v>
      </c>
      <c r="AJ63" s="13">
        <f>AI63*VLOOKUP('Données projet'!$B$10,Paramètres!$A$1:$I$89,3,0)*VLOOKUP('Données projet'!$B$10,Paramètres!$A$1:$I$89,5,0)</f>
        <v>256.93200000000013</v>
      </c>
      <c r="AK63" s="13">
        <f t="shared" si="35"/>
        <v>62.067953229346614</v>
      </c>
      <c r="AL63" s="20">
        <f t="shared" si="4"/>
        <v>555.59158520777885</v>
      </c>
      <c r="AM63" s="59">
        <f t="shared" si="5"/>
        <v>816.84729153925628</v>
      </c>
      <c r="AN63" s="59">
        <f ca="1">AVERAGE(OFFSET($AM$3,0,0,'Données projet'!$E$10+1,1))-AVERAGE(OFFSET($H$3,0,0,'Données projet'!$E$10+1,1))</f>
        <v>320.33056209214476</v>
      </c>
      <c r="AO63" s="59">
        <f t="shared" si="36"/>
        <v>299.27200854723446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28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0.215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16.579735470819244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16.579735470819244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674.32458907795137</v>
      </c>
      <c r="BI63" s="59">
        <f ca="1">AVERAGE(OFFSET($BH$3,0,0,'Données projet'!$E$11+1,1))-AVERAGE(OFFSET($H$3,0,0,'Données projet'!$E$11+1,1))</f>
        <v>256.85706398254547</v>
      </c>
      <c r="BJ63" s="59">
        <f t="shared" si="38"/>
        <v>363.68094621014734</v>
      </c>
      <c r="BK63" s="15">
        <f>IF(ISNA(VLOOKUP(A63,'Données projet'!$A$87:$I$107,3,0)),0,VLOOKUP(A63,'Données projet'!$A$87:$I$107,3,0))</f>
        <v>8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0.42</v>
      </c>
      <c r="BN63" s="16">
        <f>IF(ISNA(VLOOKUP(A63,'Données projet'!$A$87:$I$107,6,0)),0%,VLOOKUP(A63,'Données projet'!$A$87:$I$107,6,0)*VLOOKUP('Données projet'!$B$11,Paramètres!$A$1:$I$89,7,0))</f>
        <v>0.12</v>
      </c>
      <c r="BO63" s="16">
        <f>IF(ISNA(VLOOKUP(A63,'Données projet'!$A$87:$I$107,7,0)),0%,VLOOKUP(A63,'Données projet'!$A$87:$I$107,7,0))</f>
        <v>0.1</v>
      </c>
      <c r="BP63" s="21">
        <f>EXP(-LN(2)/35)*BP62+(1-EXP(-LN(2)/35))/(LN(2)/35)*BL63*BM63*VLOOKUP('Données projet'!$B$11,Paramètres!$A$1:$I$89,3,0)*0.475*44/12</f>
        <v>146.42869104143648</v>
      </c>
      <c r="BQ63" s="21">
        <f>EXP(-LN(2)/25)*BQ62+(1-EXP(-LN(2)/25))/(LN(2)/25)*Calculateur!BL63*Calculateur!BN63*VLOOKUP('Données projet'!$B$11,Paramètres!$A$1:$I$89,3,0)*0.475*44/12</f>
        <v>53.949562394254343</v>
      </c>
      <c r="BR63" s="21">
        <f>EXP(-LN(2)/2)*BR62+(1-EXP(-LN(2)/2))/(LN(2)/2)*BL63*BO63*VLOOKUP('Données projet'!$B$11,Paramètres!$A$1:$I$89,3,0)*0.475*44/12</f>
        <v>21.642526561294108</v>
      </c>
      <c r="BS63" s="22">
        <f t="shared" si="9"/>
        <v>222.02077999698494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13.25</v>
      </c>
      <c r="BY63" s="12">
        <f>IF('Données projet'!$A$114&gt;35,BY62+BX63-CG62,IF(A63&lt;'Données projet'!$A$114,$BV$205^A63,IF(A63='Données projet'!$A$114,'Données projet'!$B$114,BY62+BX63-CG62)))</f>
        <v>132.5</v>
      </c>
      <c r="BZ63" s="13">
        <f>BY63*VLOOKUP('Données projet'!$B$12,Paramètres!$A$1:$I$89,3,0)*VLOOKUP('Données projet'!$B$12,Paramètres!$A$1:$I$89,5,0)</f>
        <v>119.886</v>
      </c>
      <c r="CA63" s="13">
        <f t="shared" si="39"/>
        <v>31.648409195610341</v>
      </c>
      <c r="CB63" s="20">
        <f t="shared" si="10"/>
        <v>263.92242934902134</v>
      </c>
      <c r="CC63" s="59">
        <f t="shared" si="11"/>
        <v>525.17813568049883</v>
      </c>
      <c r="CD63" s="59">
        <f ca="1">AVERAGE(OFFSET($CC$3,0,0,'Données projet'!$E$12+1,1))-AVERAGE(OFFSET($H$3,0,0,'Données projet'!$E$12+1,1))</f>
        <v>357.68828740212223</v>
      </c>
      <c r="CE63" s="59">
        <f t="shared" si="40"/>
        <v>236.76626845829483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9.7333803561798327</v>
      </c>
      <c r="CL63" s="21">
        <f>EXP(-LN(2)/25)*CL62+(1-EXP(-LN(2)/25))/(LN(2)/25)*Calculateur!CG63*Calculateur!CI63*VLOOKUP('Données projet'!$B$12,Paramètres!$A$1:$I$89,3,0)*0.475*44/12</f>
        <v>10.96640675127658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20.699787107456412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257.00000000000006</v>
      </c>
      <c r="CU63" s="17">
        <f>CT63*VLOOKUP('Données projet'!$B$13,Paramètres!$A$1:$I$89,3,0)*VLOOKUP('Données projet'!$B$13,Paramètres!$A$1:$I$89,5,0)</f>
        <v>168.38640000000004</v>
      </c>
      <c r="CV63" s="13">
        <f t="shared" si="41"/>
        <v>42.728430513203243</v>
      </c>
      <c r="CW63" s="20">
        <f t="shared" si="13"/>
        <v>367.69166314382898</v>
      </c>
      <c r="CX63" s="59">
        <f t="shared" si="14"/>
        <v>628.94736947530646</v>
      </c>
      <c r="CY63" s="59">
        <f ca="1">AVERAGE(OFFSET($CX$3,0,0,'Données projet'!$E$13+1,1))-AVERAGE(OFFSET($H$3,0,0,'Données projet'!$E$13+1,1))</f>
        <v>220.18342986563667</v>
      </c>
      <c r="CZ63" s="59">
        <f t="shared" si="42"/>
        <v>347.84382145531163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3.1414889181962324E-4</v>
      </c>
      <c r="DI63" s="22">
        <f t="shared" si="15"/>
        <v>3.1414889181962324E-4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13.25</v>
      </c>
      <c r="DO63" s="12">
        <f>IF('Données projet'!$A$166&gt;35,DO62+DN63-DW62,IF(A63&lt;'Données projet'!$A$166,$DL$205^A63,IF(A63='Données projet'!$A$166,'Données projet'!$B$166,DO62+DN63-DW62)))</f>
        <v>132.5</v>
      </c>
      <c r="DP63" s="17">
        <f>DO63*VLOOKUP('Données projet'!$B$14,Paramètres!$A$1:$I$89,3,0)*VLOOKUP('Données projet'!$B$14,Paramètres!$A$1:$I$89,5,0)</f>
        <v>134.35500000000002</v>
      </c>
      <c r="DQ63" s="13">
        <f t="shared" si="43"/>
        <v>35.000733993276086</v>
      </c>
      <c r="DR63" s="20">
        <f t="shared" si="16"/>
        <v>294.96123670495587</v>
      </c>
      <c r="DS63" s="59">
        <f t="shared" si="17"/>
        <v>556.21694303643335</v>
      </c>
      <c r="DT63" s="59">
        <f ca="1">AVERAGE(OFFSET($DS$3,0,0,'Données projet'!$E$14+1,1))-AVERAGE(OFFSET($H$3,0,0,'Données projet'!$E$14+1,1))</f>
        <v>392.49465607243178</v>
      </c>
      <c r="DU63" s="59">
        <f t="shared" si="44"/>
        <v>258.031856676031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10.908098675029127</v>
      </c>
      <c r="EB63" s="21">
        <f>EXP(-LN(2)/25)*EB62+(1-EXP(-LN(2)/25))/(LN(2)/25)*Calculateur!DW63*Calculateur!DY63*VLOOKUP('Données projet'!$B$14,Paramètres!$A$1:$I$89,3,0)*0.475*44/12</f>
        <v>12.289938600568581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23.198037275597706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270</v>
      </c>
      <c r="EH63" s="12">
        <f>VLOOKUP(A63,'Données projet'!$A$191:$I$211,9,0)</f>
        <v>10.8</v>
      </c>
      <c r="EI63" s="12">
        <f t="array" ref="EI63">INDEX(EH:EH,MIN(IF(ISNUMBER(EH63:EH259),ROW(EH63:EH259),"")))</f>
        <v>10.8</v>
      </c>
      <c r="EJ63" s="12">
        <f>IF('Données projet'!$A$192&gt;35,EJ62+EI63-ER62,IF(A63&lt;'Données projet'!$A$192,$EG$205^A63,IF(A63='Données projet'!$A$192,'Données projet'!$B$192,EJ62+EI63-ER62)))</f>
        <v>270.00000000000011</v>
      </c>
      <c r="EK63" s="17">
        <f>EJ63*VLOOKUP('Données projet'!$B$15,Paramètres!$A$1:$I$89,3,0)*VLOOKUP('Données projet'!$B$15,Paramètres!$A$1:$I$89,5,0)</f>
        <v>231.66000000000014</v>
      </c>
      <c r="EL63" s="13">
        <f t="shared" si="45"/>
        <v>56.641461975682823</v>
      </c>
      <c r="EM63" s="20">
        <f t="shared" si="19"/>
        <v>502.12504627431446</v>
      </c>
      <c r="EN63" s="59">
        <f t="shared" si="20"/>
        <v>763.38075260579194</v>
      </c>
      <c r="EO63" s="59">
        <f ca="1">AVERAGE(OFFSET($EN$3,0,0,'Données projet'!$E$15+1,1))-AVERAGE(OFFSET($H$3,0,0,'Données projet'!$E$15+1,1))</f>
        <v>294.24530606293143</v>
      </c>
      <c r="EP63" s="59">
        <f t="shared" si="46"/>
        <v>275.88160405468193</v>
      </c>
      <c r="EQ63" s="15">
        <f>IF(ISNA(VLOOKUP(A63,'Données projet'!$A$191:$I$211,3,0)),0,VLOOKUP(A63,'Données projet'!$A$191:$I$211,3,0))</f>
        <v>8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0.42400000000000004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44.746685842963295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44.746685842963295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270</v>
      </c>
      <c r="FC63" s="12">
        <f>VLOOKUP(A63,'Données projet'!$A$217:$I$237,9,0)</f>
        <v>10.8</v>
      </c>
      <c r="FD63" s="12">
        <f t="array" ref="FD63">INDEX(FC:FC,MIN(IF(ISNUMBER(FC63:FC259),ROW(FC63:FC259),"")))</f>
        <v>10.8</v>
      </c>
      <c r="FE63" s="12">
        <f>IF('Données projet'!$A$218&gt;35,FE62+FD63-FM62,IF(A63&lt;'Données projet'!$A$218,$FB$205^A63,IF(A63='Données projet'!$A$218,'Données projet'!$B$218,FE62+FD63-FM62)))</f>
        <v>270.00000000000011</v>
      </c>
      <c r="FF63" s="17">
        <f>FE63*VLOOKUP('Données projet'!$B$16,Paramètres!$A$1:$I$89,3,0)*VLOOKUP('Données projet'!$B$16,Paramètres!$A$1:$I$89,5,0)</f>
        <v>197.96400000000008</v>
      </c>
      <c r="FG63" s="13">
        <f t="shared" si="47"/>
        <v>49.296450435147761</v>
      </c>
      <c r="FH63" s="20">
        <f t="shared" si="22"/>
        <v>430.64528450788248</v>
      </c>
      <c r="FI63" s="59">
        <f t="shared" si="23"/>
        <v>691.90099083936002</v>
      </c>
      <c r="FJ63" s="59">
        <f ca="1">AVERAGE(OFFSET($FI$3,0,0,'Données projet'!$E$16+1,1))-AVERAGE(OFFSET($H$3,0,0,'Données projet'!$E$16+1,1))</f>
        <v>214.31585175697521</v>
      </c>
      <c r="FK63" s="59">
        <f t="shared" si="48"/>
        <v>244.60383864821372</v>
      </c>
      <c r="FL63" s="15">
        <f>IF(ISNA(VLOOKUP(A63,'Données projet'!$A$217:$I$237,3,0)),0,VLOOKUP(A63,'Données projet'!$A$217:$I$237,3,0))</f>
        <v>8</v>
      </c>
      <c r="FM63" s="15">
        <f>IF(ISNA(VLOOKUP(A63,'Données projet'!$A$217:$I$237,4,0)),0,VLOOKUP(A63,'Données projet'!$A$217:$I$237,4,0))</f>
        <v>270</v>
      </c>
      <c r="FN63" s="16">
        <f>IF(ISNA(VLOOKUP(A63,'Données projet'!$A$217:$I$237,5,0)),0%,VLOOKUP(A63,'Données projet'!$A$217:$I$237,5,0)*VLOOKUP('Données projet'!$B$16,Paramètres!$A$1:$I$89,7,0))</f>
        <v>0.34400000000000003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98.498420372459123</v>
      </c>
      <c r="FR63" s="21">
        <f>EXP(-LN(2)/25)*FR62+(1-EXP(-LN(2)/25))/(LN(2)/25)*Calculateur!FM63*Calculateur!FO63*VLOOKUP('Données projet'!$B$16,Paramètres!$A$1:$I$89,3,0)*0.475*44/12</f>
        <v>0</v>
      </c>
      <c r="FS63" s="21">
        <f>EXP(-LN(2)/2)*FS62+(1-EXP(-LN(2)/2))/(LN(2)/2)*FM63*FP63*VLOOKUP('Données projet'!$B$16,Paramètres!$A$1:$I$89,3,0)*0.475*44/12</f>
        <v>0</v>
      </c>
      <c r="FT63" s="22">
        <f t="shared" si="24"/>
        <v>98.498420372459123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301</v>
      </c>
      <c r="FX63" s="12">
        <f>VLOOKUP(A63,'Données projet'!$A$243:$I$263,9,0)</f>
        <v>5.2</v>
      </c>
      <c r="FY63" s="12">
        <f t="array" ref="FY63">INDEX(FX:FX,MIN(IF(ISNUMBER(FX63:FX259),ROW(FX63:FX259),"")))</f>
        <v>5.2</v>
      </c>
      <c r="FZ63" s="12">
        <f>IF('Données projet'!$A$244&gt;35,FZ62+FY63-GH62,IF(A63&lt;'Données projet'!$A$244,$FW$205^A63,IF(A63='Données projet'!$A$244,'Données projet'!$B$244,FZ62+FY63-GH62)))</f>
        <v>300.99999999999994</v>
      </c>
      <c r="GA63" s="17">
        <f>FZ63*VLOOKUP('Données projet'!$B$17,Paramètres!$A$1:$I$89,3,0)*VLOOKUP('Données projet'!$B$17,Paramètres!$A$1:$I$89,5,0)</f>
        <v>239.47559999999996</v>
      </c>
      <c r="GB63" s="13">
        <f t="shared" si="49"/>
        <v>58.326688908078204</v>
      </c>
      <c r="GC63" s="20">
        <f t="shared" si="25"/>
        <v>518.67231984823604</v>
      </c>
      <c r="GD63" s="59">
        <f t="shared" si="26"/>
        <v>779.92802617971347</v>
      </c>
      <c r="GE63" s="59">
        <f ca="1">AVERAGE(OFFSET($GD$3,0,0,'Données projet'!$E$17+1,1))-AVERAGE(OFFSET($H$3,0,0,'Données projet'!$E$17+1,1))</f>
        <v>308.33954512886351</v>
      </c>
      <c r="GF63" s="59">
        <f t="shared" si="50"/>
        <v>408.79075392716277</v>
      </c>
      <c r="GG63" s="15">
        <f>IF(ISNA(VLOOKUP(A63,'Données projet'!$A$243:$I$263,3,0)),0,VLOOKUP(A63,'Données projet'!$A$243:$I$263,3,0))</f>
        <v>8</v>
      </c>
      <c r="GH63" s="15">
        <f>IF(ISNA(VLOOKUP(A63,'Données projet'!$A$243:$I$263,4,0)),0,VLOOKUP(A63,'Données projet'!$A$243:$I$263,4,0))</f>
        <v>301</v>
      </c>
      <c r="GI63" s="16">
        <f>IF(ISNA(VLOOKUP(A63,'Données projet'!$A$243:$I$263,5,0)),0%,VLOOKUP(A63,'Données projet'!$A$243:$I$263,5,0)*VLOOKUP('Données projet'!$B$17,Paramètres!$A$1:$I$89,7,0))</f>
        <v>0.42400000000000004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136.38594772318334</v>
      </c>
      <c r="GM63" s="21">
        <f>EXP(-LN(2)/25)*GM62+(1-EXP(-LN(2)/25))/(LN(2)/25)*Calculateur!GH63*Calculateur!GJ63*VLOOKUP('Données projet'!$B$17,Paramètres!$A$1:$I$89,3,0)*0.475*44/12</f>
        <v>0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136.38594772318334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342.84342155097613</v>
      </c>
      <c r="T64" s="59">
        <f t="shared" si="34"/>
        <v>565.68976940602215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126.02589945109851</v>
      </c>
      <c r="AA64" s="21">
        <f>EXP(-LN(2)/25)*AA63+(1-EXP(-LN(2)/25))/(LN(2)/25)*Calculateur!V64*Calculateur!X64*VLOOKUP('Données projet'!$B$9,Paramètres!$A$1:$I$89,3,0)*0.475*44/12</f>
        <v>56.686890557177037</v>
      </c>
      <c r="AB64" s="21">
        <f>EXP(-LN(2)/2)*AB63+(1-EXP(-LN(2)/2))/(LN(2)/2)*V64*Y64*VLOOKUP('Données projet'!$B$9,Paramètres!$A$1:$I$89,3,0)*0.475*44/12</f>
        <v>0.16167948898559656</v>
      </c>
      <c r="AC64" s="22">
        <f t="shared" si="3"/>
        <v>182.87446949726112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10.4</v>
      </c>
      <c r="AI64" s="13">
        <f>IF('Données projet'!$A$62&gt;35,AI63+AH64-AQ63,IF(A64&lt;'Données projet'!$A$62,$AF$205^A64,IF(A64='Données projet'!$A$62,'Données projet'!$B$62,AI63+AH64-AQ63)))</f>
        <v>252.40000000000009</v>
      </c>
      <c r="AJ64" s="13">
        <f>AI64*VLOOKUP('Données projet'!$B$10,Paramètres!$A$1:$I$89,3,0)*VLOOKUP('Données projet'!$B$10,Paramètres!$A$1:$I$89,5,0)</f>
        <v>240.18384000000009</v>
      </c>
      <c r="AK64" s="13">
        <f t="shared" si="35"/>
        <v>58.479082790905728</v>
      </c>
      <c r="AL64" s="20">
        <f t="shared" si="4"/>
        <v>520.17125719416094</v>
      </c>
      <c r="AM64" s="59">
        <f t="shared" si="5"/>
        <v>781.98343863929028</v>
      </c>
      <c r="AN64" s="59">
        <f ca="1">AVERAGE(OFFSET($AM$3,0,0,'Données projet'!$E$10+1,1))-AVERAGE(OFFSET($H$3,0,0,'Données projet'!$E$10+1,1))</f>
        <v>320.33056209214476</v>
      </c>
      <c r="AO64" s="59">
        <f t="shared" si="36"/>
        <v>299.27200854723446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16.126361732479296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16.126361732479296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256.85706398254547</v>
      </c>
      <c r="BJ64" s="59">
        <f t="shared" si="38"/>
        <v>363.68094621014734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143.55731372279655</v>
      </c>
      <c r="BQ64" s="21">
        <f>EXP(-LN(2)/25)*BQ63+(1-EXP(-LN(2)/25))/(LN(2)/25)*Calculateur!BL64*Calculateur!BN64*VLOOKUP('Données projet'!$B$11,Paramètres!$A$1:$I$89,3,0)*0.475*44/12</f>
        <v>52.474308773499274</v>
      </c>
      <c r="BR64" s="21">
        <f>EXP(-LN(2)/2)*BR63+(1-EXP(-LN(2)/2))/(LN(2)/2)*BL64*BO64*VLOOKUP('Données projet'!$B$11,Paramètres!$A$1:$I$89,3,0)*0.475*44/12</f>
        <v>15.303577293501037</v>
      </c>
      <c r="BS64" s="22">
        <f t="shared" si="9"/>
        <v>211.33519978979686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13.25</v>
      </c>
      <c r="BY64" s="12">
        <f>IF('Données projet'!$A$114&gt;35,BY63+BX64-CG63,IF(A64&lt;'Données projet'!$A$114,$BV$205^A64,IF(A64='Données projet'!$A$114,'Données projet'!$B$114,BY63+BX64-CG63)))</f>
        <v>145.75</v>
      </c>
      <c r="BZ64" s="13">
        <f>BY64*VLOOKUP('Données projet'!$B$12,Paramètres!$A$1:$I$89,3,0)*VLOOKUP('Données projet'!$B$12,Paramètres!$A$1:$I$89,5,0)</f>
        <v>131.87459999999999</v>
      </c>
      <c r="CA64" s="13">
        <f t="shared" si="39"/>
        <v>34.429162757610932</v>
      </c>
      <c r="CB64" s="20">
        <f t="shared" si="10"/>
        <v>289.64572013617232</v>
      </c>
      <c r="CC64" s="59">
        <f t="shared" si="11"/>
        <v>551.45790158130171</v>
      </c>
      <c r="CD64" s="59">
        <f ca="1">AVERAGE(OFFSET($CC$3,0,0,'Données projet'!$E$12+1,1))-AVERAGE(OFFSET($H$3,0,0,'Données projet'!$E$12+1,1))</f>
        <v>357.68828740212223</v>
      </c>
      <c r="CE64" s="59">
        <f t="shared" si="40"/>
        <v>236.76626845829483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9.542514704170955</v>
      </c>
      <c r="CL64" s="21">
        <f>EXP(-LN(2)/25)*CL63+(1-EXP(-LN(2)/25))/(LN(2)/25)*Calculateur!CG64*Calculateur!CI64*VLOOKUP('Données projet'!$B$12,Paramètres!$A$1:$I$89,3,0)*0.475*44/12</f>
        <v>10.666529781964655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20.20904448613561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257.00000000000006</v>
      </c>
      <c r="CU64" s="17">
        <f>CT64*VLOOKUP('Données projet'!$B$13,Paramètres!$A$1:$I$89,3,0)*VLOOKUP('Données projet'!$B$13,Paramètres!$A$1:$I$89,5,0)</f>
        <v>168.38640000000004</v>
      </c>
      <c r="CV64" s="13">
        <f t="shared" si="41"/>
        <v>42.728430513203243</v>
      </c>
      <c r="CW64" s="20">
        <f t="shared" si="13"/>
        <v>367.69166314382898</v>
      </c>
      <c r="CX64" s="59">
        <f t="shared" si="14"/>
        <v>629.50384458895837</v>
      </c>
      <c r="CY64" s="59">
        <f ca="1">AVERAGE(OFFSET($CX$3,0,0,'Données projet'!$E$13+1,1))-AVERAGE(OFFSET($H$3,0,0,'Données projet'!$E$13+1,1))</f>
        <v>220.18342986563667</v>
      </c>
      <c r="CZ64" s="59">
        <f t="shared" si="42"/>
        <v>347.84382145531163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2.2213681170789472E-4</v>
      </c>
      <c r="DI64" s="22">
        <f t="shared" si="15"/>
        <v>2.2213681170789472E-4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13.25</v>
      </c>
      <c r="DO64" s="12">
        <f>IF('Données projet'!$A$166&gt;35,DO63+DN64-DW63,IF(A64&lt;'Données projet'!$A$166,$DL$205^A64,IF(A64='Données projet'!$A$166,'Données projet'!$B$166,DO63+DN64-DW63)))</f>
        <v>145.75</v>
      </c>
      <c r="DP64" s="17">
        <f>DO64*VLOOKUP('Données projet'!$B$14,Paramètres!$A$1:$I$89,3,0)*VLOOKUP('Données projet'!$B$14,Paramètres!$A$1:$I$89,5,0)</f>
        <v>147.79050000000001</v>
      </c>
      <c r="DQ64" s="13">
        <f t="shared" si="43"/>
        <v>38.076035981533245</v>
      </c>
      <c r="DR64" s="20">
        <f t="shared" si="16"/>
        <v>323.71755016783703</v>
      </c>
      <c r="DS64" s="59">
        <f t="shared" si="17"/>
        <v>585.52973161296632</v>
      </c>
      <c r="DT64" s="59">
        <f ca="1">AVERAGE(OFFSET($DS$3,0,0,'Données projet'!$E$14+1,1))-AVERAGE(OFFSET($H$3,0,0,'Données projet'!$E$14+1,1))</f>
        <v>392.49465607243178</v>
      </c>
      <c r="DU64" s="59">
        <f t="shared" si="44"/>
        <v>258.031856676031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10.694197513295039</v>
      </c>
      <c r="EB64" s="21">
        <f>EXP(-LN(2)/25)*EB63+(1-EXP(-LN(2)/25))/(LN(2)/25)*Calculateur!DW64*Calculateur!DY64*VLOOKUP('Données projet'!$B$14,Paramètres!$A$1:$I$89,3,0)*0.475*44/12</f>
        <v>11.953869583236251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22.648067096531292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10.4</v>
      </c>
      <c r="EJ64" s="12">
        <f>IF('Données projet'!$A$192&gt;35,EJ63+EI64-ER63,IF(A64&lt;'Données projet'!$A$192,$EG$205^A64,IF(A64='Données projet'!$A$192,'Données projet'!$B$192,EJ63+EI64-ER63)))</f>
        <v>252.40000000000009</v>
      </c>
      <c r="EK64" s="17">
        <f>EJ64*VLOOKUP('Données projet'!$B$15,Paramètres!$A$1:$I$89,3,0)*VLOOKUP('Données projet'!$B$15,Paramètres!$A$1:$I$89,5,0)</f>
        <v>216.55920000000009</v>
      </c>
      <c r="EL64" s="13">
        <f t="shared" si="45"/>
        <v>53.366360125240526</v>
      </c>
      <c r="EM64" s="20">
        <f t="shared" si="19"/>
        <v>470.12035055146072</v>
      </c>
      <c r="EN64" s="59">
        <f t="shared" si="20"/>
        <v>731.93253199659011</v>
      </c>
      <c r="EO64" s="59">
        <f ca="1">AVERAGE(OFFSET($EN$3,0,0,'Données projet'!$E$15+1,1))-AVERAGE(OFFSET($H$3,0,0,'Données projet'!$E$15+1,1))</f>
        <v>294.24530606293143</v>
      </c>
      <c r="EP64" s="59">
        <f t="shared" si="46"/>
        <v>275.88160405468193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43.86923062636621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43.86923062636621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1.1368683772161603E-13</v>
      </c>
      <c r="FF64" s="17">
        <f>FE64*VLOOKUP('Données projet'!$B$16,Paramètres!$A$1:$I$89,3,0)*VLOOKUP('Données projet'!$B$16,Paramètres!$A$1:$I$89,5,0)</f>
        <v>8.3355189417488869E-14</v>
      </c>
      <c r="FG64" s="13">
        <f t="shared" si="47"/>
        <v>1.2790518435140618E-12</v>
      </c>
      <c r="FH64" s="20">
        <f t="shared" si="22"/>
        <v>2.3728589156891171E-12</v>
      </c>
      <c r="FI64" s="59">
        <f t="shared" si="23"/>
        <v>261.81218144513173</v>
      </c>
      <c r="FJ64" s="59">
        <f ca="1">AVERAGE(OFFSET($FI$3,0,0,'Données projet'!$E$16+1,1))-AVERAGE(OFFSET($H$3,0,0,'Données projet'!$E$16+1,1))</f>
        <v>214.31585175697521</v>
      </c>
      <c r="FK64" s="59">
        <f t="shared" si="48"/>
        <v>244.60383864821372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96.5669264270594</v>
      </c>
      <c r="FR64" s="21">
        <f>EXP(-LN(2)/25)*FR63+(1-EXP(-LN(2)/25))/(LN(2)/25)*Calculateur!FM64*Calculateur!FO64*VLOOKUP('Données projet'!$B$16,Paramètres!$A$1:$I$89,3,0)*0.475*44/12</f>
        <v>0</v>
      </c>
      <c r="FS64" s="21">
        <f>EXP(-LN(2)/2)*FS63+(1-EXP(-LN(2)/2))/(LN(2)/2)*FM64*FP64*VLOOKUP('Données projet'!$B$16,Paramètres!$A$1:$I$89,3,0)*0.475*44/12</f>
        <v>0</v>
      </c>
      <c r="FT64" s="22">
        <f t="shared" si="24"/>
        <v>96.5669264270594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-5.6843418860808015E-14</v>
      </c>
      <c r="GA64" s="17">
        <f>FZ64*VLOOKUP('Données projet'!$B$17,Paramètres!$A$1:$I$89,3,0)*VLOOKUP('Données projet'!$B$17,Paramètres!$A$1:$I$89,5,0)</f>
        <v>-4.5224624045658861E-14</v>
      </c>
      <c r="GB64" s="13" t="e">
        <f t="shared" si="49"/>
        <v>#NUM!</v>
      </c>
      <c r="GC64" s="20" t="e">
        <f t="shared" si="25"/>
        <v>#NUM!</v>
      </c>
      <c r="GD64" s="59" t="e">
        <f t="shared" si="26"/>
        <v>#NUM!</v>
      </c>
      <c r="GE64" s="59">
        <f ca="1">AVERAGE(OFFSET($GD$3,0,0,'Données projet'!$E$17+1,1))-AVERAGE(OFFSET($H$3,0,0,'Données projet'!$E$17+1,1))</f>
        <v>308.33954512886351</v>
      </c>
      <c r="GF64" s="59">
        <f t="shared" si="50"/>
        <v>408.79075392716277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133.71150247554576</v>
      </c>
      <c r="GM64" s="21">
        <f>EXP(-LN(2)/25)*GM63+(1-EXP(-LN(2)/25))/(LN(2)/25)*Calculateur!GH64*Calculateur!GJ64*VLOOKUP('Données projet'!$B$17,Paramètres!$A$1:$I$89,3,0)*0.475*44/12</f>
        <v>0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133.71150247554576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342.84342155097613</v>
      </c>
      <c r="T65" s="59">
        <f t="shared" si="34"/>
        <v>565.68976940602215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123.55460843107103</v>
      </c>
      <c r="AA65" s="21">
        <f>EXP(-LN(2)/25)*AA64+(1-EXP(-LN(2)/25))/(LN(2)/25)*Calculateur!V65*Calculateur!X65*VLOOKUP('Données projet'!$B$9,Paramètres!$A$1:$I$89,3,0)*0.475*44/12</f>
        <v>55.136784553857019</v>
      </c>
      <c r="AB65" s="21">
        <f>EXP(-LN(2)/2)*AB64+(1-EXP(-LN(2)/2))/(LN(2)/2)*V65*Y65*VLOOKUP('Données projet'!$B$9,Paramètres!$A$1:$I$89,3,0)*0.475*44/12</f>
        <v>0.11432466304049105</v>
      </c>
      <c r="AC65" s="22">
        <f t="shared" si="3"/>
        <v>178.80571764796855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10.4</v>
      </c>
      <c r="AI65" s="13">
        <f>IF('Données projet'!$A$62&gt;35,AI64+AH65-AQ64,IF(A65&lt;'Données projet'!$A$62,$AF$205^A65,IF(A65='Données projet'!$A$62,'Données projet'!$B$62,AI64+AH65-AQ64)))</f>
        <v>262.80000000000007</v>
      </c>
      <c r="AJ65" s="13">
        <f>AI65*VLOOKUP('Données projet'!$B$10,Paramètres!$A$1:$I$89,3,0)*VLOOKUP('Données projet'!$B$10,Paramètres!$A$1:$I$89,5,0)</f>
        <v>250.08048000000008</v>
      </c>
      <c r="AK65" s="13">
        <f t="shared" si="35"/>
        <v>60.60317411022308</v>
      </c>
      <c r="AL65" s="20">
        <f t="shared" si="4"/>
        <v>541.10736424197205</v>
      </c>
      <c r="AM65" s="59">
        <f t="shared" si="5"/>
        <v>803.46636720162337</v>
      </c>
      <c r="AN65" s="59">
        <f ca="1">AVERAGE(OFFSET($AM$3,0,0,'Données projet'!$E$10+1,1))-AVERAGE(OFFSET($H$3,0,0,'Données projet'!$E$10+1,1))</f>
        <v>320.33056209214476</v>
      </c>
      <c r="AO65" s="59">
        <f t="shared" si="36"/>
        <v>299.27200854723446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15.685385522856144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15.685385522856144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256.85706398254547</v>
      </c>
      <c r="BJ65" s="59">
        <f t="shared" si="38"/>
        <v>363.68094621014734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140.74224236200791</v>
      </c>
      <c r="BQ65" s="21">
        <f>EXP(-LN(2)/25)*BQ64+(1-EXP(-LN(2)/25))/(LN(2)/25)*Calculateur!BL65*Calculateur!BN65*VLOOKUP('Données projet'!$B$11,Paramètres!$A$1:$I$89,3,0)*0.475*44/12</f>
        <v>51.039396040583966</v>
      </c>
      <c r="BR65" s="21">
        <f>EXP(-LN(2)/2)*BR64+(1-EXP(-LN(2)/2))/(LN(2)/2)*BL65*BO65*VLOOKUP('Données projet'!$B$11,Paramètres!$A$1:$I$89,3,0)*0.475*44/12</f>
        <v>10.821263280647056</v>
      </c>
      <c r="BS65" s="22">
        <f t="shared" si="9"/>
        <v>202.60290168323894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13.25</v>
      </c>
      <c r="BY65" s="12">
        <f>IF('Données projet'!$A$114&gt;35,BY64+BX65-CG64,IF(A65&lt;'Données projet'!$A$114,$BV$205^A65,IF(A65='Données projet'!$A$114,'Données projet'!$B$114,BY64+BX65-CG64)))</f>
        <v>159</v>
      </c>
      <c r="BZ65" s="13">
        <f>BY65*VLOOKUP('Données projet'!$B$12,Paramètres!$A$1:$I$89,3,0)*VLOOKUP('Données projet'!$B$12,Paramètres!$A$1:$I$89,5,0)</f>
        <v>143.86320000000001</v>
      </c>
      <c r="CA65" s="13">
        <f t="shared" si="39"/>
        <v>37.180603445028773</v>
      </c>
      <c r="CB65" s="20">
        <f t="shared" si="10"/>
        <v>315.31795766675845</v>
      </c>
      <c r="CC65" s="59">
        <f t="shared" si="11"/>
        <v>577.67696062640971</v>
      </c>
      <c r="CD65" s="59">
        <f ca="1">AVERAGE(OFFSET($CC$3,0,0,'Données projet'!$E$12+1,1))-AVERAGE(OFFSET($H$3,0,0,'Données projet'!$E$12+1,1))</f>
        <v>357.68828740212223</v>
      </c>
      <c r="CE65" s="59">
        <f t="shared" si="40"/>
        <v>236.76626845829483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9.3553918111814198</v>
      </c>
      <c r="CL65" s="21">
        <f>EXP(-LN(2)/25)*CL64+(1-EXP(-LN(2)/25))/(LN(2)/25)*Calculateur!CG65*Calculateur!CI65*VLOOKUP('Données projet'!$B$12,Paramètres!$A$1:$I$89,3,0)*0.475*44/12</f>
        <v>10.37485296414841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19.73024477532983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257.00000000000006</v>
      </c>
      <c r="CU65" s="17">
        <f>CT65*VLOOKUP('Données projet'!$B$13,Paramètres!$A$1:$I$89,3,0)*VLOOKUP('Données projet'!$B$13,Paramètres!$A$1:$I$89,5,0)</f>
        <v>168.38640000000004</v>
      </c>
      <c r="CV65" s="13">
        <f t="shared" si="41"/>
        <v>42.728430513203243</v>
      </c>
      <c r="CW65" s="20">
        <f t="shared" si="13"/>
        <v>367.69166314382898</v>
      </c>
      <c r="CX65" s="59">
        <f t="shared" si="14"/>
        <v>630.05066610348035</v>
      </c>
      <c r="CY65" s="59">
        <f ca="1">AVERAGE(OFFSET($CX$3,0,0,'Données projet'!$E$13+1,1))-AVERAGE(OFFSET($H$3,0,0,'Données projet'!$E$13+1,1))</f>
        <v>220.18342986563667</v>
      </c>
      <c r="CZ65" s="59">
        <f t="shared" si="42"/>
        <v>347.84382145531163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1.5707444590981162E-4</v>
      </c>
      <c r="DI65" s="22">
        <f t="shared" si="15"/>
        <v>1.5707444590981162E-4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13.25</v>
      </c>
      <c r="DO65" s="12">
        <f>IF('Données projet'!$A$166&gt;35,DO64+DN65-DW64,IF(A65&lt;'Données projet'!$A$166,$DL$205^A65,IF(A65='Données projet'!$A$166,'Données projet'!$B$166,DO64+DN65-DW64)))</f>
        <v>159</v>
      </c>
      <c r="DP65" s="17">
        <f>DO65*VLOOKUP('Données projet'!$B$14,Paramètres!$A$1:$I$89,3,0)*VLOOKUP('Données projet'!$B$14,Paramètres!$A$1:$I$89,5,0)</f>
        <v>161.22600000000003</v>
      </c>
      <c r="DQ65" s="13">
        <f t="shared" si="43"/>
        <v>41.118920159482528</v>
      </c>
      <c r="DR65" s="20">
        <f t="shared" si="16"/>
        <v>352.41740261109879</v>
      </c>
      <c r="DS65" s="59">
        <f t="shared" si="17"/>
        <v>614.77640557075006</v>
      </c>
      <c r="DT65" s="59">
        <f ca="1">AVERAGE(OFFSET($DS$3,0,0,'Données projet'!$E$14+1,1))-AVERAGE(OFFSET($H$3,0,0,'Données projet'!$E$14+1,1))</f>
        <v>392.49465607243178</v>
      </c>
      <c r="DU65" s="59">
        <f t="shared" si="44"/>
        <v>258.031856676031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10.484490822875731</v>
      </c>
      <c r="EB65" s="21">
        <f>EXP(-LN(2)/25)*EB64+(1-EXP(-LN(2)/25))/(LN(2)/25)*Calculateur!DW65*Calculateur!DY65*VLOOKUP('Données projet'!$B$14,Paramètres!$A$1:$I$89,3,0)*0.475*44/12</f>
        <v>11.626990390855976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22.111481213731707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10.4</v>
      </c>
      <c r="EJ65" s="12">
        <f>IF('Données projet'!$A$192&gt;35,EJ64+EI65-ER64,IF(A65&lt;'Données projet'!$A$192,$EG$205^A65,IF(A65='Données projet'!$A$192,'Données projet'!$B$192,EJ64+EI65-ER64)))</f>
        <v>262.80000000000007</v>
      </c>
      <c r="EK65" s="17">
        <f>EJ65*VLOOKUP('Données projet'!$B$15,Paramètres!$A$1:$I$89,3,0)*VLOOKUP('Données projet'!$B$15,Paramètres!$A$1:$I$89,5,0)</f>
        <v>225.4824000000001</v>
      </c>
      <c r="EL65" s="13">
        <f t="shared" si="45"/>
        <v>55.304745901414421</v>
      </c>
      <c r="EM65" s="20">
        <f t="shared" si="19"/>
        <v>489.03761244496371</v>
      </c>
      <c r="EN65" s="59">
        <f t="shared" si="20"/>
        <v>751.39661540461498</v>
      </c>
      <c r="EO65" s="59">
        <f ca="1">AVERAGE(OFFSET($EN$3,0,0,'Données projet'!$E$15+1,1))-AVERAGE(OFFSET($H$3,0,0,'Données projet'!$E$15+1,1))</f>
        <v>294.24530606293143</v>
      </c>
      <c r="EP65" s="59">
        <f t="shared" si="46"/>
        <v>275.88160405468193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43.008981771371758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43.008981771371758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1.1368683772161603E-13</v>
      </c>
      <c r="FF65" s="17">
        <f>FE65*VLOOKUP('Données projet'!$B$16,Paramètres!$A$1:$I$89,3,0)*VLOOKUP('Données projet'!$B$16,Paramètres!$A$1:$I$89,5,0)</f>
        <v>8.3355189417488869E-14</v>
      </c>
      <c r="FG65" s="13">
        <f t="shared" si="47"/>
        <v>1.2790518435140618E-12</v>
      </c>
      <c r="FH65" s="20">
        <f t="shared" si="22"/>
        <v>2.3728589156891171E-12</v>
      </c>
      <c r="FI65" s="59">
        <f t="shared" si="23"/>
        <v>262.35900295965371</v>
      </c>
      <c r="FJ65" s="59">
        <f ca="1">AVERAGE(OFFSET($FI$3,0,0,'Données projet'!$E$16+1,1))-AVERAGE(OFFSET($H$3,0,0,'Données projet'!$E$16+1,1))</f>
        <v>214.31585175697521</v>
      </c>
      <c r="FK65" s="59">
        <f t="shared" si="48"/>
        <v>244.60383864821372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94.673307899833986</v>
      </c>
      <c r="FR65" s="21">
        <f>EXP(-LN(2)/25)*FR64+(1-EXP(-LN(2)/25))/(LN(2)/25)*Calculateur!FM65*Calculateur!FO65*VLOOKUP('Données projet'!$B$16,Paramètres!$A$1:$I$89,3,0)*0.475*44/12</f>
        <v>0</v>
      </c>
      <c r="FS65" s="21">
        <f>EXP(-LN(2)/2)*FS64+(1-EXP(-LN(2)/2))/(LN(2)/2)*FM65*FP65*VLOOKUP('Données projet'!$B$16,Paramètres!$A$1:$I$89,3,0)*0.475*44/12</f>
        <v>0</v>
      </c>
      <c r="FT65" s="22">
        <f t="shared" si="24"/>
        <v>94.673307899833986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-5.6843418860808015E-14</v>
      </c>
      <c r="GA65" s="17">
        <f>FZ65*VLOOKUP('Données projet'!$B$17,Paramètres!$A$1:$I$89,3,0)*VLOOKUP('Données projet'!$B$17,Paramètres!$A$1:$I$89,5,0)</f>
        <v>-4.5224624045658861E-14</v>
      </c>
      <c r="GB65" s="13" t="e">
        <f t="shared" si="49"/>
        <v>#NUM!</v>
      </c>
      <c r="GC65" s="20" t="e">
        <f t="shared" si="25"/>
        <v>#NUM!</v>
      </c>
      <c r="GD65" s="59" t="e">
        <f t="shared" si="26"/>
        <v>#NUM!</v>
      </c>
      <c r="GE65" s="59">
        <f ca="1">AVERAGE(OFFSET($GD$3,0,0,'Données projet'!$E$17+1,1))-AVERAGE(OFFSET($H$3,0,0,'Données projet'!$E$17+1,1))</f>
        <v>308.33954512886351</v>
      </c>
      <c r="GF65" s="59">
        <f t="shared" si="50"/>
        <v>408.79075392716277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131.08950146796383</v>
      </c>
      <c r="GM65" s="21">
        <f>EXP(-LN(2)/25)*GM64+(1-EXP(-LN(2)/25))/(LN(2)/25)*Calculateur!GH65*Calculateur!GJ65*VLOOKUP('Données projet'!$B$17,Paramètres!$A$1:$I$89,3,0)*0.475*44/12</f>
        <v>0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131.08950146796383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342.84342155097613</v>
      </c>
      <c r="T66" s="59">
        <f t="shared" si="34"/>
        <v>565.68976940602215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121.1317779206076</v>
      </c>
      <c r="AA66" s="21">
        <f>EXP(-LN(2)/25)*AA65+(1-EXP(-LN(2)/25))/(LN(2)/25)*Calculateur!V66*Calculateur!X66*VLOOKUP('Données projet'!$B$9,Paramètres!$A$1:$I$89,3,0)*0.475*44/12</f>
        <v>53.629066280714319</v>
      </c>
      <c r="AB66" s="21">
        <f>EXP(-LN(2)/2)*AB65+(1-EXP(-LN(2)/2))/(LN(2)/2)*V66*Y66*VLOOKUP('Données projet'!$B$9,Paramètres!$A$1:$I$89,3,0)*0.475*44/12</f>
        <v>8.0839744492798279E-2</v>
      </c>
      <c r="AC66" s="22">
        <f t="shared" si="3"/>
        <v>174.84168394581474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10.4</v>
      </c>
      <c r="AI66" s="13">
        <f>IF('Données projet'!$A$62&gt;35,AI65+AH66-AQ65,IF(A66&lt;'Données projet'!$A$62,$AF$205^A66,IF(A66='Données projet'!$A$62,'Données projet'!$B$62,AI65+AH66-AQ65)))</f>
        <v>273.20000000000005</v>
      </c>
      <c r="AJ66" s="13">
        <f>AI66*VLOOKUP('Données projet'!$B$10,Paramètres!$A$1:$I$89,3,0)*VLOOKUP('Données projet'!$B$10,Paramètres!$A$1:$I$89,5,0)</f>
        <v>259.97712000000001</v>
      </c>
      <c r="AK66" s="13">
        <f t="shared" si="35"/>
        <v>62.717500839785117</v>
      </c>
      <c r="AL66" s="20">
        <f t="shared" si="4"/>
        <v>562.02646462929238</v>
      </c>
      <c r="AM66" s="59">
        <f t="shared" si="5"/>
        <v>824.92280297269849</v>
      </c>
      <c r="AN66" s="59">
        <f ca="1">AVERAGE(OFFSET($AM$3,0,0,'Données projet'!$E$10+1,1))-AVERAGE(OFFSET($H$3,0,0,'Données projet'!$E$10+1,1))</f>
        <v>320.33056209214476</v>
      </c>
      <c r="AO66" s="59">
        <f t="shared" si="36"/>
        <v>299.27200854723446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15.256467830875067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15.256467830875067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256.85706398254547</v>
      </c>
      <c r="BJ66" s="59">
        <f t="shared" si="38"/>
        <v>363.68094621014734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137.98237283358037</v>
      </c>
      <c r="BQ66" s="21">
        <f>EXP(-LN(2)/25)*BQ65+(1-EXP(-LN(2)/25))/(LN(2)/25)*Calculateur!BL66*Calculateur!BN66*VLOOKUP('Données projet'!$B$11,Paramètres!$A$1:$I$89,3,0)*0.475*44/12</f>
        <v>49.643721071809011</v>
      </c>
      <c r="BR66" s="21">
        <f>EXP(-LN(2)/2)*BR65+(1-EXP(-LN(2)/2))/(LN(2)/2)*BL66*BO66*VLOOKUP('Données projet'!$B$11,Paramètres!$A$1:$I$89,3,0)*0.475*44/12</f>
        <v>7.6517886467505196</v>
      </c>
      <c r="BS66" s="22">
        <f t="shared" si="9"/>
        <v>195.27788255213991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13.25</v>
      </c>
      <c r="BY66" s="12">
        <f>IF('Données projet'!$A$114&gt;35,BY65+BX66-CG65,IF(A66&lt;'Données projet'!$A$114,$BV$205^A66,IF(A66='Données projet'!$A$114,'Données projet'!$B$114,BY65+BX66-CG65)))</f>
        <v>172.25</v>
      </c>
      <c r="BZ66" s="13">
        <f>BY66*VLOOKUP('Données projet'!$B$12,Paramètres!$A$1:$I$89,3,0)*VLOOKUP('Données projet'!$B$12,Paramètres!$A$1:$I$89,5,0)</f>
        <v>155.8518</v>
      </c>
      <c r="CA66" s="13">
        <f t="shared" si="39"/>
        <v>39.905451715205622</v>
      </c>
      <c r="CB66" s="20">
        <f t="shared" si="10"/>
        <v>340.94388007064981</v>
      </c>
      <c r="CC66" s="59">
        <f t="shared" si="11"/>
        <v>603.84021841405593</v>
      </c>
      <c r="CD66" s="59">
        <f ca="1">AVERAGE(OFFSET($CC$3,0,0,'Données projet'!$E$12+1,1))-AVERAGE(OFFSET($H$3,0,0,'Données projet'!$E$12+1,1))</f>
        <v>357.68828740212223</v>
      </c>
      <c r="CE66" s="59">
        <f t="shared" si="40"/>
        <v>236.76626845829483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9.1719382839897143</v>
      </c>
      <c r="CL66" s="21">
        <f>EXP(-LN(2)/25)*CL65+(1-EXP(-LN(2)/25))/(LN(2)/25)*Calculateur!CG66*Calculateur!CI66*VLOOKUP('Données projet'!$B$12,Paramètres!$A$1:$I$89,3,0)*0.475*44/12</f>
        <v>10.091152064253967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19.263090348243679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257.00000000000006</v>
      </c>
      <c r="CU66" s="17">
        <f>CT66*VLOOKUP('Données projet'!$B$13,Paramètres!$A$1:$I$89,3,0)*VLOOKUP('Données projet'!$B$13,Paramètres!$A$1:$I$89,5,0)</f>
        <v>168.38640000000004</v>
      </c>
      <c r="CV66" s="13">
        <f t="shared" si="41"/>
        <v>42.728430513203243</v>
      </c>
      <c r="CW66" s="20">
        <f t="shared" si="13"/>
        <v>367.69166314382898</v>
      </c>
      <c r="CX66" s="59">
        <f t="shared" si="14"/>
        <v>630.58800148723503</v>
      </c>
      <c r="CY66" s="59">
        <f ca="1">AVERAGE(OFFSET($CX$3,0,0,'Données projet'!$E$13+1,1))-AVERAGE(OFFSET($H$3,0,0,'Données projet'!$E$13+1,1))</f>
        <v>220.18342986563667</v>
      </c>
      <c r="CZ66" s="59">
        <f t="shared" si="42"/>
        <v>347.84382145531163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1.1106840585394736E-4</v>
      </c>
      <c r="DI66" s="22">
        <f t="shared" si="15"/>
        <v>1.1106840585394736E-4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13.25</v>
      </c>
      <c r="DO66" s="12">
        <f>IF('Données projet'!$A$166&gt;35,DO65+DN66-DW65,IF(A66&lt;'Données projet'!$A$166,$DL$205^A66,IF(A66='Données projet'!$A$166,'Données projet'!$B$166,DO65+DN66-DW65)))</f>
        <v>172.25</v>
      </c>
      <c r="DP66" s="17">
        <f>DO66*VLOOKUP('Données projet'!$B$14,Paramètres!$A$1:$I$89,3,0)*VLOOKUP('Données projet'!$B$14,Paramètres!$A$1:$I$89,5,0)</f>
        <v>174.66150000000002</v>
      </c>
      <c r="DQ66" s="13">
        <f t="shared" si="43"/>
        <v>44.132395146077627</v>
      </c>
      <c r="DR66" s="20">
        <f t="shared" si="16"/>
        <v>381.06603404608524</v>
      </c>
      <c r="DS66" s="59">
        <f t="shared" si="17"/>
        <v>643.96237238949129</v>
      </c>
      <c r="DT66" s="59">
        <f ca="1">AVERAGE(OFFSET($DS$3,0,0,'Données projet'!$E$14+1,1))-AVERAGE(OFFSET($H$3,0,0,'Données projet'!$E$14+1,1))</f>
        <v>392.49465607243178</v>
      </c>
      <c r="DU66" s="59">
        <f t="shared" si="44"/>
        <v>258.031856676031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10.278896352747095</v>
      </c>
      <c r="EB66" s="21">
        <f>EXP(-LN(2)/25)*EB65+(1-EXP(-LN(2)/25))/(LN(2)/25)*Calculateur!DW66*Calculateur!DY66*VLOOKUP('Données projet'!$B$14,Paramètres!$A$1:$I$89,3,0)*0.475*44/12</f>
        <v>11.309049727181169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21.587946079928265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10.4</v>
      </c>
      <c r="EJ66" s="12">
        <f>IF('Données projet'!$A$192&gt;35,EJ65+EI66-ER65,IF(A66&lt;'Données projet'!$A$192,$EG$205^A66,IF(A66='Données projet'!$A$192,'Données projet'!$B$192,EJ65+EI66-ER65)))</f>
        <v>273.20000000000005</v>
      </c>
      <c r="EK66" s="17">
        <f>EJ66*VLOOKUP('Données projet'!$B$15,Paramètres!$A$1:$I$89,3,0)*VLOOKUP('Données projet'!$B$15,Paramètres!$A$1:$I$89,5,0)</f>
        <v>234.40560000000008</v>
      </c>
      <c r="EL66" s="13">
        <f t="shared" si="45"/>
        <v>57.234220788626125</v>
      </c>
      <c r="EM66" s="20">
        <f t="shared" si="19"/>
        <v>507.93935454019061</v>
      </c>
      <c r="EN66" s="59">
        <f t="shared" si="20"/>
        <v>770.83569288359672</v>
      </c>
      <c r="EO66" s="59">
        <f ca="1">AVERAGE(OFFSET($EN$3,0,0,'Données projet'!$E$15+1,1))-AVERAGE(OFFSET($H$3,0,0,'Données projet'!$E$15+1,1))</f>
        <v>294.24530606293143</v>
      </c>
      <c r="EP66" s="59">
        <f t="shared" si="46"/>
        <v>275.88160405468193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42.165601871723759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42.165601871723759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1.1368683772161603E-13</v>
      </c>
      <c r="FF66" s="17">
        <f>FE66*VLOOKUP('Données projet'!$B$16,Paramètres!$A$1:$I$89,3,0)*VLOOKUP('Données projet'!$B$16,Paramètres!$A$1:$I$89,5,0)</f>
        <v>8.3355189417488869E-14</v>
      </c>
      <c r="FG66" s="13">
        <f t="shared" si="47"/>
        <v>1.2790518435140618E-12</v>
      </c>
      <c r="FH66" s="20">
        <f t="shared" si="22"/>
        <v>2.3728589156891171E-12</v>
      </c>
      <c r="FI66" s="59">
        <f t="shared" si="23"/>
        <v>262.8963383434085</v>
      </c>
      <c r="FJ66" s="59">
        <f ca="1">AVERAGE(OFFSET($FI$3,0,0,'Données projet'!$E$16+1,1))-AVERAGE(OFFSET($H$3,0,0,'Données projet'!$E$16+1,1))</f>
        <v>214.31585175697521</v>
      </c>
      <c r="FK66" s="59">
        <f t="shared" si="48"/>
        <v>244.60383864821372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92.816822076934216</v>
      </c>
      <c r="FR66" s="21">
        <f>EXP(-LN(2)/25)*FR65+(1-EXP(-LN(2)/25))/(LN(2)/25)*Calculateur!FM66*Calculateur!FO66*VLOOKUP('Données projet'!$B$16,Paramètres!$A$1:$I$89,3,0)*0.475*44/12</f>
        <v>0</v>
      </c>
      <c r="FS66" s="21">
        <f>EXP(-LN(2)/2)*FS65+(1-EXP(-LN(2)/2))/(LN(2)/2)*FM66*FP66*VLOOKUP('Données projet'!$B$16,Paramètres!$A$1:$I$89,3,0)*0.475*44/12</f>
        <v>0</v>
      </c>
      <c r="FT66" s="22">
        <f t="shared" si="24"/>
        <v>92.816822076934216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-5.6843418860808015E-14</v>
      </c>
      <c r="GA66" s="17">
        <f>FZ66*VLOOKUP('Données projet'!$B$17,Paramètres!$A$1:$I$89,3,0)*VLOOKUP('Données projet'!$B$17,Paramètres!$A$1:$I$89,5,0)</f>
        <v>-4.5224624045658861E-14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308.33954512886351</v>
      </c>
      <c r="GF66" s="59">
        <f t="shared" si="50"/>
        <v>408.79075392716277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128.51891630087789</v>
      </c>
      <c r="GM66" s="21">
        <f>EXP(-LN(2)/25)*GM65+(1-EXP(-LN(2)/25))/(LN(2)/25)*Calculateur!GH66*Calculateur!GJ66*VLOOKUP('Données projet'!$B$17,Paramètres!$A$1:$I$89,3,0)*0.475*44/12</f>
        <v>0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128.51891630087789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342.84342155097613</v>
      </c>
      <c r="T67" s="59">
        <f t="shared" si="34"/>
        <v>565.68976940602215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118.75645763867367</v>
      </c>
      <c r="AA67" s="21">
        <f>EXP(-LN(2)/25)*AA66+(1-EXP(-LN(2)/25))/(LN(2)/25)*Calculateur!V67*Calculateur!X67*VLOOKUP('Données projet'!$B$9,Paramètres!$A$1:$I$89,3,0)*0.475*44/12</f>
        <v>52.162576643038165</v>
      </c>
      <c r="AB67" s="21">
        <f>EXP(-LN(2)/2)*AB66+(1-EXP(-LN(2)/2))/(LN(2)/2)*V67*Y67*VLOOKUP('Données projet'!$B$9,Paramètres!$A$1:$I$89,3,0)*0.475*44/12</f>
        <v>5.7162331520245524E-2</v>
      </c>
      <c r="AC67" s="22">
        <f t="shared" si="3"/>
        <v>170.97619661323208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10.4</v>
      </c>
      <c r="AI67" s="13">
        <f>IF('Données projet'!$A$62&gt;35,AI66+AH67-AQ66,IF(A67&lt;'Données projet'!$A$62,$AF$205^A67,IF(A67='Données projet'!$A$62,'Données projet'!$B$62,AI66+AH67-AQ66)))</f>
        <v>283.60000000000002</v>
      </c>
      <c r="AJ67" s="13">
        <f>AI67*VLOOKUP('Données projet'!$B$10,Paramètres!$A$1:$I$89,3,0)*VLOOKUP('Données projet'!$B$10,Paramètres!$A$1:$I$89,5,0)</f>
        <v>269.87376</v>
      </c>
      <c r="AK67" s="13">
        <f t="shared" si="35"/>
        <v>64.822477244589948</v>
      </c>
      <c r="AL67" s="20">
        <f t="shared" si="4"/>
        <v>582.92927986766085</v>
      </c>
      <c r="AM67" s="59">
        <f t="shared" si="5"/>
        <v>846.35363202721555</v>
      </c>
      <c r="AN67" s="59">
        <f ca="1">AVERAGE(OFFSET($AM$3,0,0,'Données projet'!$E$10+1,1))-AVERAGE(OFFSET($H$3,0,0,'Données projet'!$E$10+1,1))</f>
        <v>320.33056209214476</v>
      </c>
      <c r="AO67" s="59">
        <f t="shared" si="36"/>
        <v>299.27200854723446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14.839278915737014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14.839278915737014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256.85706398254547</v>
      </c>
      <c r="BJ67" s="59">
        <f t="shared" si="38"/>
        <v>363.68094621014734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135.27662266325109</v>
      </c>
      <c r="BQ67" s="21">
        <f>EXP(-LN(2)/25)*BQ66+(1-EXP(-LN(2)/25))/(LN(2)/25)*Calculateur!BL67*Calculateur!BN67*VLOOKUP('Données projet'!$B$11,Paramètres!$A$1:$I$89,3,0)*0.475*44/12</f>
        <v>48.286210908450563</v>
      </c>
      <c r="BR67" s="21">
        <f>EXP(-LN(2)/2)*BR66+(1-EXP(-LN(2)/2))/(LN(2)/2)*BL67*BO67*VLOOKUP('Données projet'!$B$11,Paramètres!$A$1:$I$89,3,0)*0.475*44/12</f>
        <v>5.4106316403235288</v>
      </c>
      <c r="BS67" s="22">
        <f t="shared" si="9"/>
        <v>188.97346521202516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13.25</v>
      </c>
      <c r="BY67" s="12">
        <f>IF('Données projet'!$A$114&gt;35,BY66+BX67-CG66,IF(A67&lt;'Données projet'!$A$114,$BV$205^A67,IF(A67='Données projet'!$A$114,'Données projet'!$B$114,BY66+BX67-CG66)))</f>
        <v>185.5</v>
      </c>
      <c r="BZ67" s="13">
        <f>BY67*VLOOKUP('Données projet'!$B$12,Paramètres!$A$1:$I$89,3,0)*VLOOKUP('Données projet'!$B$12,Paramètres!$A$1:$I$89,5,0)</f>
        <v>167.84039999999999</v>
      </c>
      <c r="CA67" s="13">
        <f t="shared" si="39"/>
        <v>42.605985718279555</v>
      </c>
      <c r="CB67" s="20">
        <f t="shared" si="10"/>
        <v>366.52745512600353</v>
      </c>
      <c r="CC67" s="59">
        <f t="shared" si="11"/>
        <v>629.95180728555829</v>
      </c>
      <c r="CD67" s="59">
        <f ca="1">AVERAGE(OFFSET($CC$3,0,0,'Données projet'!$E$12+1,1))-AVERAGE(OFFSET($H$3,0,0,'Données projet'!$E$12+1,1))</f>
        <v>357.68828740212223</v>
      </c>
      <c r="CE67" s="59">
        <f t="shared" si="40"/>
        <v>236.76626845829483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8.9920821685706347</v>
      </c>
      <c r="CL67" s="21">
        <f>EXP(-LN(2)/25)*CL66+(1-EXP(-LN(2)/25))/(LN(2)/25)*Calculateur!CG67*Calculateur!CI67*VLOOKUP('Données projet'!$B$12,Paramètres!$A$1:$I$89,3,0)*0.475*44/12</f>
        <v>9.8152089803863181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18.807291148956953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257.00000000000006</v>
      </c>
      <c r="CU67" s="17">
        <f>CT67*VLOOKUP('Données projet'!$B$13,Paramètres!$A$1:$I$89,3,0)*VLOOKUP('Données projet'!$B$13,Paramètres!$A$1:$I$89,5,0)</f>
        <v>168.38640000000004</v>
      </c>
      <c r="CV67" s="13">
        <f t="shared" si="41"/>
        <v>42.728430513203243</v>
      </c>
      <c r="CW67" s="20">
        <f t="shared" si="13"/>
        <v>367.69166314382898</v>
      </c>
      <c r="CX67" s="59">
        <f t="shared" si="14"/>
        <v>631.11601530338373</v>
      </c>
      <c r="CY67" s="59">
        <f ca="1">AVERAGE(OFFSET($CX$3,0,0,'Données projet'!$E$13+1,1))-AVERAGE(OFFSET($H$3,0,0,'Données projet'!$E$13+1,1))</f>
        <v>220.18342986563667</v>
      </c>
      <c r="CZ67" s="59">
        <f t="shared" si="42"/>
        <v>347.84382145531163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7.8537222954905809E-5</v>
      </c>
      <c r="DI67" s="22">
        <f t="shared" si="15"/>
        <v>7.8537222954905809E-5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13.25</v>
      </c>
      <c r="DO67" s="12">
        <f>IF('Données projet'!$A$166&gt;35,DO66+DN67-DW66,IF(A67&lt;'Données projet'!$A$166,$DL$205^A67,IF(A67='Données projet'!$A$166,'Données projet'!$B$166,DO66+DN67-DW66)))</f>
        <v>185.5</v>
      </c>
      <c r="DP67" s="17">
        <f>DO67*VLOOKUP('Données projet'!$B$14,Paramètres!$A$1:$I$89,3,0)*VLOOKUP('Données projet'!$B$14,Paramètres!$A$1:$I$89,5,0)</f>
        <v>188.09700000000001</v>
      </c>
      <c r="DQ67" s="13">
        <f t="shared" si="43"/>
        <v>47.118980402138426</v>
      </c>
      <c r="DR67" s="20">
        <f t="shared" si="16"/>
        <v>409.66783253372438</v>
      </c>
      <c r="DS67" s="59">
        <f t="shared" si="17"/>
        <v>673.09218469327914</v>
      </c>
      <c r="DT67" s="59">
        <f ca="1">AVERAGE(OFFSET($DS$3,0,0,'Données projet'!$E$14+1,1))-AVERAGE(OFFSET($H$3,0,0,'Données projet'!$E$14+1,1))</f>
        <v>392.49465607243178</v>
      </c>
      <c r="DU67" s="59">
        <f t="shared" si="44"/>
        <v>258.031856676031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10.077333464777437</v>
      </c>
      <c r="EB67" s="21">
        <f>EXP(-LN(2)/25)*EB66+(1-EXP(-LN(2)/25))/(LN(2)/25)*Calculateur!DW67*Calculateur!DY67*VLOOKUP('Données projet'!$B$14,Paramètres!$A$1:$I$89,3,0)*0.475*44/12</f>
        <v>10.999803167674321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21.077136632451758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10.4</v>
      </c>
      <c r="EJ67" s="12">
        <f>IF('Données projet'!$A$192&gt;35,EJ66+EI67-ER66,IF(A67&lt;'Données projet'!$A$192,$EG$205^A67,IF(A67='Données projet'!$A$192,'Données projet'!$B$192,EJ66+EI67-ER66)))</f>
        <v>283.60000000000002</v>
      </c>
      <c r="EK67" s="17">
        <f>EJ67*VLOOKUP('Données projet'!$B$15,Paramètres!$A$1:$I$89,3,0)*VLOOKUP('Données projet'!$B$15,Paramètres!$A$1:$I$89,5,0)</f>
        <v>243.32880000000003</v>
      </c>
      <c r="EL67" s="13">
        <f t="shared" si="45"/>
        <v>59.155162833418565</v>
      </c>
      <c r="EM67" s="20">
        <f t="shared" si="19"/>
        <v>526.82623526820407</v>
      </c>
      <c r="EN67" s="59">
        <f t="shared" si="20"/>
        <v>790.25058742775877</v>
      </c>
      <c r="EO67" s="59">
        <f ca="1">AVERAGE(OFFSET($EN$3,0,0,'Données projet'!$E$15+1,1))-AVERAGE(OFFSET($H$3,0,0,'Données projet'!$E$15+1,1))</f>
        <v>294.24530606293143</v>
      </c>
      <c r="EP67" s="59">
        <f t="shared" si="46"/>
        <v>275.88160405468193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41.338760137496912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41.338760137496912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1.1368683772161603E-13</v>
      </c>
      <c r="FF67" s="17">
        <f>FE67*VLOOKUP('Données projet'!$B$16,Paramètres!$A$1:$I$89,3,0)*VLOOKUP('Données projet'!$B$16,Paramètres!$A$1:$I$89,5,0)</f>
        <v>8.3355189417488869E-14</v>
      </c>
      <c r="FG67" s="13">
        <f t="shared" si="47"/>
        <v>1.2790518435140618E-12</v>
      </c>
      <c r="FH67" s="20">
        <f t="shared" si="22"/>
        <v>2.3728589156891171E-12</v>
      </c>
      <c r="FI67" s="59">
        <f t="shared" si="23"/>
        <v>263.42435215955715</v>
      </c>
      <c r="FJ67" s="59">
        <f ca="1">AVERAGE(OFFSET($FI$3,0,0,'Données projet'!$E$16+1,1))-AVERAGE(OFFSET($H$3,0,0,'Données projet'!$E$16+1,1))</f>
        <v>214.31585175697521</v>
      </c>
      <c r="FK67" s="59">
        <f t="shared" si="48"/>
        <v>244.60383864821372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90.996740808676961</v>
      </c>
      <c r="FR67" s="21">
        <f>EXP(-LN(2)/25)*FR66+(1-EXP(-LN(2)/25))/(LN(2)/25)*Calculateur!FM67*Calculateur!FO67*VLOOKUP('Données projet'!$B$16,Paramètres!$A$1:$I$89,3,0)*0.475*44/12</f>
        <v>0</v>
      </c>
      <c r="FS67" s="21">
        <f>EXP(-LN(2)/2)*FS66+(1-EXP(-LN(2)/2))/(LN(2)/2)*FM67*FP67*VLOOKUP('Données projet'!$B$16,Paramètres!$A$1:$I$89,3,0)*0.475*44/12</f>
        <v>0</v>
      </c>
      <c r="FT67" s="22">
        <f t="shared" si="24"/>
        <v>90.996740808676961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-5.6843418860808015E-14</v>
      </c>
      <c r="GA67" s="17">
        <f>FZ67*VLOOKUP('Données projet'!$B$17,Paramètres!$A$1:$I$89,3,0)*VLOOKUP('Données projet'!$B$17,Paramètres!$A$1:$I$89,5,0)</f>
        <v>-4.5224624045658861E-14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308.33954512886351</v>
      </c>
      <c r="GF67" s="59">
        <f t="shared" si="50"/>
        <v>408.79075392716277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125.99873874101637</v>
      </c>
      <c r="GM67" s="21">
        <f>EXP(-LN(2)/25)*GM66+(1-EXP(-LN(2)/25))/(LN(2)/25)*Calculateur!GH67*Calculateur!GJ67*VLOOKUP('Données projet'!$B$17,Paramètres!$A$1:$I$89,3,0)*0.475*44/12</f>
        <v>0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125.99873874101637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342.84342155097613</v>
      </c>
      <c r="T68" s="59">
        <f t="shared" si="34"/>
        <v>565.68976940602215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116.42771593866614</v>
      </c>
      <c r="AA68" s="21">
        <f>EXP(-LN(2)/25)*AA67+(1-EXP(-LN(2)/25))/(LN(2)/25)*Calculateur!V68*Calculateur!X68*VLOOKUP('Données projet'!$B$9,Paramètres!$A$1:$I$89,3,0)*0.475*44/12</f>
        <v>50.736188241623601</v>
      </c>
      <c r="AB68" s="21">
        <f>EXP(-LN(2)/2)*AB67+(1-EXP(-LN(2)/2))/(LN(2)/2)*V68*Y68*VLOOKUP('Données projet'!$B$9,Paramètres!$A$1:$I$89,3,0)*0.475*44/12</f>
        <v>4.041987224639914E-2</v>
      </c>
      <c r="AC68" s="22">
        <f t="shared" ref="AC68:AC131" si="57">SUM(Z68:AB68)</f>
        <v>167.20432405253612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294</v>
      </c>
      <c r="AG68" s="12">
        <f>VLOOKUP(A68,'Données projet'!$A$61:$I$81,9,0)</f>
        <v>10.4</v>
      </c>
      <c r="AH68" s="12">
        <f t="array" ref="AH68">INDEX(AG:AG,MIN(IF(ISNUMBER(AG68:AG264),ROW(AG68:AG264),"")))</f>
        <v>10.4</v>
      </c>
      <c r="AI68" s="13">
        <f>IF('Données projet'!$A$62&gt;35,AI67+AH68-AQ67,IF(A68&lt;'Données projet'!$A$62,$AF$205^A68,IF(A68='Données projet'!$A$62,'Données projet'!$B$62,AI67+AH68-AQ67)))</f>
        <v>294</v>
      </c>
      <c r="AJ68" s="13">
        <f>AI68*VLOOKUP('Données projet'!$B$10,Paramètres!$A$1:$I$89,3,0)*VLOOKUP('Données projet'!$B$10,Paramètres!$A$1:$I$89,5,0)</f>
        <v>279.7704</v>
      </c>
      <c r="AK68" s="13">
        <f t="shared" si="35"/>
        <v>66.918485484562225</v>
      </c>
      <c r="AL68" s="20">
        <f t="shared" ref="AL68:AL131" si="58">(AJ68+AK68)*0.475*44/12</f>
        <v>603.81647555227914</v>
      </c>
      <c r="AM68" s="59">
        <f t="shared" ref="AM68:AM131" si="59">AL68+(AD68+AE68)*44/12</f>
        <v>867.7596816687344</v>
      </c>
      <c r="AN68" s="59">
        <f ca="1">AVERAGE(OFFSET($AM$3,0,0,'Données projet'!$E$10+1,1))-AVERAGE(OFFSET($H$3,0,0,'Données projet'!$E$10+1,1))</f>
        <v>320.33056209214476</v>
      </c>
      <c r="AO68" s="59">
        <f t="shared" si="36"/>
        <v>299.27200854723446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0.215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20.741396268181951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20.741396268181951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256.85706398254547</v>
      </c>
      <c r="BJ68" s="59">
        <f t="shared" si="38"/>
        <v>363.68094621014734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132.62393060341731</v>
      </c>
      <c r="BQ68" s="21">
        <f>EXP(-LN(2)/25)*BQ67+(1-EXP(-LN(2)/25))/(LN(2)/25)*Calculateur!BL68*Calculateur!BN68*VLOOKUP('Données projet'!$B$11,Paramètres!$A$1:$I$89,3,0)*0.475*44/12</f>
        <v>46.965821931897509</v>
      </c>
      <c r="BR68" s="21">
        <f>EXP(-LN(2)/2)*BR67+(1-EXP(-LN(2)/2))/(LN(2)/2)*BL68*BO68*VLOOKUP('Données projet'!$B$11,Paramètres!$A$1:$I$89,3,0)*0.475*44/12</f>
        <v>3.8258943233752603</v>
      </c>
      <c r="BS68" s="22">
        <f t="shared" ref="BS68:BS131" si="63">SUM(BP68:BR68)</f>
        <v>183.41564685869005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13.25</v>
      </c>
      <c r="BY68" s="12">
        <f>IF('Données projet'!$A$114&gt;35,BY67+BX68-CG67,IF(A68&lt;'Données projet'!$A$114,$BV$205^A68,IF(A68='Données projet'!$A$114,'Données projet'!$B$114,BY67+BX68-CG67)))</f>
        <v>198.75</v>
      </c>
      <c r="BZ68" s="13">
        <f>BY68*VLOOKUP('Données projet'!$B$12,Paramètres!$A$1:$I$89,3,0)*VLOOKUP('Données projet'!$B$12,Paramètres!$A$1:$I$89,5,0)</f>
        <v>179.82899999999998</v>
      </c>
      <c r="CA68" s="13">
        <f t="shared" si="39"/>
        <v>45.284139712835966</v>
      </c>
      <c r="CB68" s="20">
        <f t="shared" ref="CB68:CB131" si="64">(BZ68+CA68)*0.475*44/12</f>
        <v>392.07205166652261</v>
      </c>
      <c r="CC68" s="59">
        <f t="shared" ref="CC68:CC131" si="65">CB68+(BT68+BU68)*44/12</f>
        <v>656.01525778297787</v>
      </c>
      <c r="CD68" s="59">
        <f ca="1">AVERAGE(OFFSET($CC$3,0,0,'Données projet'!$E$12+1,1))-AVERAGE(OFFSET($H$3,0,0,'Données projet'!$E$12+1,1))</f>
        <v>357.68828740212223</v>
      </c>
      <c r="CE68" s="59">
        <f t="shared" si="40"/>
        <v>236.76626845829483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8.8157529218735249</v>
      </c>
      <c r="CL68" s="21">
        <f>EXP(-LN(2)/25)*CL67+(1-EXP(-LN(2)/25))/(LN(2)/25)*Calculateur!CG68*Calculateur!CI68*VLOOKUP('Données projet'!$B$12,Paramètres!$A$1:$I$89,3,0)*0.475*44/12</f>
        <v>9.5468115746582463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18.362564496531771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257.00000000000006</v>
      </c>
      <c r="CU68" s="17">
        <f>CT68*VLOOKUP('Données projet'!$B$13,Paramètres!$A$1:$I$89,3,0)*VLOOKUP('Données projet'!$B$13,Paramètres!$A$1:$I$89,5,0)</f>
        <v>168.38640000000004</v>
      </c>
      <c r="CV68" s="13">
        <f t="shared" si="41"/>
        <v>42.728430513203243</v>
      </c>
      <c r="CW68" s="20">
        <f t="shared" ref="CW68:CW131" si="67">(CU68+CV68)*0.475*44/12</f>
        <v>367.69166314382898</v>
      </c>
      <c r="CX68" s="59">
        <f t="shared" ref="CX68:CX131" si="68">CW68+(CO68+CP68)*44/12</f>
        <v>631.63486926028418</v>
      </c>
      <c r="CY68" s="59">
        <f ca="1">AVERAGE(OFFSET($CX$3,0,0,'Données projet'!$E$13+1,1))-AVERAGE(OFFSET($H$3,0,0,'Données projet'!$E$13+1,1))</f>
        <v>220.18342986563667</v>
      </c>
      <c r="CZ68" s="59">
        <f t="shared" si="42"/>
        <v>347.84382145531163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5.553420292697368E-5</v>
      </c>
      <c r="DI68" s="22">
        <f t="shared" ref="DI68:DI131" si="69">SUM(DF68:DH68)</f>
        <v>5.553420292697368E-5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13.25</v>
      </c>
      <c r="DO68" s="12">
        <f>IF('Données projet'!$A$166&gt;35,DO67+DN68-DW67,IF(A68&lt;'Données projet'!$A$166,$DL$205^A68,IF(A68='Données projet'!$A$166,'Données projet'!$B$166,DO67+DN68-DW67)))</f>
        <v>198.75</v>
      </c>
      <c r="DP68" s="17">
        <f>DO68*VLOOKUP('Données projet'!$B$14,Paramètres!$A$1:$I$89,3,0)*VLOOKUP('Données projet'!$B$14,Paramètres!$A$1:$I$89,5,0)</f>
        <v>201.5325</v>
      </c>
      <c r="DQ68" s="13">
        <f t="shared" si="43"/>
        <v>50.080815070577309</v>
      </c>
      <c r="DR68" s="20">
        <f t="shared" ref="DR68:DR131" si="70">(DP68+DQ68)*0.475*44/12</f>
        <v>438.2265237479221</v>
      </c>
      <c r="DS68" s="59">
        <f t="shared" ref="DS68:DS131" si="71">DR68+(DJ68+DK68)*44/12</f>
        <v>702.16972986437736</v>
      </c>
      <c r="DT68" s="59">
        <f ca="1">AVERAGE(OFFSET($DS$3,0,0,'Données projet'!$E$14+1,1))-AVERAGE(OFFSET($H$3,0,0,'Données projet'!$E$14+1,1))</f>
        <v>392.49465607243178</v>
      </c>
      <c r="DU68" s="59">
        <f t="shared" si="44"/>
        <v>258.031856676031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9.8797231020996428</v>
      </c>
      <c r="EB68" s="21">
        <f>EXP(-LN(2)/25)*EB67+(1-EXP(-LN(2)/25))/(LN(2)/25)*Calculateur!DW68*Calculateur!DY68*VLOOKUP('Données projet'!$B$14,Paramètres!$A$1:$I$89,3,0)*0.475*44/12</f>
        <v>10.699012971599759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20.578736073699403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>
        <f>VLOOKUP(A68,'Données projet'!$A$191:$I$211,2,0)</f>
        <v>294</v>
      </c>
      <c r="EH68" s="12">
        <f>VLOOKUP(A68,'Données projet'!$A$191:$I$211,9,0)</f>
        <v>10.4</v>
      </c>
      <c r="EI68" s="12">
        <f t="array" ref="EI68">INDEX(EH:EH,MIN(IF(ISNUMBER(EH68:EH264),ROW(EH68:EH264),"")))</f>
        <v>10.4</v>
      </c>
      <c r="EJ68" s="12">
        <f>IF('Données projet'!$A$192&gt;35,EJ67+EI68-ER67,IF(A68&lt;'Données projet'!$A$192,$EG$205^A68,IF(A68='Données projet'!$A$192,'Données projet'!$B$192,EJ67+EI68-ER67)))</f>
        <v>294</v>
      </c>
      <c r="EK68" s="17">
        <f>EJ68*VLOOKUP('Données projet'!$B$15,Paramètres!$A$1:$I$89,3,0)*VLOOKUP('Données projet'!$B$15,Paramètres!$A$1:$I$89,5,0)</f>
        <v>252.25200000000004</v>
      </c>
      <c r="EL68" s="13">
        <f t="shared" si="45"/>
        <v>61.067920784150822</v>
      </c>
      <c r="EM68" s="20">
        <f t="shared" ref="EM68:EM131" si="73">(EK68+EL68)*0.475*44/12</f>
        <v>545.69886203239605</v>
      </c>
      <c r="EN68" s="59">
        <f t="shared" ref="EN68:EN131" si="74">EM68+(EE68+EF68)*44/12</f>
        <v>809.64206814885119</v>
      </c>
      <c r="EO68" s="59">
        <f ca="1">AVERAGE(OFFSET($EN$3,0,0,'Données projet'!$E$15+1,1))-AVERAGE(OFFSET($H$3,0,0,'Données projet'!$E$15+1,1))</f>
        <v>294.24530606293143</v>
      </c>
      <c r="EP68" s="59">
        <f t="shared" si="46"/>
        <v>275.88160405468193</v>
      </c>
      <c r="EQ68" s="15">
        <f>IF(ISNA(VLOOKUP(A68,'Données projet'!$A$191:$I$211,3,0)),0,VLOOKUP(A68,'Données projet'!$A$191:$I$211,3,0))</f>
        <v>9</v>
      </c>
      <c r="ER68" s="15">
        <f>IF(ISNA(VLOOKUP(A68,'Données projet'!$A$191:$I$211,4,0)),0,VLOOKUP(A68,'Données projet'!$A$191:$I$211,4,0))</f>
        <v>28</v>
      </c>
      <c r="ES68" s="16">
        <f>IF(ISNA(VLOOKUP(A68,'Données projet'!$A$191:$I$211,5,0)),0%,VLOOKUP(A68,'Données projet'!$A$191:$I$211,5,0)*VLOOKUP('Données projet'!$B$15,Paramètres!$A$1:$I$89,7,0))</f>
        <v>0.42400000000000004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51.788648114064017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51.788648114064017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1.1368683772161603E-13</v>
      </c>
      <c r="FF68" s="17">
        <f>FE68*VLOOKUP('Données projet'!$B$16,Paramètres!$A$1:$I$89,3,0)*VLOOKUP('Données projet'!$B$16,Paramètres!$A$1:$I$89,5,0)</f>
        <v>8.3355189417488869E-14</v>
      </c>
      <c r="FG68" s="13">
        <f t="shared" si="47"/>
        <v>1.2790518435140618E-12</v>
      </c>
      <c r="FH68" s="20">
        <f t="shared" ref="FH68:FH131" si="76">(FF68+FG68)*0.475*44/12</f>
        <v>2.3728589156891171E-12</v>
      </c>
      <c r="FI68" s="59">
        <f t="shared" ref="FI68:FI131" si="77">FH68+(EZ68+FA68)*44/12</f>
        <v>263.94320611645759</v>
      </c>
      <c r="FJ68" s="59">
        <f ca="1">AVERAGE(OFFSET($FI$3,0,0,'Données projet'!$E$16+1,1))-AVERAGE(OFFSET($H$3,0,0,'Données projet'!$E$16+1,1))</f>
        <v>214.31585175697521</v>
      </c>
      <c r="FK68" s="59">
        <f t="shared" si="48"/>
        <v>244.60383864821372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89.212350223950281</v>
      </c>
      <c r="FR68" s="21">
        <f>EXP(-LN(2)/25)*FR67+(1-EXP(-LN(2)/25))/(LN(2)/25)*Calculateur!FM68*Calculateur!FO68*VLOOKUP('Données projet'!$B$16,Paramètres!$A$1:$I$89,3,0)*0.475*44/12</f>
        <v>0</v>
      </c>
      <c r="FS68" s="21">
        <f>EXP(-LN(2)/2)*FS67+(1-EXP(-LN(2)/2))/(LN(2)/2)*FM68*FP68*VLOOKUP('Données projet'!$B$16,Paramètres!$A$1:$I$89,3,0)*0.475*44/12</f>
        <v>0</v>
      </c>
      <c r="FT68" s="22">
        <f t="shared" ref="FT68:FT131" si="78">SUM(FQ68:FS68)</f>
        <v>89.212350223950281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-5.6843418860808015E-14</v>
      </c>
      <c r="GA68" s="17">
        <f>FZ68*VLOOKUP('Données projet'!$B$17,Paramètres!$A$1:$I$89,3,0)*VLOOKUP('Données projet'!$B$17,Paramètres!$A$1:$I$89,5,0)</f>
        <v>-4.5224624045658861E-14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308.33954512886351</v>
      </c>
      <c r="GF68" s="59">
        <f t="shared" si="50"/>
        <v>408.79075392716277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123.5279803259472</v>
      </c>
      <c r="GM68" s="21">
        <f>EXP(-LN(2)/25)*GM67+(1-EXP(-LN(2)/25))/(LN(2)/25)*Calculateur!GH68*Calculateur!GJ68*VLOOKUP('Données projet'!$B$17,Paramètres!$A$1:$I$89,3,0)*0.475*44/12</f>
        <v>0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123.5279803259472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342.84342155097613</v>
      </c>
      <c r="T69" s="59">
        <f t="shared" ref="T69:T132" si="88">$T$3</f>
        <v>565.68976940602215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114.14463944300358</v>
      </c>
      <c r="AA69" s="21">
        <f>EXP(-LN(2)/25)*AA68+(1-EXP(-LN(2)/25))/(LN(2)/25)*Calculateur!V69*Calculateur!X69*VLOOKUP('Données projet'!$B$9,Paramètres!$A$1:$I$89,3,0)*0.475*44/12</f>
        <v>49.348804506056226</v>
      </c>
      <c r="AB69" s="21">
        <f>EXP(-LN(2)/2)*AB68+(1-EXP(-LN(2)/2))/(LN(2)/2)*V69*Y69*VLOOKUP('Données projet'!$B$9,Paramètres!$A$1:$I$89,3,0)*0.475*44/12</f>
        <v>2.8581165760122762E-2</v>
      </c>
      <c r="AC69" s="22">
        <f t="shared" si="57"/>
        <v>163.52202511481994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10</v>
      </c>
      <c r="AI69" s="13">
        <f>IF('Données projet'!$A$62&gt;35,AI68+AH69-AQ68,IF(A69&lt;'Données projet'!$A$62,$AF$205^A69,IF(A69='Données projet'!$A$62,'Données projet'!$B$62,AI68+AH69-AQ68)))</f>
        <v>276</v>
      </c>
      <c r="AJ69" s="13">
        <f>AI69*VLOOKUP('Données projet'!$B$10,Paramètres!$A$1:$I$89,3,0)*VLOOKUP('Données projet'!$B$10,Paramètres!$A$1:$I$89,5,0)</f>
        <v>262.64159999999998</v>
      </c>
      <c r="AK69" s="13">
        <f t="shared" ref="AK69:AK132" si="89">EXP(-1.0587+0.8836*LN(AJ69)+0.284)</f>
        <v>63.285128621471941</v>
      </c>
      <c r="AL69" s="20">
        <f t="shared" si="58"/>
        <v>567.65571901573026</v>
      </c>
      <c r="AM69" s="59">
        <f t="shared" si="59"/>
        <v>832.10877813291734</v>
      </c>
      <c r="AN69" s="59">
        <f ca="1">AVERAGE(OFFSET($AM$3,0,0,'Données projet'!$E$10+1,1))-AVERAGE(OFFSET($H$3,0,0,'Données projet'!$E$10+1,1))</f>
        <v>320.33056209214476</v>
      </c>
      <c r="AO69" s="59">
        <f t="shared" ref="AO69:AO132" si="90">$AO$3</f>
        <v>299.27200854723446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20.17422169648589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20.17422169648589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256.85706398254547</v>
      </c>
      <c r="BJ69" s="59">
        <f t="shared" ref="BJ69:BJ132" si="92">$BJ$3</f>
        <v>363.68094621014734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130.02325621689448</v>
      </c>
      <c r="BQ69" s="21">
        <f>EXP(-LN(2)/25)*BQ68+(1-EXP(-LN(2)/25))/(LN(2)/25)*Calculateur!BL69*Calculateur!BN69*VLOOKUP('Données projet'!$B$11,Paramètres!$A$1:$I$89,3,0)*0.475*44/12</f>
        <v>45.681539061344537</v>
      </c>
      <c r="BR69" s="21">
        <f>EXP(-LN(2)/2)*BR68+(1-EXP(-LN(2)/2))/(LN(2)/2)*BL69*BO69*VLOOKUP('Données projet'!$B$11,Paramètres!$A$1:$I$89,3,0)*0.475*44/12</f>
        <v>2.7053158201617644</v>
      </c>
      <c r="BS69" s="22">
        <f t="shared" si="63"/>
        <v>178.41011109840079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212</v>
      </c>
      <c r="BW69" s="12">
        <f>VLOOKUP(A69,'Données projet'!$A$113:$I$133,9,0)</f>
        <v>13.25</v>
      </c>
      <c r="BX69" s="12">
        <f t="array" ref="BX69">INDEX(BW:BW,MIN(IF(ISNUMBER(BW69:BW265),ROW(BW69:BW265),"")))</f>
        <v>13.25</v>
      </c>
      <c r="BY69" s="12">
        <f>IF('Données projet'!$A$114&gt;35,BY68+BX69-CG68,IF(A69&lt;'Données projet'!$A$114,$BV$205^A69,IF(A69='Données projet'!$A$114,'Données projet'!$B$114,BY68+BX69-CG68)))</f>
        <v>212</v>
      </c>
      <c r="BZ69" s="13">
        <f>BY69*VLOOKUP('Données projet'!$B$12,Paramètres!$A$1:$I$89,3,0)*VLOOKUP('Données projet'!$B$12,Paramètres!$A$1:$I$89,5,0)</f>
        <v>191.8176</v>
      </c>
      <c r="CA69" s="13">
        <f t="shared" ref="CA69:CA132" si="93">EXP(-1.0587+0.8836*LN(BZ69)+0.284)</f>
        <v>47.941575465657095</v>
      </c>
      <c r="CB69" s="20">
        <f t="shared" si="64"/>
        <v>417.58056393601947</v>
      </c>
      <c r="CC69" s="59">
        <f t="shared" si="65"/>
        <v>682.03362305320661</v>
      </c>
      <c r="CD69" s="59">
        <f ca="1">AVERAGE(OFFSET($CC$3,0,0,'Données projet'!$E$12+1,1))-AVERAGE(OFFSET($H$3,0,0,'Données projet'!$E$12+1,1))</f>
        <v>357.68828740212223</v>
      </c>
      <c r="CE69" s="59">
        <f t="shared" ref="CE69:CE132" si="94">$CE$3</f>
        <v>236.76626845829483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39</v>
      </c>
      <c r="CH69" s="16">
        <f>IF(ISNA(VLOOKUP(A69,'Données projet'!$A$113:$I$133,5,0)),0%,VLOOKUP(A69,'Données projet'!$A$113:$I$133,5,0)*VLOOKUP('Données projet'!$B$12,Paramètres!$A$1:$I$89,7,0))</f>
        <v>0.129</v>
      </c>
      <c r="CI69" s="16">
        <f>IF(ISNA(VLOOKUP(A69,'Données projet'!$A$113:$I$133,6,0)),0%,VLOOKUP(A69,'Données projet'!$A$113:$I$133,6,0)*VLOOKUP('Données projet'!$B$12,Paramètres!$A$1:$I$89,7,0))</f>
        <v>0.17200000000000001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13.675036498742436</v>
      </c>
      <c r="CL69" s="21">
        <f>EXP(-LN(2)/25)*CL68+(1-EXP(-LN(2)/25))/(LN(2)/25)*Calculateur!CG69*Calculateur!CI69*VLOOKUP('Données projet'!$B$12,Paramètres!$A$1:$I$89,3,0)*0.475*44/12</f>
        <v>15.968875646772155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29.643912145514591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257.00000000000006</v>
      </c>
      <c r="CU69" s="17">
        <f>CT69*VLOOKUP('Données projet'!$B$13,Paramètres!$A$1:$I$89,3,0)*VLOOKUP('Données projet'!$B$13,Paramètres!$A$1:$I$89,5,0)</f>
        <v>168.38640000000004</v>
      </c>
      <c r="CV69" s="13">
        <f t="shared" ref="CV69:CV132" si="95">EXP(-1.0587+0.8836*LN(CU69)+0.284)</f>
        <v>42.728430513203243</v>
      </c>
      <c r="CW69" s="20">
        <f t="shared" si="67"/>
        <v>367.69166314382898</v>
      </c>
      <c r="CX69" s="59">
        <f t="shared" si="68"/>
        <v>632.14472226101611</v>
      </c>
      <c r="CY69" s="59">
        <f ca="1">AVERAGE(OFFSET($CX$3,0,0,'Données projet'!$E$13+1,1))-AVERAGE(OFFSET($H$3,0,0,'Données projet'!$E$13+1,1))</f>
        <v>220.18342986563667</v>
      </c>
      <c r="CZ69" s="59">
        <f t="shared" ref="CZ69:CZ132" si="96">$CZ$3</f>
        <v>347.84382145531163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3.9268611477452905E-5</v>
      </c>
      <c r="DI69" s="22">
        <f t="shared" si="69"/>
        <v>3.9268611477452905E-5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>
        <f>VLOOKUP(A69,'Données projet'!$A$165:$I$185,2,0)</f>
        <v>212</v>
      </c>
      <c r="DM69" s="12">
        <f>VLOOKUP(A69,'Données projet'!$A$165:$I$185,9,0)</f>
        <v>13.25</v>
      </c>
      <c r="DN69" s="12">
        <f t="array" ref="DN69">INDEX(DM:DM,MIN(IF(ISNUMBER(DM69:DM265),ROW(DM69:DM265),"")))</f>
        <v>13.25</v>
      </c>
      <c r="DO69" s="12">
        <f>IF('Données projet'!$A$166&gt;35,DO68+DN69-DW68,IF(A69&lt;'Données projet'!$A$166,$DL$205^A69,IF(A69='Données projet'!$A$166,'Données projet'!$B$166,DO68+DN69-DW68)))</f>
        <v>212</v>
      </c>
      <c r="DP69" s="17">
        <f>DO69*VLOOKUP('Données projet'!$B$14,Paramètres!$A$1:$I$89,3,0)*VLOOKUP('Données projet'!$B$14,Paramètres!$A$1:$I$89,5,0)</f>
        <v>214.96800000000002</v>
      </c>
      <c r="DQ69" s="13">
        <f t="shared" ref="DQ69:DQ132" si="97">EXP(-1.0587+0.8836*LN(DP69)+0.284)</f>
        <v>53.019736939093043</v>
      </c>
      <c r="DR69" s="20">
        <f t="shared" si="70"/>
        <v>466.74530850225375</v>
      </c>
      <c r="DS69" s="59">
        <f t="shared" si="71"/>
        <v>731.19836761944089</v>
      </c>
      <c r="DT69" s="59">
        <f ca="1">AVERAGE(OFFSET($DS$3,0,0,'Données projet'!$E$14+1,1))-AVERAGE(OFFSET($H$3,0,0,'Données projet'!$E$14+1,1))</f>
        <v>392.49465607243178</v>
      </c>
      <c r="DU69" s="59">
        <f t="shared" ref="DU69:DU132" si="98">$DU$3</f>
        <v>258.031856676031</v>
      </c>
      <c r="DV69" s="15">
        <f>IF(ISNA(VLOOKUP(A69,'Données projet'!$A$165:$I$185,3,0)),0,VLOOKUP(A69,'Données projet'!$A$165:$I$185,3,0))</f>
        <v>4</v>
      </c>
      <c r="DW69" s="15">
        <f>IF(ISNA(VLOOKUP(A69,'Données projet'!$A$165:$I$185,4,0)),0,VLOOKUP(A69,'Données projet'!$A$165:$I$185,4,0))</f>
        <v>39</v>
      </c>
      <c r="DX69" s="16">
        <f>IF(ISNA(VLOOKUP(A69,'Données projet'!$A$165:$I$185,5,0)),0%,VLOOKUP(A69,'Données projet'!$A$165:$I$185,5,0)*VLOOKUP('Données projet'!$B$14,Paramètres!$A$1:$I$89,7,0))</f>
        <v>0.129</v>
      </c>
      <c r="DY69" s="16">
        <f>IF(ISNA(VLOOKUP(A69,'Données projet'!$A$165:$I$185,6,0)),0%,VLOOKUP(A69,'Données projet'!$A$165:$I$185,6,0)*VLOOKUP('Données projet'!$B$14,Paramètres!$A$1:$I$89,7,0))</f>
        <v>0.17200000000000001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15.325471938245837</v>
      </c>
      <c r="EB69" s="21">
        <f>EXP(-LN(2)/25)*EB68+(1-EXP(-LN(2)/25))/(LN(2)/25)*Calculateur!DW69*Calculateur!DY69*VLOOKUP('Données projet'!$B$14,Paramètres!$A$1:$I$89,3,0)*0.475*44/12</f>
        <v>17.896153742072244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33.221625680318084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10</v>
      </c>
      <c r="EJ69" s="12">
        <f>IF('Données projet'!$A$192&gt;35,EJ68+EI69-ER68,IF(A69&lt;'Données projet'!$A$192,$EG$205^A69,IF(A69='Données projet'!$A$192,'Données projet'!$B$192,EJ68+EI69-ER68)))</f>
        <v>276</v>
      </c>
      <c r="EK69" s="17">
        <f>EJ69*VLOOKUP('Données projet'!$B$15,Paramètres!$A$1:$I$89,3,0)*VLOOKUP('Données projet'!$B$15,Paramètres!$A$1:$I$89,5,0)</f>
        <v>236.80800000000002</v>
      </c>
      <c r="EL69" s="13">
        <f t="shared" ref="EL69:EL132" si="99">EXP(-1.0587+0.8836*LN(EK69)+0.284)</f>
        <v>57.752221878398714</v>
      </c>
      <c r="EM69" s="20">
        <f t="shared" si="73"/>
        <v>513.02571977154446</v>
      </c>
      <c r="EN69" s="59">
        <f t="shared" si="74"/>
        <v>777.47877888873154</v>
      </c>
      <c r="EO69" s="59">
        <f ca="1">AVERAGE(OFFSET($EN$3,0,0,'Données projet'!$E$15+1,1))-AVERAGE(OFFSET($H$3,0,0,'Données projet'!$E$15+1,1))</f>
        <v>294.24530606293143</v>
      </c>
      <c r="EP69" s="59">
        <f t="shared" ref="EP69:EP132" si="100">$EP$3</f>
        <v>275.88160405468193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50.77310431250352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50.77310431250352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1.1368683772161603E-13</v>
      </c>
      <c r="FF69" s="17">
        <f>FE69*VLOOKUP('Données projet'!$B$16,Paramètres!$A$1:$I$89,3,0)*VLOOKUP('Données projet'!$B$16,Paramètres!$A$1:$I$89,5,0)</f>
        <v>8.3355189417488869E-14</v>
      </c>
      <c r="FG69" s="13">
        <f t="shared" ref="FG69:FG132" si="101">EXP(-1.0587+0.8836*LN(FF69)+0.284)</f>
        <v>1.2790518435140618E-12</v>
      </c>
      <c r="FH69" s="20">
        <f t="shared" si="76"/>
        <v>2.3728589156891171E-12</v>
      </c>
      <c r="FI69" s="59">
        <f t="shared" si="77"/>
        <v>264.45305911718947</v>
      </c>
      <c r="FJ69" s="59">
        <f ca="1">AVERAGE(OFFSET($FI$3,0,0,'Données projet'!$E$16+1,1))-AVERAGE(OFFSET($H$3,0,0,'Données projet'!$E$16+1,1))</f>
        <v>214.31585175697521</v>
      </c>
      <c r="FK69" s="59">
        <f t="shared" ref="FK69:FK132" si="102">$FK$3</f>
        <v>244.60383864821372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87.462950450219296</v>
      </c>
      <c r="FR69" s="21">
        <f>EXP(-LN(2)/25)*FR68+(1-EXP(-LN(2)/25))/(LN(2)/25)*Calculateur!FM69*Calculateur!FO69*VLOOKUP('Données projet'!$B$16,Paramètres!$A$1:$I$89,3,0)*0.475*44/12</f>
        <v>0</v>
      </c>
      <c r="FS69" s="21">
        <f>EXP(-LN(2)/2)*FS68+(1-EXP(-LN(2)/2))/(LN(2)/2)*FM69*FP69*VLOOKUP('Données projet'!$B$16,Paramètres!$A$1:$I$89,3,0)*0.475*44/12</f>
        <v>0</v>
      </c>
      <c r="FT69" s="22">
        <f t="shared" si="78"/>
        <v>87.462950450219296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-5.6843418860808015E-14</v>
      </c>
      <c r="GA69" s="17">
        <f>FZ69*VLOOKUP('Données projet'!$B$17,Paramètres!$A$1:$I$89,3,0)*VLOOKUP('Données projet'!$B$17,Paramètres!$A$1:$I$89,5,0)</f>
        <v>-4.5224624045658861E-14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308.33954512886351</v>
      </c>
      <c r="GF69" s="59">
        <f t="shared" ref="GF69:GF132" si="104">$GF$3</f>
        <v>408.79075392716277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121.1056719763837</v>
      </c>
      <c r="GM69" s="21">
        <f>EXP(-LN(2)/25)*GM68+(1-EXP(-LN(2)/25))/(LN(2)/25)*Calculateur!GH69*Calculateur!GJ69*VLOOKUP('Données projet'!$B$17,Paramètres!$A$1:$I$89,3,0)*0.475*44/12</f>
        <v>0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121.1056719763837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342.84342155097613</v>
      </c>
      <c r="T70" s="59">
        <f t="shared" si="88"/>
        <v>565.68976940602215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111.9063326848818</v>
      </c>
      <c r="AA70" s="21">
        <f>EXP(-LN(2)/25)*AA69+(1-EXP(-LN(2)/25))/(LN(2)/25)*Calculateur!V70*Calculateur!X70*VLOOKUP('Données projet'!$B$9,Paramètres!$A$1:$I$89,3,0)*0.475*44/12</f>
        <v>47.999358851697281</v>
      </c>
      <c r="AB70" s="21">
        <f>EXP(-LN(2)/2)*AB69+(1-EXP(-LN(2)/2))/(LN(2)/2)*V70*Y70*VLOOKUP('Données projet'!$B$9,Paramètres!$A$1:$I$89,3,0)*0.475*44/12</f>
        <v>2.020993612319957E-2</v>
      </c>
      <c r="AC70" s="22">
        <f t="shared" si="57"/>
        <v>159.92590147270226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10</v>
      </c>
      <c r="AI70" s="13">
        <f>IF('Données projet'!$A$62&gt;35,AI69+AH70-AQ69,IF(A70&lt;'Données projet'!$A$62,$AF$205^A70,IF(A70='Données projet'!$A$62,'Données projet'!$B$62,AI69+AH70-AQ69)))</f>
        <v>286</v>
      </c>
      <c r="AJ70" s="13">
        <f>AI70*VLOOKUP('Données projet'!$B$10,Paramètres!$A$1:$I$89,3,0)*VLOOKUP('Données projet'!$B$10,Paramètres!$A$1:$I$89,5,0)</f>
        <v>272.1576</v>
      </c>
      <c r="AK70" s="13">
        <f t="shared" si="89"/>
        <v>65.306954132597255</v>
      </c>
      <c r="AL70" s="20">
        <f t="shared" si="58"/>
        <v>587.75076511427346</v>
      </c>
      <c r="AM70" s="59">
        <f t="shared" si="59"/>
        <v>852.70483242249043</v>
      </c>
      <c r="AN70" s="59">
        <f ca="1">AVERAGE(OFFSET($AM$3,0,0,'Données projet'!$E$10+1,1))-AVERAGE(OFFSET($H$3,0,0,'Données projet'!$E$10+1,1))</f>
        <v>320.33056209214476</v>
      </c>
      <c r="AO70" s="59">
        <f t="shared" si="90"/>
        <v>299.27200854723446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19.622556543279273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19.622556543279273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256.85706398254547</v>
      </c>
      <c r="BJ70" s="59">
        <f t="shared" si="92"/>
        <v>363.68094621014734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127.47357946883662</v>
      </c>
      <c r="BQ70" s="21">
        <f>EXP(-LN(2)/25)*BQ69+(1-EXP(-LN(2)/25))/(LN(2)/25)*Calculateur!BL70*Calculateur!BN70*VLOOKUP('Données projet'!$B$11,Paramètres!$A$1:$I$89,3,0)*0.475*44/12</f>
        <v>44.432374973424338</v>
      </c>
      <c r="BR70" s="21">
        <f>EXP(-LN(2)/2)*BR69+(1-EXP(-LN(2)/2))/(LN(2)/2)*BL70*BO70*VLOOKUP('Données projet'!$B$11,Paramètres!$A$1:$I$89,3,0)*0.475*44/12</f>
        <v>1.9129471616876301</v>
      </c>
      <c r="BS70" s="22">
        <f t="shared" si="63"/>
        <v>173.8189016039486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7.7777777777777777</v>
      </c>
      <c r="BY70" s="12">
        <f>IF('Données projet'!$A$114&gt;35,BY69+BX70-CG69,IF(A70&lt;'Données projet'!$A$114,$BV$205^A70,IF(A70='Données projet'!$A$114,'Données projet'!$B$114,BY69+BX70-CG69)))</f>
        <v>180.77777777777777</v>
      </c>
      <c r="BZ70" s="13">
        <f>BY70*VLOOKUP('Données projet'!$B$12,Paramètres!$A$1:$I$89,3,0)*VLOOKUP('Données projet'!$B$12,Paramètres!$A$1:$I$89,5,0)</f>
        <v>163.56773333333331</v>
      </c>
      <c r="CA70" s="13">
        <f t="shared" si="93"/>
        <v>41.646191857954598</v>
      </c>
      <c r="CB70" s="20">
        <f t="shared" si="64"/>
        <v>357.41425304149305</v>
      </c>
      <c r="CC70" s="59">
        <f t="shared" si="65"/>
        <v>622.36832034970996</v>
      </c>
      <c r="CD70" s="59">
        <f ca="1">AVERAGE(OFFSET($CC$3,0,0,'Données projet'!$E$12+1,1))-AVERAGE(OFFSET($H$3,0,0,'Données projet'!$E$12+1,1))</f>
        <v>357.68828740212223</v>
      </c>
      <c r="CE70" s="59">
        <f t="shared" si="94"/>
        <v>236.76626845829483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13.406877373950762</v>
      </c>
      <c r="CL70" s="21">
        <f>EXP(-LN(2)/25)*CL69+(1-EXP(-LN(2)/25))/(LN(2)/25)*Calculateur!CG70*Calculateur!CI70*VLOOKUP('Données projet'!$B$12,Paramètres!$A$1:$I$89,3,0)*0.475*44/12</f>
        <v>15.532205902444497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28.939083276395259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257.00000000000006</v>
      </c>
      <c r="CU70" s="17">
        <f>CT70*VLOOKUP('Données projet'!$B$13,Paramètres!$A$1:$I$89,3,0)*VLOOKUP('Données projet'!$B$13,Paramètres!$A$1:$I$89,5,0)</f>
        <v>168.38640000000004</v>
      </c>
      <c r="CV70" s="13">
        <f t="shared" si="95"/>
        <v>42.728430513203243</v>
      </c>
      <c r="CW70" s="20">
        <f t="shared" si="67"/>
        <v>367.69166314382898</v>
      </c>
      <c r="CX70" s="59">
        <f t="shared" si="68"/>
        <v>632.64573045204588</v>
      </c>
      <c r="CY70" s="59">
        <f ca="1">AVERAGE(OFFSET($CX$3,0,0,'Données projet'!$E$13+1,1))-AVERAGE(OFFSET($H$3,0,0,'Données projet'!$E$13+1,1))</f>
        <v>220.18342986563667</v>
      </c>
      <c r="CZ70" s="59">
        <f t="shared" si="96"/>
        <v>347.84382145531163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2.776710146348684E-5</v>
      </c>
      <c r="DI70" s="22">
        <f t="shared" si="69"/>
        <v>2.776710146348684E-5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7.7777777777777777</v>
      </c>
      <c r="DO70" s="12">
        <f>IF('Données projet'!$A$166&gt;35,DO69+DN70-DW69,IF(A70&lt;'Données projet'!$A$166,$DL$205^A70,IF(A70='Données projet'!$A$166,'Données projet'!$B$166,DO69+DN70-DW69)))</f>
        <v>180.77777777777777</v>
      </c>
      <c r="DP70" s="17">
        <f>DO70*VLOOKUP('Données projet'!$B$14,Paramètres!$A$1:$I$89,3,0)*VLOOKUP('Données projet'!$B$14,Paramètres!$A$1:$I$89,5,0)</f>
        <v>183.30866666666668</v>
      </c>
      <c r="DQ70" s="13">
        <f t="shared" si="97"/>
        <v>46.057521376315599</v>
      </c>
      <c r="DR70" s="20">
        <f t="shared" si="70"/>
        <v>399.47944417486082</v>
      </c>
      <c r="DS70" s="59">
        <f t="shared" si="71"/>
        <v>664.43351148307772</v>
      </c>
      <c r="DT70" s="59">
        <f ca="1">AVERAGE(OFFSET($DS$3,0,0,'Données projet'!$E$14+1,1))-AVERAGE(OFFSET($H$3,0,0,'Données projet'!$E$14+1,1))</f>
        <v>392.49465607243178</v>
      </c>
      <c r="DU70" s="59">
        <f t="shared" si="98"/>
        <v>258.031856676031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15.024948781151718</v>
      </c>
      <c r="EB70" s="21">
        <f>EXP(-LN(2)/25)*EB69+(1-EXP(-LN(2)/25))/(LN(2)/25)*Calculateur!DW70*Calculateur!DY70*VLOOKUP('Données projet'!$B$14,Paramètres!$A$1:$I$89,3,0)*0.475*44/12</f>
        <v>17.406782476877456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32.431731258029174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10</v>
      </c>
      <c r="EJ70" s="12">
        <f>IF('Données projet'!$A$192&gt;35,EJ69+EI70-ER69,IF(A70&lt;'Données projet'!$A$192,$EG$205^A70,IF(A70='Données projet'!$A$192,'Données projet'!$B$192,EJ69+EI70-ER69)))</f>
        <v>286</v>
      </c>
      <c r="EK70" s="17">
        <f>EJ70*VLOOKUP('Données projet'!$B$15,Paramètres!$A$1:$I$89,3,0)*VLOOKUP('Données projet'!$B$15,Paramètres!$A$1:$I$89,5,0)</f>
        <v>245.38800000000003</v>
      </c>
      <c r="EL70" s="13">
        <f t="shared" si="99"/>
        <v>59.597282764919569</v>
      </c>
      <c r="EM70" s="20">
        <f t="shared" si="73"/>
        <v>531.18270081556818</v>
      </c>
      <c r="EN70" s="59">
        <f t="shared" si="74"/>
        <v>796.13676812378503</v>
      </c>
      <c r="EO70" s="59">
        <f ca="1">AVERAGE(OFFSET($EN$3,0,0,'Données projet'!$E$15+1,1))-AVERAGE(OFFSET($H$3,0,0,'Données projet'!$E$15+1,1))</f>
        <v>294.24530606293143</v>
      </c>
      <c r="EP70" s="59">
        <f t="shared" si="100"/>
        <v>275.88160405468193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49.777474705471064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49.777474705471064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1.1368683772161603E-13</v>
      </c>
      <c r="FF70" s="17">
        <f>FE70*VLOOKUP('Données projet'!$B$16,Paramètres!$A$1:$I$89,3,0)*VLOOKUP('Données projet'!$B$16,Paramètres!$A$1:$I$89,5,0)</f>
        <v>8.3355189417488869E-14</v>
      </c>
      <c r="FG70" s="13">
        <f t="shared" si="101"/>
        <v>1.2790518435140618E-12</v>
      </c>
      <c r="FH70" s="20">
        <f t="shared" si="76"/>
        <v>2.3728589156891171E-12</v>
      </c>
      <c r="FI70" s="59">
        <f t="shared" si="77"/>
        <v>264.95406730821929</v>
      </c>
      <c r="FJ70" s="59">
        <f ca="1">AVERAGE(OFFSET($FI$3,0,0,'Données projet'!$E$16+1,1))-AVERAGE(OFFSET($H$3,0,0,'Données projet'!$E$16+1,1))</f>
        <v>214.31585175697521</v>
      </c>
      <c r="FK70" s="59">
        <f t="shared" si="102"/>
        <v>244.60383864821372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85.747855339022678</v>
      </c>
      <c r="FR70" s="21">
        <f>EXP(-LN(2)/25)*FR69+(1-EXP(-LN(2)/25))/(LN(2)/25)*Calculateur!FM70*Calculateur!FO70*VLOOKUP('Données projet'!$B$16,Paramètres!$A$1:$I$89,3,0)*0.475*44/12</f>
        <v>0</v>
      </c>
      <c r="FS70" s="21">
        <f>EXP(-LN(2)/2)*FS69+(1-EXP(-LN(2)/2))/(LN(2)/2)*FM70*FP70*VLOOKUP('Données projet'!$B$16,Paramètres!$A$1:$I$89,3,0)*0.475*44/12</f>
        <v>0</v>
      </c>
      <c r="FT70" s="22">
        <f t="shared" si="78"/>
        <v>85.747855339022678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-5.6843418860808015E-14</v>
      </c>
      <c r="GA70" s="17">
        <f>FZ70*VLOOKUP('Données projet'!$B$17,Paramètres!$A$1:$I$89,3,0)*VLOOKUP('Données projet'!$B$17,Paramètres!$A$1:$I$89,5,0)</f>
        <v>-4.5224624045658861E-14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308.33954512886351</v>
      </c>
      <c r="GF70" s="59">
        <f t="shared" si="104"/>
        <v>408.79075392716277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118.73086361609295</v>
      </c>
      <c r="GM70" s="21">
        <f>EXP(-LN(2)/25)*GM69+(1-EXP(-LN(2)/25))/(LN(2)/25)*Calculateur!GH70*Calculateur!GJ70*VLOOKUP('Données projet'!$B$17,Paramètres!$A$1:$I$89,3,0)*0.475*44/12</f>
        <v>0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118.73086361609295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342.84342155097613</v>
      </c>
      <c r="T71" s="59">
        <f t="shared" si="88"/>
        <v>565.68976940602215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109.71191775705448</v>
      </c>
      <c r="AA71" s="21">
        <f>EXP(-LN(2)/25)*AA70+(1-EXP(-LN(2)/25))/(LN(2)/25)*Calculateur!V71*Calculateur!X71*VLOOKUP('Données projet'!$B$9,Paramètres!$A$1:$I$89,3,0)*0.475*44/12</f>
        <v>46.686813859721042</v>
      </c>
      <c r="AB71" s="21">
        <f>EXP(-LN(2)/2)*AB70+(1-EXP(-LN(2)/2))/(LN(2)/2)*V71*Y71*VLOOKUP('Données projet'!$B$9,Paramètres!$A$1:$I$89,3,0)*0.475*44/12</f>
        <v>1.4290582880061381E-2</v>
      </c>
      <c r="AC71" s="22">
        <f t="shared" si="57"/>
        <v>156.41302219965559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10</v>
      </c>
      <c r="AI71" s="13">
        <f>IF('Données projet'!$A$62&gt;35,AI70+AH71-AQ70,IF(A71&lt;'Données projet'!$A$62,$AF$205^A71,IF(A71='Données projet'!$A$62,'Données projet'!$B$62,AI70+AH71-AQ70)))</f>
        <v>296</v>
      </c>
      <c r="AJ71" s="13">
        <f>AI71*VLOOKUP('Données projet'!$B$10,Paramètres!$A$1:$I$89,3,0)*VLOOKUP('Données projet'!$B$10,Paramètres!$A$1:$I$89,5,0)</f>
        <v>281.67360000000002</v>
      </c>
      <c r="AK71" s="13">
        <f t="shared" si="89"/>
        <v>67.320565909728884</v>
      </c>
      <c r="AL71" s="20">
        <f t="shared" si="58"/>
        <v>607.83150562611115</v>
      </c>
      <c r="AM71" s="59">
        <f t="shared" si="59"/>
        <v>873.27788975332999</v>
      </c>
      <c r="AN71" s="59">
        <f ca="1">AVERAGE(OFFSET($AM$3,0,0,'Données projet'!$E$10+1,1))-AVERAGE(OFFSET($H$3,0,0,'Données projet'!$E$10+1,1))</f>
        <v>320.33056209214476</v>
      </c>
      <c r="AO71" s="59">
        <f t="shared" si="90"/>
        <v>299.27200854723446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19.085976702697902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19.085976702697902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256.85706398254547</v>
      </c>
      <c r="BJ71" s="59">
        <f t="shared" si="92"/>
        <v>363.68094621014734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124.97390032665892</v>
      </c>
      <c r="BQ71" s="21">
        <f>EXP(-LN(2)/25)*BQ70+(1-EXP(-LN(2)/25))/(LN(2)/25)*Calculateur!BL71*Calculateur!BN71*VLOOKUP('Données projet'!$B$11,Paramètres!$A$1:$I$89,3,0)*0.475*44/12</f>
        <v>43.217369343179001</v>
      </c>
      <c r="BR71" s="21">
        <f>EXP(-LN(2)/2)*BR70+(1-EXP(-LN(2)/2))/(LN(2)/2)*BL71*BO71*VLOOKUP('Données projet'!$B$11,Paramètres!$A$1:$I$89,3,0)*0.475*44/12</f>
        <v>1.3526579100808822</v>
      </c>
      <c r="BS71" s="22">
        <f t="shared" si="63"/>
        <v>169.54392757991883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7.7777777777777777</v>
      </c>
      <c r="BY71" s="12">
        <f>IF('Données projet'!$A$114&gt;35,BY70+BX71-CG70,IF(A71&lt;'Données projet'!$A$114,$BV$205^A71,IF(A71='Données projet'!$A$114,'Données projet'!$B$114,BY70+BX71-CG70)))</f>
        <v>188.55555555555554</v>
      </c>
      <c r="BZ71" s="13">
        <f>BY71*VLOOKUP('Données projet'!$B$12,Paramètres!$A$1:$I$89,3,0)*VLOOKUP('Données projet'!$B$12,Paramètres!$A$1:$I$89,5,0)</f>
        <v>170.60506666666663</v>
      </c>
      <c r="CA71" s="13">
        <f t="shared" si="93"/>
        <v>43.225510356424259</v>
      </c>
      <c r="CB71" s="20">
        <f t="shared" si="64"/>
        <v>372.42158831521664</v>
      </c>
      <c r="CC71" s="59">
        <f t="shared" si="65"/>
        <v>637.86797244243553</v>
      </c>
      <c r="CD71" s="59">
        <f ca="1">AVERAGE(OFFSET($CC$3,0,0,'Données projet'!$E$12+1,1))-AVERAGE(OFFSET($H$3,0,0,'Données projet'!$E$12+1,1))</f>
        <v>357.68828740212223</v>
      </c>
      <c r="CE71" s="59">
        <f t="shared" si="94"/>
        <v>236.76626845829483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13.143976686035336</v>
      </c>
      <c r="CL71" s="21">
        <f>EXP(-LN(2)/25)*CL70+(1-EXP(-LN(2)/25))/(LN(2)/25)*Calculateur!CG71*Calculateur!CI71*VLOOKUP('Données projet'!$B$12,Paramètres!$A$1:$I$89,3,0)*0.475*44/12</f>
        <v>15.107476915238943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28.251453601274278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257.00000000000006</v>
      </c>
      <c r="CU71" s="17">
        <f>CT71*VLOOKUP('Données projet'!$B$13,Paramètres!$A$1:$I$89,3,0)*VLOOKUP('Données projet'!$B$13,Paramètres!$A$1:$I$89,5,0)</f>
        <v>168.38640000000004</v>
      </c>
      <c r="CV71" s="13">
        <f t="shared" si="95"/>
        <v>42.728430513203243</v>
      </c>
      <c r="CW71" s="20">
        <f t="shared" si="67"/>
        <v>367.69166314382898</v>
      </c>
      <c r="CX71" s="59">
        <f t="shared" si="68"/>
        <v>633.13804727104775</v>
      </c>
      <c r="CY71" s="59">
        <f ca="1">AVERAGE(OFFSET($CX$3,0,0,'Données projet'!$E$13+1,1))-AVERAGE(OFFSET($H$3,0,0,'Données projet'!$E$13+1,1))</f>
        <v>220.18342986563667</v>
      </c>
      <c r="CZ71" s="59">
        <f t="shared" si="96"/>
        <v>347.84382145531163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1.9634305738726452E-5</v>
      </c>
      <c r="DI71" s="22">
        <f t="shared" si="69"/>
        <v>1.9634305738726452E-5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7.7777777777777777</v>
      </c>
      <c r="DO71" s="12">
        <f>IF('Données projet'!$A$166&gt;35,DO70+DN71-DW70,IF(A71&lt;'Données projet'!$A$166,$DL$205^A71,IF(A71='Données projet'!$A$166,'Données projet'!$B$166,DO70+DN71-DW70)))</f>
        <v>188.55555555555554</v>
      </c>
      <c r="DP71" s="17">
        <f>DO71*VLOOKUP('Données projet'!$B$14,Paramètres!$A$1:$I$89,3,0)*VLOOKUP('Données projet'!$B$14,Paramètres!$A$1:$I$89,5,0)</f>
        <v>191.19533333333334</v>
      </c>
      <c r="DQ71" s="13">
        <f t="shared" si="97"/>
        <v>47.804127542645915</v>
      </c>
      <c r="DR71" s="20">
        <f t="shared" si="70"/>
        <v>416.25739435899715</v>
      </c>
      <c r="DS71" s="59">
        <f t="shared" si="71"/>
        <v>681.70377848621592</v>
      </c>
      <c r="DT71" s="59">
        <f ca="1">AVERAGE(OFFSET($DS$3,0,0,'Données projet'!$E$14+1,1))-AVERAGE(OFFSET($H$3,0,0,'Données projet'!$E$14+1,1))</f>
        <v>392.49465607243178</v>
      </c>
      <c r="DU71" s="59">
        <f t="shared" si="98"/>
        <v>258.031856676031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14.730318699867189</v>
      </c>
      <c r="EB71" s="21">
        <f>EXP(-LN(2)/25)*EB70+(1-EXP(-LN(2)/25))/(LN(2)/25)*Calculateur!DW71*Calculateur!DY71*VLOOKUP('Données projet'!$B$14,Paramètres!$A$1:$I$89,3,0)*0.475*44/12</f>
        <v>16.930793094664335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31.661111794531521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10</v>
      </c>
      <c r="EJ71" s="12">
        <f>IF('Données projet'!$A$192&gt;35,EJ70+EI71-ER70,IF(A71&lt;'Données projet'!$A$192,$EG$205^A71,IF(A71='Données projet'!$A$192,'Données projet'!$B$192,EJ70+EI71-ER70)))</f>
        <v>296</v>
      </c>
      <c r="EK71" s="17">
        <f>EJ71*VLOOKUP('Données projet'!$B$15,Paramètres!$A$1:$I$89,3,0)*VLOOKUP('Données projet'!$B$15,Paramètres!$A$1:$I$89,5,0)</f>
        <v>253.96800000000002</v>
      </c>
      <c r="EL71" s="13">
        <f t="shared" si="99"/>
        <v>61.434848029666512</v>
      </c>
      <c r="EM71" s="20">
        <f t="shared" si="73"/>
        <v>549.32662698500246</v>
      </c>
      <c r="EN71" s="59">
        <f t="shared" si="74"/>
        <v>814.7730111122213</v>
      </c>
      <c r="EO71" s="59">
        <f ca="1">AVERAGE(OFFSET($EN$3,0,0,'Données projet'!$E$15+1,1))-AVERAGE(OFFSET($H$3,0,0,'Données projet'!$E$15+1,1))</f>
        <v>294.24530606293143</v>
      </c>
      <c r="EP71" s="59">
        <f t="shared" si="100"/>
        <v>275.88160405468193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48.80136878775842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48.80136878775842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1.1368683772161603E-13</v>
      </c>
      <c r="FF71" s="17">
        <f>FE71*VLOOKUP('Données projet'!$B$16,Paramètres!$A$1:$I$89,3,0)*VLOOKUP('Données projet'!$B$16,Paramètres!$A$1:$I$89,5,0)</f>
        <v>8.3355189417488869E-14</v>
      </c>
      <c r="FG71" s="13">
        <f t="shared" si="101"/>
        <v>1.2790518435140618E-12</v>
      </c>
      <c r="FH71" s="20">
        <f t="shared" si="76"/>
        <v>2.3728589156891171E-12</v>
      </c>
      <c r="FI71" s="59">
        <f t="shared" si="77"/>
        <v>265.44638412722122</v>
      </c>
      <c r="FJ71" s="59">
        <f ca="1">AVERAGE(OFFSET($FI$3,0,0,'Données projet'!$E$16+1,1))-AVERAGE(OFFSET($H$3,0,0,'Données projet'!$E$16+1,1))</f>
        <v>214.31585175697521</v>
      </c>
      <c r="FK71" s="59">
        <f t="shared" si="102"/>
        <v>244.60383864821372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84.066392196851908</v>
      </c>
      <c r="FR71" s="21">
        <f>EXP(-LN(2)/25)*FR70+(1-EXP(-LN(2)/25))/(LN(2)/25)*Calculateur!FM71*Calculateur!FO71*VLOOKUP('Données projet'!$B$16,Paramètres!$A$1:$I$89,3,0)*0.475*44/12</f>
        <v>0</v>
      </c>
      <c r="FS71" s="21">
        <f>EXP(-LN(2)/2)*FS70+(1-EXP(-LN(2)/2))/(LN(2)/2)*FM71*FP71*VLOOKUP('Données projet'!$B$16,Paramètres!$A$1:$I$89,3,0)*0.475*44/12</f>
        <v>0</v>
      </c>
      <c r="FT71" s="22">
        <f t="shared" si="78"/>
        <v>84.066392196851908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-5.6843418860808015E-14</v>
      </c>
      <c r="GA71" s="17">
        <f>FZ71*VLOOKUP('Données projet'!$B$17,Paramètres!$A$1:$I$89,3,0)*VLOOKUP('Données projet'!$B$17,Paramètres!$A$1:$I$89,5,0)</f>
        <v>-4.5224624045658861E-14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308.33954512886351</v>
      </c>
      <c r="GF71" s="59">
        <f t="shared" si="104"/>
        <v>408.79075392716277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116.40262379925741</v>
      </c>
      <c r="GM71" s="21">
        <f>EXP(-LN(2)/25)*GM70+(1-EXP(-LN(2)/25))/(LN(2)/25)*Calculateur!GH71*Calculateur!GJ71*VLOOKUP('Données projet'!$B$17,Paramètres!$A$1:$I$89,3,0)*0.475*44/12</f>
        <v>0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116.40262379925741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342.84342155097613</v>
      </c>
      <c r="T72" s="59">
        <f t="shared" si="88"/>
        <v>565.68976940602215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107.5605339675009</v>
      </c>
      <c r="AA72" s="21">
        <f>EXP(-LN(2)/25)*AA71+(1-EXP(-LN(2)/25))/(LN(2)/25)*Calculateur!V72*Calculateur!X72*VLOOKUP('Données projet'!$B$9,Paramètres!$A$1:$I$89,3,0)*0.475*44/12</f>
        <v>45.410160479574131</v>
      </c>
      <c r="AB72" s="21">
        <f>EXP(-LN(2)/2)*AB71+(1-EXP(-LN(2)/2))/(LN(2)/2)*V72*Y72*VLOOKUP('Données projet'!$B$9,Paramètres!$A$1:$I$89,3,0)*0.475*44/12</f>
        <v>1.0104968061599785E-2</v>
      </c>
      <c r="AC72" s="22">
        <f t="shared" si="57"/>
        <v>152.98079941513663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10</v>
      </c>
      <c r="AI72" s="13">
        <f>IF('Données projet'!$A$62&gt;35,AI71+AH72-AQ71,IF(A72&lt;'Données projet'!$A$62,$AF$205^A72,IF(A72='Données projet'!$A$62,'Données projet'!$B$62,AI71+AH72-AQ71)))</f>
        <v>306</v>
      </c>
      <c r="AJ72" s="13">
        <f>AI72*VLOOKUP('Données projet'!$B$10,Paramètres!$A$1:$I$89,3,0)*VLOOKUP('Données projet'!$B$10,Paramètres!$A$1:$I$89,5,0)</f>
        <v>291.18959999999998</v>
      </c>
      <c r="AK72" s="13">
        <f t="shared" si="89"/>
        <v>69.32627325504869</v>
      </c>
      <c r="AL72" s="20">
        <f t="shared" si="58"/>
        <v>627.8984792525431</v>
      </c>
      <c r="AM72" s="59">
        <f t="shared" si="59"/>
        <v>893.82863960260966</v>
      </c>
      <c r="AN72" s="59">
        <f ca="1">AVERAGE(OFFSET($AM$3,0,0,'Données projet'!$E$10+1,1))-AVERAGE(OFFSET($H$3,0,0,'Données projet'!$E$10+1,1))</f>
        <v>320.33056209214476</v>
      </c>
      <c r="AO72" s="59">
        <f t="shared" si="90"/>
        <v>299.27200854723446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18.564069666074733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18.564069666074733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256.85706398254547</v>
      </c>
      <c r="BJ72" s="59">
        <f t="shared" si="92"/>
        <v>363.68094621014734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122.52323836780559</v>
      </c>
      <c r="BQ72" s="21">
        <f>EXP(-LN(2)/25)*BQ71+(1-EXP(-LN(2)/25))/(LN(2)/25)*Calculateur!BL72*Calculateur!BN72*VLOOKUP('Données projet'!$B$11,Paramètres!$A$1:$I$89,3,0)*0.475*44/12</f>
        <v>42.035588105787092</v>
      </c>
      <c r="BR72" s="21">
        <f>EXP(-LN(2)/2)*BR71+(1-EXP(-LN(2)/2))/(LN(2)/2)*BL72*BO72*VLOOKUP('Données projet'!$B$11,Paramètres!$A$1:$I$89,3,0)*0.475*44/12</f>
        <v>0.95647358084381506</v>
      </c>
      <c r="BS72" s="22">
        <f t="shared" si="63"/>
        <v>165.51530005443649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7.7777777777777777</v>
      </c>
      <c r="BY72" s="12">
        <f>IF('Données projet'!$A$114&gt;35,BY71+BX72-CG71,IF(A72&lt;'Données projet'!$A$114,$BV$205^A72,IF(A72='Données projet'!$A$114,'Données projet'!$B$114,BY71+BX72-CG71)))</f>
        <v>196.33333333333331</v>
      </c>
      <c r="BZ72" s="13">
        <f>BY72*VLOOKUP('Données projet'!$B$12,Paramètres!$A$1:$I$89,3,0)*VLOOKUP('Données projet'!$B$12,Paramètres!$A$1:$I$89,5,0)</f>
        <v>177.64239999999998</v>
      </c>
      <c r="CA72" s="13">
        <f t="shared" si="93"/>
        <v>44.797261801633475</v>
      </c>
      <c r="CB72" s="20">
        <f t="shared" si="64"/>
        <v>387.41574430451163</v>
      </c>
      <c r="CC72" s="59">
        <f t="shared" si="65"/>
        <v>653.34590465457813</v>
      </c>
      <c r="CD72" s="59">
        <f ca="1">AVERAGE(OFFSET($CC$3,0,0,'Données projet'!$E$12+1,1))-AVERAGE(OFFSET($H$3,0,0,'Données projet'!$E$12+1,1))</f>
        <v>357.68828740212223</v>
      </c>
      <c r="CE72" s="59">
        <f t="shared" si="94"/>
        <v>236.76626845829483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12.886231320256345</v>
      </c>
      <c r="CL72" s="21">
        <f>EXP(-LN(2)/25)*CL71+(1-EXP(-LN(2)/25))/(LN(2)/25)*Calculateur!CG72*Calculateur!CI72*VLOOKUP('Données projet'!$B$12,Paramètres!$A$1:$I$89,3,0)*0.475*44/12</f>
        <v>14.694362164524051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27.580593484780394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257.00000000000006</v>
      </c>
      <c r="CU72" s="17">
        <f>CT72*VLOOKUP('Données projet'!$B$13,Paramètres!$A$1:$I$89,3,0)*VLOOKUP('Données projet'!$B$13,Paramètres!$A$1:$I$89,5,0)</f>
        <v>168.38640000000004</v>
      </c>
      <c r="CV72" s="13">
        <f t="shared" si="95"/>
        <v>42.728430513203243</v>
      </c>
      <c r="CW72" s="20">
        <f t="shared" si="67"/>
        <v>367.69166314382898</v>
      </c>
      <c r="CX72" s="59">
        <f t="shared" si="68"/>
        <v>633.62182349389559</v>
      </c>
      <c r="CY72" s="59">
        <f ca="1">AVERAGE(OFFSET($CX$3,0,0,'Données projet'!$E$13+1,1))-AVERAGE(OFFSET($H$3,0,0,'Données projet'!$E$13+1,1))</f>
        <v>220.18342986563667</v>
      </c>
      <c r="CZ72" s="59">
        <f t="shared" si="96"/>
        <v>347.84382145531163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1.388355073174342E-5</v>
      </c>
      <c r="DI72" s="22">
        <f t="shared" si="69"/>
        <v>1.388355073174342E-5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7.7777777777777777</v>
      </c>
      <c r="DO72" s="12">
        <f>IF('Données projet'!$A$166&gt;35,DO71+DN72-DW71,IF(A72&lt;'Données projet'!$A$166,$DL$205^A72,IF(A72='Données projet'!$A$166,'Données projet'!$B$166,DO71+DN72-DW71)))</f>
        <v>196.33333333333331</v>
      </c>
      <c r="DP72" s="17">
        <f>DO72*VLOOKUP('Données projet'!$B$14,Paramètres!$A$1:$I$89,3,0)*VLOOKUP('Données projet'!$B$14,Paramètres!$A$1:$I$89,5,0)</f>
        <v>199.08199999999999</v>
      </c>
      <c r="DQ72" s="13">
        <f t="shared" si="97"/>
        <v>49.542365123476486</v>
      </c>
      <c r="DR72" s="20">
        <f t="shared" si="70"/>
        <v>433.02076925672151</v>
      </c>
      <c r="DS72" s="59">
        <f t="shared" si="71"/>
        <v>698.95092960678812</v>
      </c>
      <c r="DT72" s="59">
        <f ca="1">AVERAGE(OFFSET($DS$3,0,0,'Données projet'!$E$14+1,1))-AVERAGE(OFFSET($H$3,0,0,'Données projet'!$E$14+1,1))</f>
        <v>392.49465607243178</v>
      </c>
      <c r="DU72" s="59">
        <f t="shared" si="98"/>
        <v>258.031856676031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14.441466134770044</v>
      </c>
      <c r="EB72" s="21">
        <f>EXP(-LN(2)/25)*EB71+(1-EXP(-LN(2)/25))/(LN(2)/25)*Calculateur!DW72*Calculateur!DY72*VLOOKUP('Données projet'!$B$14,Paramètres!$A$1:$I$89,3,0)*0.475*44/12</f>
        <v>16.467819667139025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30.909285801909071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10</v>
      </c>
      <c r="EJ72" s="12">
        <f>IF('Données projet'!$A$192&gt;35,EJ71+EI72-ER71,IF(A72&lt;'Données projet'!$A$192,$EG$205^A72,IF(A72='Données projet'!$A$192,'Données projet'!$B$192,EJ71+EI72-ER71)))</f>
        <v>306</v>
      </c>
      <c r="EK72" s="17">
        <f>EJ72*VLOOKUP('Données projet'!$B$15,Paramètres!$A$1:$I$89,3,0)*VLOOKUP('Données projet'!$B$15,Paramètres!$A$1:$I$89,5,0)</f>
        <v>262.548</v>
      </c>
      <c r="EL72" s="13">
        <f t="shared" si="99"/>
        <v>63.265199933079444</v>
      </c>
      <c r="EM72" s="20">
        <f t="shared" si="73"/>
        <v>567.45798988344666</v>
      </c>
      <c r="EN72" s="59">
        <f t="shared" si="74"/>
        <v>833.38815023351322</v>
      </c>
      <c r="EO72" s="59">
        <f ca="1">AVERAGE(OFFSET($EN$3,0,0,'Données projet'!$E$15+1,1))-AVERAGE(OFFSET($H$3,0,0,'Données projet'!$E$15+1,1))</f>
        <v>294.24530606293143</v>
      </c>
      <c r="EP72" s="59">
        <f t="shared" si="100"/>
        <v>275.88160405468193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47.844403711726301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47.844403711726301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1.1368683772161603E-13</v>
      </c>
      <c r="FF72" s="17">
        <f>FE72*VLOOKUP('Données projet'!$B$16,Paramètres!$A$1:$I$89,3,0)*VLOOKUP('Données projet'!$B$16,Paramètres!$A$1:$I$89,5,0)</f>
        <v>8.3355189417488869E-14</v>
      </c>
      <c r="FG72" s="13">
        <f t="shared" si="101"/>
        <v>1.2790518435140618E-12</v>
      </c>
      <c r="FH72" s="20">
        <f t="shared" si="76"/>
        <v>2.3728589156891171E-12</v>
      </c>
      <c r="FI72" s="59">
        <f t="shared" si="77"/>
        <v>265.93016035006895</v>
      </c>
      <c r="FJ72" s="59">
        <f ca="1">AVERAGE(OFFSET($FI$3,0,0,'Données projet'!$E$16+1,1))-AVERAGE(OFFSET($H$3,0,0,'Données projet'!$E$16+1,1))</f>
        <v>214.31585175697521</v>
      </c>
      <c r="FK72" s="59">
        <f t="shared" si="102"/>
        <v>244.60383864821372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82.417901521307854</v>
      </c>
      <c r="FR72" s="21">
        <f>EXP(-LN(2)/25)*FR71+(1-EXP(-LN(2)/25))/(LN(2)/25)*Calculateur!FM72*Calculateur!FO72*VLOOKUP('Données projet'!$B$16,Paramètres!$A$1:$I$89,3,0)*0.475*44/12</f>
        <v>0</v>
      </c>
      <c r="FS72" s="21">
        <f>EXP(-LN(2)/2)*FS71+(1-EXP(-LN(2)/2))/(LN(2)/2)*FM72*FP72*VLOOKUP('Données projet'!$B$16,Paramètres!$A$1:$I$89,3,0)*0.475*44/12</f>
        <v>0</v>
      </c>
      <c r="FT72" s="22">
        <f t="shared" si="78"/>
        <v>82.417901521307854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-5.6843418860808015E-14</v>
      </c>
      <c r="GA72" s="17">
        <f>FZ72*VLOOKUP('Données projet'!$B$17,Paramètres!$A$1:$I$89,3,0)*VLOOKUP('Données projet'!$B$17,Paramètres!$A$1:$I$89,5,0)</f>
        <v>-4.5224624045658861E-14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308.33954512886351</v>
      </c>
      <c r="GF72" s="59">
        <f t="shared" si="104"/>
        <v>408.79075392716277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114.12003934514397</v>
      </c>
      <c r="GM72" s="21">
        <f>EXP(-LN(2)/25)*GM71+(1-EXP(-LN(2)/25))/(LN(2)/25)*Calculateur!GH72*Calculateur!GJ72*VLOOKUP('Données projet'!$B$17,Paramètres!$A$1:$I$89,3,0)*0.475*44/12</f>
        <v>0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114.12003934514397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342.84342155097613</v>
      </c>
      <c r="T73" s="59">
        <f t="shared" si="88"/>
        <v>565.68976940602215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105.45133750184593</v>
      </c>
      <c r="AA73" s="21">
        <f>EXP(-LN(2)/25)*AA72+(1-EXP(-LN(2)/25))/(LN(2)/25)*Calculateur!V73*Calculateur!X73*VLOOKUP('Données projet'!$B$9,Paramètres!$A$1:$I$89,3,0)*0.475*44/12</f>
        <v>44.168417253243625</v>
      </c>
      <c r="AB73" s="21">
        <f>EXP(-LN(2)/2)*AB72+(1-EXP(-LN(2)/2))/(LN(2)/2)*V73*Y73*VLOOKUP('Données projet'!$B$9,Paramètres!$A$1:$I$89,3,0)*0.475*44/12</f>
        <v>7.1452914400306905E-3</v>
      </c>
      <c r="AC73" s="22">
        <f t="shared" si="57"/>
        <v>149.62690004652958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316</v>
      </c>
      <c r="AG73" s="12">
        <f>VLOOKUP(A73,'Données projet'!$A$61:$I$81,9,0)</f>
        <v>10</v>
      </c>
      <c r="AH73" s="12">
        <f t="array" ref="AH73">INDEX(AG:AG,MIN(IF(ISNUMBER(AG73:AG269),ROW(AG73:AG269),"")))</f>
        <v>10</v>
      </c>
      <c r="AI73" s="13">
        <f>IF('Données projet'!$A$62&gt;35,AI72+AH73-AQ72,IF(A73&lt;'Données projet'!$A$62,$AF$205^A73,IF(A73='Données projet'!$A$62,'Données projet'!$B$62,AI72+AH73-AQ72)))</f>
        <v>316</v>
      </c>
      <c r="AJ73" s="13">
        <f>AI73*VLOOKUP('Données projet'!$B$10,Paramètres!$A$1:$I$89,3,0)*VLOOKUP('Données projet'!$B$10,Paramètres!$A$1:$I$89,5,0)</f>
        <v>300.7056</v>
      </c>
      <c r="AK73" s="13">
        <f t="shared" si="89"/>
        <v>71.32436410742946</v>
      </c>
      <c r="AL73" s="20">
        <f t="shared" si="58"/>
        <v>647.95218748710624</v>
      </c>
      <c r="AM73" s="59">
        <f t="shared" si="59"/>
        <v>914.35773162411579</v>
      </c>
      <c r="AN73" s="59">
        <f ca="1">AVERAGE(OFFSET($AM$3,0,0,'Données projet'!$E$10+1,1))-AVERAGE(OFFSET($H$3,0,0,'Données projet'!$E$10+1,1))</f>
        <v>320.33056209214476</v>
      </c>
      <c r="AO73" s="59">
        <f t="shared" si="90"/>
        <v>299.27200854723446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316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0.215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89.245571199957169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89.245571199957169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256.85706398254547</v>
      </c>
      <c r="BJ73" s="59">
        <f t="shared" si="92"/>
        <v>363.68094621014734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120.12063239520917</v>
      </c>
      <c r="BQ73" s="21">
        <f>EXP(-LN(2)/25)*BQ72+(1-EXP(-LN(2)/25))/(LN(2)/25)*Calculateur!BL73*Calculateur!BN73*VLOOKUP('Données projet'!$B$11,Paramètres!$A$1:$I$89,3,0)*0.475*44/12</f>
        <v>40.886122738478839</v>
      </c>
      <c r="BR73" s="21">
        <f>EXP(-LN(2)/2)*BR72+(1-EXP(-LN(2)/2))/(LN(2)/2)*BL73*BO73*VLOOKUP('Données projet'!$B$11,Paramètres!$A$1:$I$89,3,0)*0.475*44/12</f>
        <v>0.6763289550404411</v>
      </c>
      <c r="BS73" s="22">
        <f t="shared" si="63"/>
        <v>161.68308408872846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7.7777777777777777</v>
      </c>
      <c r="BY73" s="12">
        <f>IF('Données projet'!$A$114&gt;35,BY72+BX73-CG72,IF(A73&lt;'Données projet'!$A$114,$BV$205^A73,IF(A73='Données projet'!$A$114,'Données projet'!$B$114,BY72+BX73-CG72)))</f>
        <v>204.11111111111109</v>
      </c>
      <c r="BZ73" s="13">
        <f>BY73*VLOOKUP('Données projet'!$B$12,Paramètres!$A$1:$I$89,3,0)*VLOOKUP('Données projet'!$B$12,Paramètres!$A$1:$I$89,5,0)</f>
        <v>184.6797333333333</v>
      </c>
      <c r="CA73" s="13">
        <f t="shared" si="93"/>
        <v>46.361780264513875</v>
      </c>
      <c r="CB73" s="20">
        <f t="shared" si="64"/>
        <v>402.39730284958381</v>
      </c>
      <c r="CC73" s="59">
        <f t="shared" si="65"/>
        <v>668.80284698659329</v>
      </c>
      <c r="CD73" s="59">
        <f ca="1">AVERAGE(OFFSET($CC$3,0,0,'Données projet'!$E$12+1,1))-AVERAGE(OFFSET($H$3,0,0,'Données projet'!$E$12+1,1))</f>
        <v>357.68828740212223</v>
      </c>
      <c r="CE73" s="59">
        <f t="shared" si="94"/>
        <v>236.76626845829483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12.63354018389113</v>
      </c>
      <c r="CL73" s="21">
        <f>EXP(-LN(2)/25)*CL72+(1-EXP(-LN(2)/25))/(LN(2)/25)*Calculateur!CG73*Calculateur!CI73*VLOOKUP('Données projet'!$B$12,Paramètres!$A$1:$I$89,3,0)*0.475*44/12</f>
        <v>14.292544058392219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26.926084242283348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257.00000000000006</v>
      </c>
      <c r="CU73" s="17">
        <f>CT73*VLOOKUP('Données projet'!$B$13,Paramètres!$A$1:$I$89,3,0)*VLOOKUP('Données projet'!$B$13,Paramètres!$A$1:$I$89,5,0)</f>
        <v>168.38640000000004</v>
      </c>
      <c r="CV73" s="13">
        <f t="shared" si="95"/>
        <v>42.728430513203243</v>
      </c>
      <c r="CW73" s="20">
        <f t="shared" si="67"/>
        <v>367.69166314382898</v>
      </c>
      <c r="CX73" s="59">
        <f t="shared" si="68"/>
        <v>634.09720728083846</v>
      </c>
      <c r="CY73" s="59">
        <f ca="1">AVERAGE(OFFSET($CX$3,0,0,'Données projet'!$E$13+1,1))-AVERAGE(OFFSET($H$3,0,0,'Données projet'!$E$13+1,1))</f>
        <v>220.18342986563667</v>
      </c>
      <c r="CZ73" s="59">
        <f t="shared" si="96"/>
        <v>347.84382145531163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9.8171528693632262E-6</v>
      </c>
      <c r="DI73" s="22">
        <f t="shared" si="69"/>
        <v>9.8171528693632262E-6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7.7777777777777777</v>
      </c>
      <c r="DO73" s="12">
        <f>IF('Données projet'!$A$166&gt;35,DO72+DN73-DW72,IF(A73&lt;'Données projet'!$A$166,$DL$205^A73,IF(A73='Données projet'!$A$166,'Données projet'!$B$166,DO72+DN73-DW72)))</f>
        <v>204.11111111111109</v>
      </c>
      <c r="DP73" s="17">
        <f>DO73*VLOOKUP('Données projet'!$B$14,Paramètres!$A$1:$I$89,3,0)*VLOOKUP('Données projet'!$B$14,Paramètres!$A$1:$I$89,5,0)</f>
        <v>206.96866666666668</v>
      </c>
      <c r="DQ73" s="13">
        <f t="shared" si="97"/>
        <v>51.272603575854774</v>
      </c>
      <c r="DR73" s="20">
        <f t="shared" si="70"/>
        <v>449.77021233905822</v>
      </c>
      <c r="DS73" s="59">
        <f t="shared" si="71"/>
        <v>716.1757564760677</v>
      </c>
      <c r="DT73" s="59">
        <f ca="1">AVERAGE(OFFSET($DS$3,0,0,'Données projet'!$E$14+1,1))-AVERAGE(OFFSET($H$3,0,0,'Données projet'!$E$14+1,1))</f>
        <v>392.49465607243178</v>
      </c>
      <c r="DU73" s="59">
        <f t="shared" si="98"/>
        <v>258.031856676031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14.158277792291786</v>
      </c>
      <c r="EB73" s="21">
        <f>EXP(-LN(2)/25)*EB72+(1-EXP(-LN(2)/25))/(LN(2)/25)*Calculateur!DW73*Calculateur!DY73*VLOOKUP('Données projet'!$B$14,Paramètres!$A$1:$I$89,3,0)*0.475*44/12</f>
        <v>16.01750627233611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30.175784064627898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316</v>
      </c>
      <c r="EH73" s="12">
        <f>VLOOKUP(A73,'Données projet'!$A$191:$I$211,9,0)</f>
        <v>10</v>
      </c>
      <c r="EI73" s="12">
        <f t="array" ref="EI73">INDEX(EH:EH,MIN(IF(ISNUMBER(EH73:EH269),ROW(EH73:EH269),"")))</f>
        <v>10</v>
      </c>
      <c r="EJ73" s="12">
        <f>IF('Données projet'!$A$192&gt;35,EJ72+EI73-ER72,IF(A73&lt;'Données projet'!$A$192,$EG$205^A73,IF(A73='Données projet'!$A$192,'Données projet'!$B$192,EJ72+EI73-ER72)))</f>
        <v>316</v>
      </c>
      <c r="EK73" s="17">
        <f>EJ73*VLOOKUP('Données projet'!$B$15,Paramètres!$A$1:$I$89,3,0)*VLOOKUP('Données projet'!$B$15,Paramètres!$A$1:$I$89,5,0)</f>
        <v>271.12800000000004</v>
      </c>
      <c r="EL73" s="13">
        <f t="shared" si="99"/>
        <v>65.088601240045335</v>
      </c>
      <c r="EM73" s="20">
        <f t="shared" si="73"/>
        <v>585.57724715974564</v>
      </c>
      <c r="EN73" s="59">
        <f t="shared" si="74"/>
        <v>851.98279129675507</v>
      </c>
      <c r="EO73" s="59">
        <f ca="1">AVERAGE(OFFSET($EN$3,0,0,'Données projet'!$E$15+1,1))-AVERAGE(OFFSET($H$3,0,0,'Données projet'!$E$15+1,1))</f>
        <v>294.24530606293143</v>
      </c>
      <c r="EP73" s="59">
        <f t="shared" si="100"/>
        <v>275.88160405468193</v>
      </c>
      <c r="EQ73" s="15">
        <f>IF(ISNA(VLOOKUP(A73,'Données projet'!$A$191:$I$211,3,0)),0,VLOOKUP(A73,'Données projet'!$A$191:$I$211,3,0))</f>
        <v>10</v>
      </c>
      <c r="ER73" s="15">
        <f>IF(ISNA(VLOOKUP(A73,'Données projet'!$A$191:$I$211,4,0)),0,VLOOKUP(A73,'Données projet'!$A$191:$I$211,4,0))</f>
        <v>316</v>
      </c>
      <c r="ES73" s="16">
        <f>IF(ISNA(VLOOKUP(A73,'Données projet'!$A$191:$I$211,5,0)),0%,VLOOKUP(A73,'Données projet'!$A$191:$I$211,5,0)*VLOOKUP('Données projet'!$B$15,Paramètres!$A$1:$I$89,7,0))</f>
        <v>0.42400000000000004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173.98916871543625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173.98916871543625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1.1368683772161603E-13</v>
      </c>
      <c r="FF73" s="17">
        <f>FE73*VLOOKUP('Données projet'!$B$16,Paramètres!$A$1:$I$89,3,0)*VLOOKUP('Données projet'!$B$16,Paramètres!$A$1:$I$89,5,0)</f>
        <v>8.3355189417488869E-14</v>
      </c>
      <c r="FG73" s="13">
        <f t="shared" si="101"/>
        <v>1.2790518435140618E-12</v>
      </c>
      <c r="FH73" s="20">
        <f t="shared" si="76"/>
        <v>2.3728589156891171E-12</v>
      </c>
      <c r="FI73" s="59">
        <f t="shared" si="77"/>
        <v>266.40554413701187</v>
      </c>
      <c r="FJ73" s="59">
        <f ca="1">AVERAGE(OFFSET($FI$3,0,0,'Données projet'!$E$16+1,1))-AVERAGE(OFFSET($H$3,0,0,'Données projet'!$E$16+1,1))</f>
        <v>214.31585175697521</v>
      </c>
      <c r="FK73" s="59">
        <f t="shared" si="102"/>
        <v>244.60383864821372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80.801736742431189</v>
      </c>
      <c r="FR73" s="21">
        <f>EXP(-LN(2)/25)*FR72+(1-EXP(-LN(2)/25))/(LN(2)/25)*Calculateur!FM73*Calculateur!FO73*VLOOKUP('Données projet'!$B$16,Paramètres!$A$1:$I$89,3,0)*0.475*44/12</f>
        <v>0</v>
      </c>
      <c r="FS73" s="21">
        <f>EXP(-LN(2)/2)*FS72+(1-EXP(-LN(2)/2))/(LN(2)/2)*FM73*FP73*VLOOKUP('Données projet'!$B$16,Paramètres!$A$1:$I$89,3,0)*0.475*44/12</f>
        <v>0</v>
      </c>
      <c r="FT73" s="22">
        <f t="shared" si="78"/>
        <v>80.801736742431189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-5.6843418860808015E-14</v>
      </c>
      <c r="GA73" s="17">
        <f>FZ73*VLOOKUP('Données projet'!$B$17,Paramètres!$A$1:$I$89,3,0)*VLOOKUP('Données projet'!$B$17,Paramètres!$A$1:$I$89,5,0)</f>
        <v>-4.5224624045658861E-14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308.33954512886351</v>
      </c>
      <c r="GF73" s="59">
        <f t="shared" si="104"/>
        <v>408.79075392716277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111.88221497993663</v>
      </c>
      <c r="GM73" s="21">
        <f>EXP(-LN(2)/25)*GM72+(1-EXP(-LN(2)/25))/(LN(2)/25)*Calculateur!GH73*Calculateur!GJ73*VLOOKUP('Données projet'!$B$17,Paramètres!$A$1:$I$89,3,0)*0.475*44/12</f>
        <v>0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111.88221497993663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342.84342155097613</v>
      </c>
      <c r="T74" s="59">
        <f t="shared" si="88"/>
        <v>565.68976940602215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103.38350109239964</v>
      </c>
      <c r="AA74" s="21">
        <f>EXP(-LN(2)/25)*AA73+(1-EXP(-LN(2)/25))/(LN(2)/25)*Calculateur!V74*Calculateur!X74*VLOOKUP('Données projet'!$B$9,Paramètres!$A$1:$I$89,3,0)*0.475*44/12</f>
        <v>42.960629560737566</v>
      </c>
      <c r="AB74" s="21">
        <f>EXP(-LN(2)/2)*AB73+(1-EXP(-LN(2)/2))/(LN(2)/2)*V74*Y74*VLOOKUP('Données projet'!$B$9,Paramètres!$A$1:$I$89,3,0)*0.475*44/12</f>
        <v>5.0524840307998925E-3</v>
      </c>
      <c r="AC74" s="22">
        <f t="shared" si="57"/>
        <v>146.34918313716801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320.33056209214476</v>
      </c>
      <c r="AO74" s="59">
        <f t="shared" si="90"/>
        <v>299.27200854723446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86.805146362273717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86.805146362273717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256.85706398254547</v>
      </c>
      <c r="BJ74" s="59">
        <f t="shared" si="92"/>
        <v>363.68094621014734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117.76514006029043</v>
      </c>
      <c r="BQ74" s="21">
        <f>EXP(-LN(2)/25)*BQ73+(1-EXP(-LN(2)/25))/(LN(2)/25)*Calculateur!BL74*Calculateur!BN74*VLOOKUP('Données projet'!$B$11,Paramètres!$A$1:$I$89,3,0)*0.475*44/12</f>
        <v>39.76808956208739</v>
      </c>
      <c r="BR74" s="21">
        <f>EXP(-LN(2)/2)*BR73+(1-EXP(-LN(2)/2))/(LN(2)/2)*BL74*BO74*VLOOKUP('Données projet'!$B$11,Paramètres!$A$1:$I$89,3,0)*0.475*44/12</f>
        <v>0.47823679042190753</v>
      </c>
      <c r="BS74" s="22">
        <f t="shared" si="63"/>
        <v>158.01146641279973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7.7777777777777777</v>
      </c>
      <c r="BY74" s="12">
        <f>IF('Données projet'!$A$114&gt;35,BY73+BX74-CG73,IF(A74&lt;'Données projet'!$A$114,$BV$205^A74,IF(A74='Données projet'!$A$114,'Données projet'!$B$114,BY73+BX74-CG73)))</f>
        <v>211.88888888888886</v>
      </c>
      <c r="BZ74" s="13">
        <f>BY74*VLOOKUP('Données projet'!$B$12,Paramètres!$A$1:$I$89,3,0)*VLOOKUP('Données projet'!$B$12,Paramètres!$A$1:$I$89,5,0)</f>
        <v>191.71706666666662</v>
      </c>
      <c r="CA74" s="13">
        <f t="shared" si="93"/>
        <v>47.919372914041453</v>
      </c>
      <c r="CB74" s="20">
        <f t="shared" si="64"/>
        <v>417.3667989363999</v>
      </c>
      <c r="CC74" s="59">
        <f t="shared" si="65"/>
        <v>684.23948001444785</v>
      </c>
      <c r="CD74" s="59">
        <f ca="1">AVERAGE(OFFSET($CC$3,0,0,'Données projet'!$E$12+1,1))-AVERAGE(OFFSET($H$3,0,0,'Données projet'!$E$12+1,1))</f>
        <v>357.68828740212223</v>
      </c>
      <c r="CE74" s="59">
        <f t="shared" si="94"/>
        <v>236.76626845829483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12.385804166583663</v>
      </c>
      <c r="CL74" s="21">
        <f>EXP(-LN(2)/25)*CL73+(1-EXP(-LN(2)/25))/(LN(2)/25)*Calculateur!CG74*Calculateur!CI74*VLOOKUP('Données projet'!$B$12,Paramètres!$A$1:$I$89,3,0)*0.475*44/12</f>
        <v>13.901713689503257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26.287517856086922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257.00000000000006</v>
      </c>
      <c r="CU74" s="17">
        <f>CT74*VLOOKUP('Données projet'!$B$13,Paramètres!$A$1:$I$89,3,0)*VLOOKUP('Données projet'!$B$13,Paramètres!$A$1:$I$89,5,0)</f>
        <v>168.38640000000004</v>
      </c>
      <c r="CV74" s="13">
        <f t="shared" si="95"/>
        <v>42.728430513203243</v>
      </c>
      <c r="CW74" s="20">
        <f t="shared" si="67"/>
        <v>367.69166314382898</v>
      </c>
      <c r="CX74" s="59">
        <f t="shared" si="68"/>
        <v>634.56434422187692</v>
      </c>
      <c r="CY74" s="59">
        <f ca="1">AVERAGE(OFFSET($CX$3,0,0,'Données projet'!$E$13+1,1))-AVERAGE(OFFSET($H$3,0,0,'Données projet'!$E$13+1,1))</f>
        <v>220.18342986563667</v>
      </c>
      <c r="CZ74" s="59">
        <f t="shared" si="96"/>
        <v>347.84382145531163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6.9417753658717101E-6</v>
      </c>
      <c r="DI74" s="22">
        <f t="shared" si="69"/>
        <v>6.9417753658717101E-6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7.7777777777777777</v>
      </c>
      <c r="DO74" s="12">
        <f>IF('Données projet'!$A$166&gt;35,DO73+DN74-DW73,IF(A74&lt;'Données projet'!$A$166,$DL$205^A74,IF(A74='Données projet'!$A$166,'Données projet'!$B$166,DO73+DN74-DW73)))</f>
        <v>211.88888888888886</v>
      </c>
      <c r="DP74" s="17">
        <f>DO74*VLOOKUP('Données projet'!$B$14,Paramètres!$A$1:$I$89,3,0)*VLOOKUP('Données projet'!$B$14,Paramètres!$A$1:$I$89,5,0)</f>
        <v>214.85533333333331</v>
      </c>
      <c r="DQ74" s="13">
        <f t="shared" si="97"/>
        <v>52.995182605310596</v>
      </c>
      <c r="DR74" s="20">
        <f t="shared" si="70"/>
        <v>466.50631525980481</v>
      </c>
      <c r="DS74" s="59">
        <f t="shared" si="71"/>
        <v>733.37899633785275</v>
      </c>
      <c r="DT74" s="59">
        <f ca="1">AVERAGE(OFFSET($DS$3,0,0,'Données projet'!$E$14+1,1))-AVERAGE(OFFSET($H$3,0,0,'Données projet'!$E$14+1,1))</f>
        <v>392.49465607243178</v>
      </c>
      <c r="DU74" s="59">
        <f t="shared" si="98"/>
        <v>258.031856676031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13.880642600481693</v>
      </c>
      <c r="EB74" s="21">
        <f>EXP(-LN(2)/25)*EB73+(1-EXP(-LN(2)/25))/(LN(2)/25)*Calculateur!DW74*Calculateur!DY74*VLOOKUP('Données projet'!$B$14,Paramètres!$A$1:$I$89,3,0)*0.475*44/12</f>
        <v>15.579506720995033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29.460149321476727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294.24530606293143</v>
      </c>
      <c r="EP74" s="59">
        <f t="shared" si="100"/>
        <v>275.88160405468193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170.57734723984069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170.57734723984069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1.1368683772161603E-13</v>
      </c>
      <c r="FF74" s="17">
        <f>FE74*VLOOKUP('Données projet'!$B$16,Paramètres!$A$1:$I$89,3,0)*VLOOKUP('Données projet'!$B$16,Paramètres!$A$1:$I$89,5,0)</f>
        <v>8.3355189417488869E-14</v>
      </c>
      <c r="FG74" s="13">
        <f t="shared" si="101"/>
        <v>1.2790518435140618E-12</v>
      </c>
      <c r="FH74" s="20">
        <f t="shared" si="76"/>
        <v>2.3728589156891171E-12</v>
      </c>
      <c r="FI74" s="59">
        <f t="shared" si="77"/>
        <v>266.87268107805033</v>
      </c>
      <c r="FJ74" s="59">
        <f ca="1">AVERAGE(OFFSET($FI$3,0,0,'Données projet'!$E$16+1,1))-AVERAGE(OFFSET($H$3,0,0,'Données projet'!$E$16+1,1))</f>
        <v>214.31585175697521</v>
      </c>
      <c r="FK74" s="59">
        <f t="shared" si="102"/>
        <v>244.60383864821372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79.217263969105119</v>
      </c>
      <c r="FR74" s="21">
        <f>EXP(-LN(2)/25)*FR73+(1-EXP(-LN(2)/25))/(LN(2)/25)*Calculateur!FM74*Calculateur!FO74*VLOOKUP('Données projet'!$B$16,Paramètres!$A$1:$I$89,3,0)*0.475*44/12</f>
        <v>0</v>
      </c>
      <c r="FS74" s="21">
        <f>EXP(-LN(2)/2)*FS73+(1-EXP(-LN(2)/2))/(LN(2)/2)*FM74*FP74*VLOOKUP('Données projet'!$B$16,Paramètres!$A$1:$I$89,3,0)*0.475*44/12</f>
        <v>0</v>
      </c>
      <c r="FT74" s="22">
        <f t="shared" si="78"/>
        <v>79.217263969105119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-5.6843418860808015E-14</v>
      </c>
      <c r="GA74" s="17">
        <f>FZ74*VLOOKUP('Données projet'!$B$17,Paramètres!$A$1:$I$89,3,0)*VLOOKUP('Données projet'!$B$17,Paramètres!$A$1:$I$89,5,0)</f>
        <v>-4.5224624045658861E-14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308.33954512886351</v>
      </c>
      <c r="GF74" s="59">
        <f t="shared" si="104"/>
        <v>408.79075392716277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109.68827298559293</v>
      </c>
      <c r="GM74" s="21">
        <f>EXP(-LN(2)/25)*GM73+(1-EXP(-LN(2)/25))/(LN(2)/25)*Calculateur!GH74*Calculateur!GJ74*VLOOKUP('Données projet'!$B$17,Paramètres!$A$1:$I$89,3,0)*0.475*44/12</f>
        <v>0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109.68827298559293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342.84342155097613</v>
      </c>
      <c r="T75" s="59">
        <f t="shared" si="88"/>
        <v>565.68976940602215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101.35621369368693</v>
      </c>
      <c r="AA75" s="21">
        <f>EXP(-LN(2)/25)*AA74+(1-EXP(-LN(2)/25))/(LN(2)/25)*Calculateur!V75*Calculateur!X75*VLOOKUP('Données projet'!$B$9,Paramètres!$A$1:$I$89,3,0)*0.475*44/12</f>
        <v>41.785868886197875</v>
      </c>
      <c r="AB75" s="21">
        <f>EXP(-LN(2)/2)*AB74+(1-EXP(-LN(2)/2))/(LN(2)/2)*V75*Y75*VLOOKUP('Données projet'!$B$9,Paramètres!$A$1:$I$89,3,0)*0.475*44/12</f>
        <v>3.5726457200153452E-3</v>
      </c>
      <c r="AC75" s="22">
        <f t="shared" si="57"/>
        <v>143.14565522560483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320.33056209214476</v>
      </c>
      <c r="AO75" s="59">
        <f t="shared" si="90"/>
        <v>299.27200854723446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84.431455070113088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84.431455070113088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256.85706398254547</v>
      </c>
      <c r="BJ75" s="59">
        <f t="shared" si="92"/>
        <v>363.68094621014734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115.45583749335098</v>
      </c>
      <c r="BQ75" s="21">
        <f>EXP(-LN(2)/25)*BQ74+(1-EXP(-LN(2)/25))/(LN(2)/25)*Calculateur!BL75*Calculateur!BN75*VLOOKUP('Données projet'!$B$11,Paramètres!$A$1:$I$89,3,0)*0.475*44/12</f>
        <v>38.680629061699172</v>
      </c>
      <c r="BR75" s="21">
        <f>EXP(-LN(2)/2)*BR74+(1-EXP(-LN(2)/2))/(LN(2)/2)*BL75*BO75*VLOOKUP('Données projet'!$B$11,Paramètres!$A$1:$I$89,3,0)*0.475*44/12</f>
        <v>0.33816447752022055</v>
      </c>
      <c r="BS75" s="22">
        <f t="shared" si="63"/>
        <v>154.47463103257039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7.7777777777777777</v>
      </c>
      <c r="BY75" s="12">
        <f>IF('Données projet'!$A$114&gt;35,BY74+BX75-CG74,IF(A75&lt;'Données projet'!$A$114,$BV$205^A75,IF(A75='Données projet'!$A$114,'Données projet'!$B$114,BY74+BX75-CG74)))</f>
        <v>219.66666666666663</v>
      </c>
      <c r="BZ75" s="13">
        <f>BY75*VLOOKUP('Données projet'!$B$12,Paramètres!$A$1:$I$89,3,0)*VLOOKUP('Données projet'!$B$12,Paramètres!$A$1:$I$89,5,0)</f>
        <v>198.75439999999998</v>
      </c>
      <c r="CA75" s="13">
        <f t="shared" si="93"/>
        <v>49.47032309091167</v>
      </c>
      <c r="CB75" s="20">
        <f t="shared" si="64"/>
        <v>432.32472605000447</v>
      </c>
      <c r="CC75" s="59">
        <f t="shared" si="65"/>
        <v>699.65644028752558</v>
      </c>
      <c r="CD75" s="59">
        <f ca="1">AVERAGE(OFFSET($CC$3,0,0,'Données projet'!$E$12+1,1))-AVERAGE(OFFSET($H$3,0,0,'Données projet'!$E$12+1,1))</f>
        <v>357.68828740212223</v>
      </c>
      <c r="CE75" s="59">
        <f t="shared" si="94"/>
        <v>236.76626845829483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12.142926101471545</v>
      </c>
      <c r="CL75" s="21">
        <f>EXP(-LN(2)/25)*CL74+(1-EXP(-LN(2)/25))/(LN(2)/25)*Calculateur!CG75*Calculateur!CI75*VLOOKUP('Données projet'!$B$12,Paramètres!$A$1:$I$89,3,0)*0.475*44/12</f>
        <v>13.521570597604441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25.664496699075986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257.00000000000006</v>
      </c>
      <c r="CU75" s="17">
        <f>CT75*VLOOKUP('Données projet'!$B$13,Paramètres!$A$1:$I$89,3,0)*VLOOKUP('Données projet'!$B$13,Paramètres!$A$1:$I$89,5,0)</f>
        <v>168.38640000000004</v>
      </c>
      <c r="CV75" s="13">
        <f t="shared" si="95"/>
        <v>42.728430513203243</v>
      </c>
      <c r="CW75" s="20">
        <f t="shared" si="67"/>
        <v>367.69166314382898</v>
      </c>
      <c r="CX75" s="59">
        <f t="shared" si="68"/>
        <v>635.02337738135009</v>
      </c>
      <c r="CY75" s="59">
        <f ca="1">AVERAGE(OFFSET($CX$3,0,0,'Données projet'!$E$13+1,1))-AVERAGE(OFFSET($H$3,0,0,'Données projet'!$E$13+1,1))</f>
        <v>220.18342986563667</v>
      </c>
      <c r="CZ75" s="59">
        <f t="shared" si="96"/>
        <v>347.84382145531163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4.9085764346816131E-6</v>
      </c>
      <c r="DI75" s="22">
        <f t="shared" si="69"/>
        <v>4.9085764346816131E-6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7.7777777777777777</v>
      </c>
      <c r="DO75" s="12">
        <f>IF('Données projet'!$A$166&gt;35,DO74+DN75-DW74,IF(A75&lt;'Données projet'!$A$166,$DL$205^A75,IF(A75='Données projet'!$A$166,'Données projet'!$B$166,DO74+DN75-DW74)))</f>
        <v>219.66666666666663</v>
      </c>
      <c r="DP75" s="17">
        <f>DO75*VLOOKUP('Données projet'!$B$14,Paramètres!$A$1:$I$89,3,0)*VLOOKUP('Données projet'!$B$14,Paramètres!$A$1:$I$89,5,0)</f>
        <v>222.74199999999996</v>
      </c>
      <c r="DQ75" s="13">
        <f t="shared" si="97"/>
        <v>54.710415565107773</v>
      </c>
      <c r="DR75" s="20">
        <f t="shared" si="70"/>
        <v>483.22962377589596</v>
      </c>
      <c r="DS75" s="59">
        <f t="shared" si="71"/>
        <v>750.56133801341707</v>
      </c>
      <c r="DT75" s="59">
        <f ca="1">AVERAGE(OFFSET($DS$3,0,0,'Données projet'!$E$14+1,1))-AVERAGE(OFFSET($H$3,0,0,'Données projet'!$E$14+1,1))</f>
        <v>392.49465607243178</v>
      </c>
      <c r="DU75" s="59">
        <f t="shared" si="98"/>
        <v>258.031856676031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13.608451665442249</v>
      </c>
      <c r="EB75" s="21">
        <f>EXP(-LN(2)/25)*EB74+(1-EXP(-LN(2)/25))/(LN(2)/25)*Calculateur!DW75*Calculateur!DY75*VLOOKUP('Données projet'!$B$14,Paramètres!$A$1:$I$89,3,0)*0.475*44/12</f>
        <v>15.153484290418772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28.76193595586102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294.24530606293143</v>
      </c>
      <c r="EP75" s="59">
        <f t="shared" si="100"/>
        <v>275.88160405468193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167.23242950237594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167.23242950237594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1.1368683772161603E-13</v>
      </c>
      <c r="FF75" s="17">
        <f>FE75*VLOOKUP('Données projet'!$B$16,Paramètres!$A$1:$I$89,3,0)*VLOOKUP('Données projet'!$B$16,Paramètres!$A$1:$I$89,5,0)</f>
        <v>8.3355189417488869E-14</v>
      </c>
      <c r="FG75" s="13">
        <f t="shared" si="101"/>
        <v>1.2790518435140618E-12</v>
      </c>
      <c r="FH75" s="20">
        <f t="shared" si="76"/>
        <v>2.3728589156891171E-12</v>
      </c>
      <c r="FI75" s="59">
        <f t="shared" si="77"/>
        <v>267.3317142375235</v>
      </c>
      <c r="FJ75" s="59">
        <f ca="1">AVERAGE(OFFSET($FI$3,0,0,'Données projet'!$E$16+1,1))-AVERAGE(OFFSET($H$3,0,0,'Données projet'!$E$16+1,1))</f>
        <v>214.31585175697521</v>
      </c>
      <c r="FK75" s="59">
        <f t="shared" si="102"/>
        <v>244.60383864821372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77.663861740431003</v>
      </c>
      <c r="FR75" s="21">
        <f>EXP(-LN(2)/25)*FR74+(1-EXP(-LN(2)/25))/(LN(2)/25)*Calculateur!FM75*Calculateur!FO75*VLOOKUP('Données projet'!$B$16,Paramètres!$A$1:$I$89,3,0)*0.475*44/12</f>
        <v>0</v>
      </c>
      <c r="FS75" s="21">
        <f>EXP(-LN(2)/2)*FS74+(1-EXP(-LN(2)/2))/(LN(2)/2)*FM75*FP75*VLOOKUP('Données projet'!$B$16,Paramètres!$A$1:$I$89,3,0)*0.475*44/12</f>
        <v>0</v>
      </c>
      <c r="FT75" s="22">
        <f t="shared" si="78"/>
        <v>77.663861740431003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-5.6843418860808015E-14</v>
      </c>
      <c r="GA75" s="17">
        <f>FZ75*VLOOKUP('Données projet'!$B$17,Paramètres!$A$1:$I$89,3,0)*VLOOKUP('Données projet'!$B$17,Paramètres!$A$1:$I$89,5,0)</f>
        <v>-4.5224624045658861E-14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308.33954512886351</v>
      </c>
      <c r="GF75" s="59">
        <f t="shared" si="104"/>
        <v>408.79075392716277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107.53735285558582</v>
      </c>
      <c r="GM75" s="21">
        <f>EXP(-LN(2)/25)*GM74+(1-EXP(-LN(2)/25))/(LN(2)/25)*Calculateur!GH75*Calculateur!GJ75*VLOOKUP('Données projet'!$B$17,Paramètres!$A$1:$I$89,3,0)*0.475*44/12</f>
        <v>0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107.53735285558582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342.84342155097613</v>
      </c>
      <c r="T76" s="59">
        <f t="shared" si="88"/>
        <v>565.68976940602215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99.368680164339736</v>
      </c>
      <c r="AA76" s="21">
        <f>EXP(-LN(2)/25)*AA75+(1-EXP(-LN(2)/25))/(LN(2)/25)*Calculateur!V76*Calculateur!X76*VLOOKUP('Données projet'!$B$9,Paramètres!$A$1:$I$89,3,0)*0.475*44/12</f>
        <v>40.643232104081456</v>
      </c>
      <c r="AB76" s="21">
        <f>EXP(-LN(2)/2)*AB75+(1-EXP(-LN(2)/2))/(LN(2)/2)*V76*Y76*VLOOKUP('Données projet'!$B$9,Paramètres!$A$1:$I$89,3,0)*0.475*44/12</f>
        <v>2.5262420153999462E-3</v>
      </c>
      <c r="AC76" s="22">
        <f t="shared" si="57"/>
        <v>140.01443851043658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320.33056209214476</v>
      </c>
      <c r="AO76" s="59">
        <f t="shared" si="90"/>
        <v>299.27200854723446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82.122672491163598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82.122672491163598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256.85706398254547</v>
      </c>
      <c r="BJ76" s="59">
        <f t="shared" si="92"/>
        <v>363.68094621014734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113.19181894121374</v>
      </c>
      <c r="BQ76" s="21">
        <f>EXP(-LN(2)/25)*BQ75+(1-EXP(-LN(2)/25))/(LN(2)/25)*Calculateur!BL76*Calculateur!BN76*VLOOKUP('Données projet'!$B$11,Paramètres!$A$1:$I$89,3,0)*0.475*44/12</f>
        <v>37.622905225881134</v>
      </c>
      <c r="BR76" s="21">
        <f>EXP(-LN(2)/2)*BR75+(1-EXP(-LN(2)/2))/(LN(2)/2)*BL76*BO76*VLOOKUP('Données projet'!$B$11,Paramètres!$A$1:$I$89,3,0)*0.475*44/12</f>
        <v>0.23911839521095377</v>
      </c>
      <c r="BS76" s="22">
        <f t="shared" si="63"/>
        <v>151.05384256230585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7.7777777777777777</v>
      </c>
      <c r="BY76" s="12">
        <f>IF('Données projet'!$A$114&gt;35,BY75+BX76-CG75,IF(A76&lt;'Données projet'!$A$114,$BV$205^A76,IF(A76='Données projet'!$A$114,'Données projet'!$B$114,BY75+BX76-CG75)))</f>
        <v>227.4444444444444</v>
      </c>
      <c r="BZ76" s="13">
        <f>BY76*VLOOKUP('Données projet'!$B$12,Paramètres!$A$1:$I$89,3,0)*VLOOKUP('Données projet'!$B$12,Paramètres!$A$1:$I$89,5,0)</f>
        <v>205.79173333333327</v>
      </c>
      <c r="CA76" s="13">
        <f t="shared" si="93"/>
        <v>51.014892933662388</v>
      </c>
      <c r="CB76" s="20">
        <f t="shared" si="64"/>
        <v>447.27154074835067</v>
      </c>
      <c r="CC76" s="59">
        <f t="shared" si="65"/>
        <v>715.05432494627246</v>
      </c>
      <c r="CD76" s="59">
        <f ca="1">AVERAGE(OFFSET($CC$3,0,0,'Données projet'!$E$12+1,1))-AVERAGE(OFFSET($H$3,0,0,'Données projet'!$E$12+1,1))</f>
        <v>357.68828740212223</v>
      </c>
      <c r="CE76" s="59">
        <f t="shared" si="94"/>
        <v>236.76626845829483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11.904810727075283</v>
      </c>
      <c r="CL76" s="21">
        <f>EXP(-LN(2)/25)*CL75+(1-EXP(-LN(2)/25))/(LN(2)/25)*Calculateur!CG76*Calculateur!CI76*VLOOKUP('Données projet'!$B$12,Paramètres!$A$1:$I$89,3,0)*0.475*44/12</f>
        <v>13.151822538544454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25.056633265619737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257.00000000000006</v>
      </c>
      <c r="CU76" s="17">
        <f>CT76*VLOOKUP('Données projet'!$B$13,Paramètres!$A$1:$I$89,3,0)*VLOOKUP('Données projet'!$B$13,Paramètres!$A$1:$I$89,5,0)</f>
        <v>168.38640000000004</v>
      </c>
      <c r="CV76" s="13">
        <f t="shared" si="95"/>
        <v>42.728430513203243</v>
      </c>
      <c r="CW76" s="20">
        <f t="shared" si="67"/>
        <v>367.69166314382898</v>
      </c>
      <c r="CX76" s="59">
        <f t="shared" si="68"/>
        <v>635.47444734175076</v>
      </c>
      <c r="CY76" s="59">
        <f ca="1">AVERAGE(OFFSET($CX$3,0,0,'Données projet'!$E$13+1,1))-AVERAGE(OFFSET($H$3,0,0,'Données projet'!$E$13+1,1))</f>
        <v>220.18342986563667</v>
      </c>
      <c r="CZ76" s="59">
        <f t="shared" si="96"/>
        <v>347.84382145531163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3.470887682935855E-6</v>
      </c>
      <c r="DI76" s="22">
        <f t="shared" si="69"/>
        <v>3.470887682935855E-6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7.7777777777777777</v>
      </c>
      <c r="DO76" s="12">
        <f>IF('Données projet'!$A$166&gt;35,DO75+DN76-DW75,IF(A76&lt;'Données projet'!$A$166,$DL$205^A76,IF(A76='Données projet'!$A$166,'Données projet'!$B$166,DO75+DN76-DW75)))</f>
        <v>227.4444444444444</v>
      </c>
      <c r="DP76" s="17">
        <f>DO76*VLOOKUP('Données projet'!$B$14,Paramètres!$A$1:$I$89,3,0)*VLOOKUP('Données projet'!$B$14,Paramètres!$A$1:$I$89,5,0)</f>
        <v>230.62866666666665</v>
      </c>
      <c r="DQ76" s="13">
        <f t="shared" si="97"/>
        <v>56.41859236053584</v>
      </c>
      <c r="DR76" s="20">
        <f t="shared" si="70"/>
        <v>499.94064280571092</v>
      </c>
      <c r="DS76" s="59">
        <f t="shared" si="71"/>
        <v>767.72342700363265</v>
      </c>
      <c r="DT76" s="59">
        <f ca="1">AVERAGE(OFFSET($DS$3,0,0,'Données projet'!$E$14+1,1))-AVERAGE(OFFSET($H$3,0,0,'Données projet'!$E$14+1,1))</f>
        <v>392.49465607243178</v>
      </c>
      <c r="DU76" s="59">
        <f t="shared" si="98"/>
        <v>258.031856676031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13.341598228618853</v>
      </c>
      <c r="EB76" s="21">
        <f>EXP(-LN(2)/25)*EB75+(1-EXP(-LN(2)/25))/(LN(2)/25)*Calculateur!DW76*Calculateur!DY76*VLOOKUP('Données projet'!$B$14,Paramètres!$A$1:$I$89,3,0)*0.475*44/12</f>
        <v>14.739111465610167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28.080709694229022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294.24530606293143</v>
      </c>
      <c r="EP76" s="59">
        <f t="shared" si="100"/>
        <v>275.88160405468193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163.95310356154451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163.95310356154451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1.1368683772161603E-13</v>
      </c>
      <c r="FF76" s="17">
        <f>FE76*VLOOKUP('Données projet'!$B$16,Paramètres!$A$1:$I$89,3,0)*VLOOKUP('Données projet'!$B$16,Paramètres!$A$1:$I$89,5,0)</f>
        <v>8.3355189417488869E-14</v>
      </c>
      <c r="FG76" s="13">
        <f t="shared" si="101"/>
        <v>1.2790518435140618E-12</v>
      </c>
      <c r="FH76" s="20">
        <f t="shared" si="76"/>
        <v>2.3728589156891171E-12</v>
      </c>
      <c r="FI76" s="59">
        <f t="shared" si="77"/>
        <v>267.78278419792417</v>
      </c>
      <c r="FJ76" s="59">
        <f ca="1">AVERAGE(OFFSET($FI$3,0,0,'Données projet'!$E$16+1,1))-AVERAGE(OFFSET($H$3,0,0,'Données projet'!$E$16+1,1))</f>
        <v>214.31585175697521</v>
      </c>
      <c r="FK76" s="59">
        <f t="shared" si="102"/>
        <v>244.60383864821372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76.140920781979389</v>
      </c>
      <c r="FR76" s="21">
        <f>EXP(-LN(2)/25)*FR75+(1-EXP(-LN(2)/25))/(LN(2)/25)*Calculateur!FM76*Calculateur!FO76*VLOOKUP('Données projet'!$B$16,Paramètres!$A$1:$I$89,3,0)*0.475*44/12</f>
        <v>0</v>
      </c>
      <c r="FS76" s="21">
        <f>EXP(-LN(2)/2)*FS75+(1-EXP(-LN(2)/2))/(LN(2)/2)*FM76*FP76*VLOOKUP('Données projet'!$B$16,Paramètres!$A$1:$I$89,3,0)*0.475*44/12</f>
        <v>0</v>
      </c>
      <c r="FT76" s="22">
        <f t="shared" si="78"/>
        <v>76.140920781979389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-5.6843418860808015E-14</v>
      </c>
      <c r="GA76" s="17">
        <f>FZ76*VLOOKUP('Données projet'!$B$17,Paramètres!$A$1:$I$89,3,0)*VLOOKUP('Données projet'!$B$17,Paramètres!$A$1:$I$89,5,0)</f>
        <v>-4.5224624045658861E-14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308.33954512886351</v>
      </c>
      <c r="GF76" s="59">
        <f t="shared" si="104"/>
        <v>408.79075392716277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105.42861095739643</v>
      </c>
      <c r="GM76" s="21">
        <f>EXP(-LN(2)/25)*GM75+(1-EXP(-LN(2)/25))/(LN(2)/25)*Calculateur!GH76*Calculateur!GJ76*VLOOKUP('Données projet'!$B$17,Paramètres!$A$1:$I$89,3,0)*0.475*44/12</f>
        <v>0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105.42861095739643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342.84342155097613</v>
      </c>
      <c r="T77" s="59">
        <f t="shared" si="88"/>
        <v>565.68976940602215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97.420120955227304</v>
      </c>
      <c r="AA77" s="21">
        <f>EXP(-LN(2)/25)*AA76+(1-EXP(-LN(2)/25))/(LN(2)/25)*Calculateur!V77*Calculateur!X77*VLOOKUP('Données projet'!$B$9,Paramètres!$A$1:$I$89,3,0)*0.475*44/12</f>
        <v>39.531840784860663</v>
      </c>
      <c r="AB77" s="21">
        <f>EXP(-LN(2)/2)*AB76+(1-EXP(-LN(2)/2))/(LN(2)/2)*V77*Y77*VLOOKUP('Données projet'!$B$9,Paramètres!$A$1:$I$89,3,0)*0.475*44/12</f>
        <v>1.7863228600076726E-3</v>
      </c>
      <c r="AC77" s="22">
        <f t="shared" si="57"/>
        <v>136.95374806294797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320.33056209214476</v>
      </c>
      <c r="AO77" s="59">
        <f t="shared" si="90"/>
        <v>299.27200854723446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79.877023693249072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79.877023693249072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256.85706398254547</v>
      </c>
      <c r="BJ77" s="59">
        <f t="shared" si="92"/>
        <v>363.68094621014734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110.97219641196894</v>
      </c>
      <c r="BQ77" s="21">
        <f>EXP(-LN(2)/25)*BQ76+(1-EXP(-LN(2)/25))/(LN(2)/25)*Calculateur!BL77*Calculateur!BN77*VLOOKUP('Données projet'!$B$11,Paramètres!$A$1:$I$89,3,0)*0.475*44/12</f>
        <v>36.594104903976813</v>
      </c>
      <c r="BR77" s="21">
        <f>EXP(-LN(2)/2)*BR76+(1-EXP(-LN(2)/2))/(LN(2)/2)*BL77*BO77*VLOOKUP('Données projet'!$B$11,Paramètres!$A$1:$I$89,3,0)*0.475*44/12</f>
        <v>0.16908223876011028</v>
      </c>
      <c r="BS77" s="22">
        <f t="shared" si="63"/>
        <v>147.73538355470583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7.7777777777777777</v>
      </c>
      <c r="BY77" s="12">
        <f>IF('Données projet'!$A$114&gt;35,BY76+BX77-CG76,IF(A77&lt;'Données projet'!$A$114,$BV$205^A77,IF(A77='Données projet'!$A$114,'Données projet'!$B$114,BY76+BX77-CG76)))</f>
        <v>235.22222222222217</v>
      </c>
      <c r="BZ77" s="13">
        <f>BY77*VLOOKUP('Données projet'!$B$12,Paramètres!$A$1:$I$89,3,0)*VLOOKUP('Données projet'!$B$12,Paramètres!$A$1:$I$89,5,0)</f>
        <v>212.82906666666662</v>
      </c>
      <c r="CA77" s="13">
        <f t="shared" si="93"/>
        <v>52.55332563548891</v>
      </c>
      <c r="CB77" s="20">
        <f t="shared" si="64"/>
        <v>462.20766659292093</v>
      </c>
      <c r="CC77" s="59">
        <f t="shared" si="65"/>
        <v>730.43369569587185</v>
      </c>
      <c r="CD77" s="59">
        <f ca="1">AVERAGE(OFFSET($CC$3,0,0,'Données projet'!$E$12+1,1))-AVERAGE(OFFSET($H$3,0,0,'Données projet'!$E$12+1,1))</f>
        <v>357.68828740212223</v>
      </c>
      <c r="CE77" s="59">
        <f t="shared" si="94"/>
        <v>236.76626845829483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11.671364649934894</v>
      </c>
      <c r="CL77" s="21">
        <f>EXP(-LN(2)/25)*CL76+(1-EXP(-LN(2)/25))/(LN(2)/25)*Calculateur!CG77*Calculateur!CI77*VLOOKUP('Données projet'!$B$12,Paramètres!$A$1:$I$89,3,0)*0.475*44/12</f>
        <v>12.792185259603668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24.463549909538564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257.00000000000006</v>
      </c>
      <c r="CU77" s="17">
        <f>CT77*VLOOKUP('Données projet'!$B$13,Paramètres!$A$1:$I$89,3,0)*VLOOKUP('Données projet'!$B$13,Paramètres!$A$1:$I$89,5,0)</f>
        <v>168.38640000000004</v>
      </c>
      <c r="CV77" s="13">
        <f t="shared" si="95"/>
        <v>42.728430513203243</v>
      </c>
      <c r="CW77" s="20">
        <f t="shared" si="67"/>
        <v>367.69166314382898</v>
      </c>
      <c r="CX77" s="59">
        <f t="shared" si="68"/>
        <v>635.91769224677978</v>
      </c>
      <c r="CY77" s="59">
        <f ca="1">AVERAGE(OFFSET($CX$3,0,0,'Données projet'!$E$13+1,1))-AVERAGE(OFFSET($H$3,0,0,'Données projet'!$E$13+1,1))</f>
        <v>220.18342986563667</v>
      </c>
      <c r="CZ77" s="59">
        <f t="shared" si="96"/>
        <v>347.84382145531163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2.4542882173408065E-6</v>
      </c>
      <c r="DI77" s="22">
        <f t="shared" si="69"/>
        <v>2.4542882173408065E-6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7.7777777777777777</v>
      </c>
      <c r="DO77" s="12">
        <f>IF('Données projet'!$A$166&gt;35,DO76+DN77-DW76,IF(A77&lt;'Données projet'!$A$166,$DL$205^A77,IF(A77='Données projet'!$A$166,'Données projet'!$B$166,DO76+DN77-DW76)))</f>
        <v>235.22222222222217</v>
      </c>
      <c r="DP77" s="17">
        <f>DO77*VLOOKUP('Données projet'!$B$14,Paramètres!$A$1:$I$89,3,0)*VLOOKUP('Données projet'!$B$14,Paramètres!$A$1:$I$89,5,0)</f>
        <v>238.5153333333333</v>
      </c>
      <c r="DQ77" s="13">
        <f t="shared" si="97"/>
        <v>58.119981944776164</v>
      </c>
      <c r="DR77" s="20">
        <f t="shared" si="70"/>
        <v>516.63984077604061</v>
      </c>
      <c r="DS77" s="59">
        <f t="shared" si="71"/>
        <v>784.86586987899148</v>
      </c>
      <c r="DT77" s="59">
        <f ca="1">AVERAGE(OFFSET($DS$3,0,0,'Données projet'!$E$14+1,1))-AVERAGE(OFFSET($H$3,0,0,'Données projet'!$E$14+1,1))</f>
        <v>392.49465607243178</v>
      </c>
      <c r="DU77" s="59">
        <f t="shared" si="98"/>
        <v>258.031856676031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13.079977624927038</v>
      </c>
      <c r="EB77" s="21">
        <f>EXP(-LN(2)/25)*EB76+(1-EXP(-LN(2)/25))/(LN(2)/25)*Calculateur!DW77*Calculateur!DY77*VLOOKUP('Données projet'!$B$14,Paramètres!$A$1:$I$89,3,0)*0.475*44/12</f>
        <v>14.336069687486871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27.416047312413909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294.24530606293143</v>
      </c>
      <c r="EP77" s="59">
        <f t="shared" si="100"/>
        <v>275.88160405468193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160.73808320222147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160.73808320222147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1.1368683772161603E-13</v>
      </c>
      <c r="FF77" s="17">
        <f>FE77*VLOOKUP('Données projet'!$B$16,Paramètres!$A$1:$I$89,3,0)*VLOOKUP('Données projet'!$B$16,Paramètres!$A$1:$I$89,5,0)</f>
        <v>8.3355189417488869E-14</v>
      </c>
      <c r="FG77" s="13">
        <f t="shared" si="101"/>
        <v>1.2790518435140618E-12</v>
      </c>
      <c r="FH77" s="20">
        <f t="shared" si="76"/>
        <v>2.3728589156891171E-12</v>
      </c>
      <c r="FI77" s="59">
        <f t="shared" si="77"/>
        <v>268.22602910295325</v>
      </c>
      <c r="FJ77" s="59">
        <f ca="1">AVERAGE(OFFSET($FI$3,0,0,'Données projet'!$E$16+1,1))-AVERAGE(OFFSET($H$3,0,0,'Données projet'!$E$16+1,1))</f>
        <v>214.31585175697521</v>
      </c>
      <c r="FK77" s="59">
        <f t="shared" si="102"/>
        <v>244.60383864821372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74.647843766820742</v>
      </c>
      <c r="FR77" s="21">
        <f>EXP(-LN(2)/25)*FR76+(1-EXP(-LN(2)/25))/(LN(2)/25)*Calculateur!FM77*Calculateur!FO77*VLOOKUP('Données projet'!$B$16,Paramètres!$A$1:$I$89,3,0)*0.475*44/12</f>
        <v>0</v>
      </c>
      <c r="FS77" s="21">
        <f>EXP(-LN(2)/2)*FS76+(1-EXP(-LN(2)/2))/(LN(2)/2)*FM77*FP77*VLOOKUP('Données projet'!$B$16,Paramètres!$A$1:$I$89,3,0)*0.475*44/12</f>
        <v>0</v>
      </c>
      <c r="FT77" s="22">
        <f t="shared" si="78"/>
        <v>74.647843766820742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-5.6843418860808015E-14</v>
      </c>
      <c r="GA77" s="17">
        <f>FZ77*VLOOKUP('Données projet'!$B$17,Paramètres!$A$1:$I$89,3,0)*VLOOKUP('Données projet'!$B$17,Paramètres!$A$1:$I$89,5,0)</f>
        <v>-4.5224624045658861E-14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308.33954512886351</v>
      </c>
      <c r="GF77" s="59">
        <f t="shared" si="104"/>
        <v>408.79075392716277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103.36122020162497</v>
      </c>
      <c r="GM77" s="21">
        <f>EXP(-LN(2)/25)*GM76+(1-EXP(-LN(2)/25))/(LN(2)/25)*Calculateur!GH77*Calculateur!GJ77*VLOOKUP('Données projet'!$B$17,Paramètres!$A$1:$I$89,3,0)*0.475*44/12</f>
        <v>0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103.36122020162497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342.84342155097613</v>
      </c>
      <c r="T78" s="59">
        <f t="shared" si="88"/>
        <v>565.68976940602215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95.509771803701796</v>
      </c>
      <c r="AA78" s="21">
        <f>EXP(-LN(2)/25)*AA77+(1-EXP(-LN(2)/25))/(LN(2)/25)*Calculateur!V78*Calculateur!X78*VLOOKUP('Données projet'!$B$9,Paramètres!$A$1:$I$89,3,0)*0.475*44/12</f>
        <v>38.450840519709494</v>
      </c>
      <c r="AB78" s="21">
        <f>EXP(-LN(2)/2)*AB77+(1-EXP(-LN(2)/2))/(LN(2)/2)*V78*Y78*VLOOKUP('Données projet'!$B$9,Paramètres!$A$1:$I$89,3,0)*0.475*44/12</f>
        <v>1.2631210076999731E-3</v>
      </c>
      <c r="AC78" s="22">
        <f t="shared" si="57"/>
        <v>133.96187544441898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320.33056209214476</v>
      </c>
      <c r="AO78" s="59">
        <f t="shared" si="90"/>
        <v>299.27200854723446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77.692782279807062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77.692782279807062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256.85706398254547</v>
      </c>
      <c r="BJ78" s="59">
        <f t="shared" si="92"/>
        <v>363.68094621014734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108.79609932668656</v>
      </c>
      <c r="BQ78" s="21">
        <f>EXP(-LN(2)/25)*BQ77+(1-EXP(-LN(2)/25))/(LN(2)/25)*Calculateur!BL78*Calculateur!BN78*VLOOKUP('Données projet'!$B$11,Paramètres!$A$1:$I$89,3,0)*0.475*44/12</f>
        <v>35.593437180977226</v>
      </c>
      <c r="BR78" s="21">
        <f>EXP(-LN(2)/2)*BR77+(1-EXP(-LN(2)/2))/(LN(2)/2)*BL78*BO78*VLOOKUP('Données projet'!$B$11,Paramètres!$A$1:$I$89,3,0)*0.475*44/12</f>
        <v>0.11955919760547688</v>
      </c>
      <c r="BS78" s="22">
        <f t="shared" si="63"/>
        <v>144.50909570526926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243</v>
      </c>
      <c r="BW78" s="12">
        <f>VLOOKUP(A78,'Données projet'!$A$113:$I$133,9,0)</f>
        <v>7.7777777777777777</v>
      </c>
      <c r="BX78" s="12">
        <f t="array" ref="BX78">INDEX(BW:BW,MIN(IF(ISNUMBER(BW78:BW274),ROW(BW78:BW274),"")))</f>
        <v>7.7777777777777777</v>
      </c>
      <c r="BY78" s="12">
        <f>IF('Données projet'!$A$114&gt;35,BY77+BX78-CG77,IF(A78&lt;'Données projet'!$A$114,$BV$205^A78,IF(A78='Données projet'!$A$114,'Données projet'!$B$114,BY77+BX78-CG77)))</f>
        <v>242.99999999999994</v>
      </c>
      <c r="BZ78" s="13">
        <f>BY78*VLOOKUP('Données projet'!$B$12,Paramètres!$A$1:$I$89,3,0)*VLOOKUP('Données projet'!$B$12,Paramètres!$A$1:$I$89,5,0)</f>
        <v>219.86639999999997</v>
      </c>
      <c r="CA78" s="13">
        <f t="shared" si="93"/>
        <v>54.085847394182416</v>
      </c>
      <c r="CB78" s="20">
        <f t="shared" si="64"/>
        <v>477.13349754486762</v>
      </c>
      <c r="CC78" s="59">
        <f t="shared" si="65"/>
        <v>745.79508224469237</v>
      </c>
      <c r="CD78" s="59">
        <f ca="1">AVERAGE(OFFSET($CC$3,0,0,'Données projet'!$E$12+1,1))-AVERAGE(OFFSET($H$3,0,0,'Données projet'!$E$12+1,1))</f>
        <v>357.68828740212223</v>
      </c>
      <c r="CE78" s="59">
        <f t="shared" si="94"/>
        <v>236.76626845829483</v>
      </c>
      <c r="CF78" s="15">
        <f>IF(ISNA(VLOOKUP(A78,'Données projet'!$A$113:$I$133,3,0)),0,VLOOKUP(A78,'Données projet'!$A$113:$I$133,3,0))</f>
        <v>5</v>
      </c>
      <c r="CG78" s="15">
        <f>IF(ISNA(VLOOKUP(A78,'Données projet'!$A$113:$I$133,4,0)),0,VLOOKUP(A78,'Données projet'!$A$113:$I$133,4,0))</f>
        <v>37</v>
      </c>
      <c r="CH78" s="16">
        <f>IF(ISNA(VLOOKUP(A78,'Données projet'!$A$113:$I$133,5,0)),0%,VLOOKUP(A78,'Données projet'!$A$113:$I$133,5,0)*VLOOKUP('Données projet'!$B$12,Paramètres!$A$1:$I$89,7,0))</f>
        <v>0.17200000000000001</v>
      </c>
      <c r="CI78" s="16">
        <f>IF(ISNA(VLOOKUP(A78,'Données projet'!$A$113:$I$133,6,0)),0%,VLOOKUP(A78,'Données projet'!$A$113:$I$133,6,0)*VLOOKUP('Données projet'!$B$12,Paramètres!$A$1:$I$89,7,0))</f>
        <v>0.215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17.807957478569776</v>
      </c>
      <c r="CL78" s="21">
        <f>EXP(-LN(2)/25)*CL77+(1-EXP(-LN(2)/25))/(LN(2)/25)*Calculateur!CG78*Calculateur!CI78*VLOOKUP('Données projet'!$B$12,Paramètres!$A$1:$I$89,3,0)*0.475*44/12</f>
        <v>20.367879686631923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38.175837165201699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257.00000000000006</v>
      </c>
      <c r="CU78" s="17">
        <f>CT78*VLOOKUP('Données projet'!$B$13,Paramètres!$A$1:$I$89,3,0)*VLOOKUP('Données projet'!$B$13,Paramètres!$A$1:$I$89,5,0)</f>
        <v>168.38640000000004</v>
      </c>
      <c r="CV78" s="13">
        <f t="shared" si="95"/>
        <v>42.728430513203243</v>
      </c>
      <c r="CW78" s="20">
        <f t="shared" si="67"/>
        <v>367.69166314382898</v>
      </c>
      <c r="CX78" s="59">
        <f t="shared" si="68"/>
        <v>636.35324784365378</v>
      </c>
      <c r="CY78" s="59">
        <f ca="1">AVERAGE(OFFSET($CX$3,0,0,'Données projet'!$E$13+1,1))-AVERAGE(OFFSET($H$3,0,0,'Données projet'!$E$13+1,1))</f>
        <v>220.18342986563667</v>
      </c>
      <c r="CZ78" s="59">
        <f t="shared" si="96"/>
        <v>347.84382145531163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1.7354438414679275E-6</v>
      </c>
      <c r="DI78" s="22">
        <f t="shared" si="69"/>
        <v>1.7354438414679275E-6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243</v>
      </c>
      <c r="DM78" s="12">
        <f>VLOOKUP(A78,'Données projet'!$A$165:$I$185,9,0)</f>
        <v>7.7777777777777777</v>
      </c>
      <c r="DN78" s="12">
        <f t="array" ref="DN78">INDEX(DM:DM,MIN(IF(ISNUMBER(DM78:DM274),ROW(DM78:DM274),"")))</f>
        <v>7.7777777777777777</v>
      </c>
      <c r="DO78" s="12">
        <f>IF('Données projet'!$A$166&gt;35,DO77+DN78-DW77,IF(A78&lt;'Données projet'!$A$166,$DL$205^A78,IF(A78='Données projet'!$A$166,'Données projet'!$B$166,DO77+DN78-DW77)))</f>
        <v>242.99999999999994</v>
      </c>
      <c r="DP78" s="17">
        <f>DO78*VLOOKUP('Données projet'!$B$14,Paramètres!$A$1:$I$89,3,0)*VLOOKUP('Données projet'!$B$14,Paramètres!$A$1:$I$89,5,0)</f>
        <v>246.40199999999996</v>
      </c>
      <c r="DQ78" s="13">
        <f t="shared" si="97"/>
        <v>59.814834475385474</v>
      </c>
      <c r="DR78" s="20">
        <f t="shared" si="70"/>
        <v>533.32765337796297</v>
      </c>
      <c r="DS78" s="59">
        <f t="shared" si="71"/>
        <v>801.98923807778783</v>
      </c>
      <c r="DT78" s="59">
        <f ca="1">AVERAGE(OFFSET($DS$3,0,0,'Données projet'!$E$14+1,1))-AVERAGE(OFFSET($H$3,0,0,'Données projet'!$E$14+1,1))</f>
        <v>392.49465607243178</v>
      </c>
      <c r="DU78" s="59">
        <f t="shared" si="98"/>
        <v>258.031856676031</v>
      </c>
      <c r="DV78" s="15">
        <f>IF(ISNA(VLOOKUP(A78,'Données projet'!$A$165:$I$185,3,0)),0,VLOOKUP(A78,'Données projet'!$A$165:$I$185,3,0))</f>
        <v>5</v>
      </c>
      <c r="DW78" s="15">
        <f>IF(ISNA(VLOOKUP(A78,'Données projet'!$A$165:$I$185,4,0)),0,VLOOKUP(A78,'Données projet'!$A$165:$I$185,4,0))</f>
        <v>37</v>
      </c>
      <c r="DX78" s="16">
        <f>IF(ISNA(VLOOKUP(A78,'Données projet'!$A$165:$I$185,5,0)),0%,VLOOKUP(A78,'Données projet'!$A$165:$I$185,5,0)*VLOOKUP('Données projet'!$B$14,Paramètres!$A$1:$I$89,7,0))</f>
        <v>0.17200000000000001</v>
      </c>
      <c r="DY78" s="16">
        <f>IF(ISNA(VLOOKUP(A78,'Données projet'!$A$165:$I$185,6,0)),0%,VLOOKUP(A78,'Données projet'!$A$165:$I$185,6,0)*VLOOKUP('Données projet'!$B$14,Paramètres!$A$1:$I$89,7,0))</f>
        <v>0.215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19.95719372598337</v>
      </c>
      <c r="EB78" s="21">
        <f>EXP(-LN(2)/25)*EB77+(1-EXP(-LN(2)/25))/(LN(2)/25)*Calculateur!DW78*Calculateur!DY78*VLOOKUP('Données projet'!$B$14,Paramètres!$A$1:$I$89,3,0)*0.475*44/12</f>
        <v>22.826072062604744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42.78326578858811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294.24530606293143</v>
      </c>
      <c r="EP78" s="59">
        <f t="shared" si="100"/>
        <v>275.88160405468193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157.58610743117598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157.58610743117598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1.1368683772161603E-13</v>
      </c>
      <c r="FF78" s="17">
        <f>FE78*VLOOKUP('Données projet'!$B$16,Paramètres!$A$1:$I$89,3,0)*VLOOKUP('Données projet'!$B$16,Paramètres!$A$1:$I$89,5,0)</f>
        <v>8.3355189417488869E-14</v>
      </c>
      <c r="FG78" s="13">
        <f t="shared" si="101"/>
        <v>1.2790518435140618E-12</v>
      </c>
      <c r="FH78" s="20">
        <f t="shared" si="76"/>
        <v>2.3728589156891171E-12</v>
      </c>
      <c r="FI78" s="59">
        <f t="shared" si="77"/>
        <v>268.66158469982719</v>
      </c>
      <c r="FJ78" s="59">
        <f ca="1">AVERAGE(OFFSET($FI$3,0,0,'Données projet'!$E$16+1,1))-AVERAGE(OFFSET($H$3,0,0,'Données projet'!$E$16+1,1))</f>
        <v>214.31585175697521</v>
      </c>
      <c r="FK78" s="59">
        <f t="shared" si="102"/>
        <v>244.60383864821372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73.184045081242303</v>
      </c>
      <c r="FR78" s="21">
        <f>EXP(-LN(2)/25)*FR77+(1-EXP(-LN(2)/25))/(LN(2)/25)*Calculateur!FM78*Calculateur!FO78*VLOOKUP('Données projet'!$B$16,Paramètres!$A$1:$I$89,3,0)*0.475*44/12</f>
        <v>0</v>
      </c>
      <c r="FS78" s="21">
        <f>EXP(-LN(2)/2)*FS77+(1-EXP(-LN(2)/2))/(LN(2)/2)*FM78*FP78*VLOOKUP('Données projet'!$B$16,Paramètres!$A$1:$I$89,3,0)*0.475*44/12</f>
        <v>0</v>
      </c>
      <c r="FT78" s="22">
        <f t="shared" si="78"/>
        <v>73.184045081242303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-5.6843418860808015E-14</v>
      </c>
      <c r="GA78" s="17">
        <f>FZ78*VLOOKUP('Données projet'!$B$17,Paramètres!$A$1:$I$89,3,0)*VLOOKUP('Données projet'!$B$17,Paramètres!$A$1:$I$89,5,0)</f>
        <v>-4.5224624045658861E-14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308.33954512886351</v>
      </c>
      <c r="GF78" s="59">
        <f t="shared" si="104"/>
        <v>408.79075392716277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101.33436971759033</v>
      </c>
      <c r="GM78" s="21">
        <f>EXP(-LN(2)/25)*GM77+(1-EXP(-LN(2)/25))/(LN(2)/25)*Calculateur!GH78*Calculateur!GJ78*VLOOKUP('Données projet'!$B$17,Paramètres!$A$1:$I$89,3,0)*0.475*44/12</f>
        <v>0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101.33436971759033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342.84342155097613</v>
      </c>
      <c r="T79" s="59">
        <f t="shared" si="88"/>
        <v>565.68976940602215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93.636883433839785</v>
      </c>
      <c r="AA79" s="21">
        <f>EXP(-LN(2)/25)*AA78+(1-EXP(-LN(2)/25))/(LN(2)/25)*Calculateur!V79*Calculateur!X79*VLOOKUP('Données projet'!$B$9,Paramètres!$A$1:$I$89,3,0)*0.475*44/12</f>
        <v>37.399400263656219</v>
      </c>
      <c r="AB79" s="21">
        <f>EXP(-LN(2)/2)*AB78+(1-EXP(-LN(2)/2))/(LN(2)/2)*V79*Y79*VLOOKUP('Données projet'!$B$9,Paramètres!$A$1:$I$89,3,0)*0.475*44/12</f>
        <v>8.9316143000383631E-4</v>
      </c>
      <c r="AC79" s="22">
        <f t="shared" si="57"/>
        <v>131.03717685892602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320.33056209214476</v>
      </c>
      <c r="AO79" s="59">
        <f t="shared" si="90"/>
        <v>299.27200854723446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75.568269062679889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75.568269062679889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256.85706398254547</v>
      </c>
      <c r="BJ79" s="59">
        <f t="shared" si="92"/>
        <v>363.68094621014734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106.66267417795841</v>
      </c>
      <c r="BQ79" s="21">
        <f>EXP(-LN(2)/25)*BQ78+(1-EXP(-LN(2)/25))/(LN(2)/25)*Calculateur!BL79*Calculateur!BN79*VLOOKUP('Données projet'!$B$11,Paramètres!$A$1:$I$89,3,0)*0.475*44/12</f>
        <v>34.620132769485892</v>
      </c>
      <c r="BR79" s="21">
        <f>EXP(-LN(2)/2)*BR78+(1-EXP(-LN(2)/2))/(LN(2)/2)*BL79*BO79*VLOOKUP('Données projet'!$B$11,Paramètres!$A$1:$I$89,3,0)*0.475*44/12</f>
        <v>8.4541119380055138E-2</v>
      </c>
      <c r="BS79" s="22">
        <f t="shared" si="63"/>
        <v>141.36734806682435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7.4444444444444446</v>
      </c>
      <c r="BY79" s="12">
        <f>IF('Données projet'!$A$114&gt;35,BY78+BX79-CG78,IF(A79&lt;'Données projet'!$A$114,$BV$205^A79,IF(A79='Données projet'!$A$114,'Données projet'!$B$114,BY78+BX79-CG78)))</f>
        <v>213.4444444444444</v>
      </c>
      <c r="BZ79" s="13">
        <f>BY79*VLOOKUP('Données projet'!$B$12,Paramètres!$A$1:$I$89,3,0)*VLOOKUP('Données projet'!$B$12,Paramètres!$A$1:$I$89,5,0)</f>
        <v>193.12453333333329</v>
      </c>
      <c r="CA79" s="13">
        <f t="shared" si="93"/>
        <v>48.230085668781648</v>
      </c>
      <c r="CB79" s="20">
        <f t="shared" si="64"/>
        <v>420.35929476201682</v>
      </c>
      <c r="CC79" s="59">
        <f t="shared" si="65"/>
        <v>689.44887914286619</v>
      </c>
      <c r="CD79" s="59">
        <f ca="1">AVERAGE(OFFSET($CC$3,0,0,'Données projet'!$E$12+1,1))-AVERAGE(OFFSET($H$3,0,0,'Données projet'!$E$12+1,1))</f>
        <v>357.68828740212223</v>
      </c>
      <c r="CE79" s="59">
        <f t="shared" si="94"/>
        <v>236.76626845829483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17.458754294196574</v>
      </c>
      <c r="CL79" s="21">
        <f>EXP(-LN(2)/25)*CL78+(1-EXP(-LN(2)/25))/(LN(2)/25)*Calculateur!CG79*Calculateur!CI79*VLOOKUP('Données projet'!$B$12,Paramètres!$A$1:$I$89,3,0)*0.475*44/12</f>
        <v>19.810918945500731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37.269673239697305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257.00000000000006</v>
      </c>
      <c r="CU79" s="17">
        <f>CT79*VLOOKUP('Données projet'!$B$13,Paramètres!$A$1:$I$89,3,0)*VLOOKUP('Données projet'!$B$13,Paramètres!$A$1:$I$89,5,0)</f>
        <v>168.38640000000004</v>
      </c>
      <c r="CV79" s="13">
        <f t="shared" si="95"/>
        <v>42.728430513203243</v>
      </c>
      <c r="CW79" s="20">
        <f t="shared" si="67"/>
        <v>367.69166314382898</v>
      </c>
      <c r="CX79" s="59">
        <f t="shared" si="68"/>
        <v>636.78124752467841</v>
      </c>
      <c r="CY79" s="59">
        <f ca="1">AVERAGE(OFFSET($CX$3,0,0,'Données projet'!$E$13+1,1))-AVERAGE(OFFSET($H$3,0,0,'Données projet'!$E$13+1,1))</f>
        <v>220.18342986563667</v>
      </c>
      <c r="CZ79" s="59">
        <f t="shared" si="96"/>
        <v>347.84382145531163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1.2271441086704033E-6</v>
      </c>
      <c r="DI79" s="22">
        <f t="shared" si="69"/>
        <v>1.2271441086704033E-6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7.4444444444444446</v>
      </c>
      <c r="DO79" s="12">
        <f>IF('Données projet'!$A$166&gt;35,DO78+DN79-DW78,IF(A79&lt;'Données projet'!$A$166,$DL$205^A79,IF(A79='Données projet'!$A$166,'Données projet'!$B$166,DO78+DN79-DW78)))</f>
        <v>213.4444444444444</v>
      </c>
      <c r="DP79" s="17">
        <f>DO79*VLOOKUP('Données projet'!$B$14,Paramètres!$A$1:$I$89,3,0)*VLOOKUP('Données projet'!$B$14,Paramètres!$A$1:$I$89,5,0)</f>
        <v>216.43266666666662</v>
      </c>
      <c r="DQ79" s="13">
        <f t="shared" si="97"/>
        <v>53.338807285140881</v>
      </c>
      <c r="DR79" s="20">
        <f t="shared" si="70"/>
        <v>469.85198379939806</v>
      </c>
      <c r="DS79" s="59">
        <f t="shared" si="71"/>
        <v>738.94156818024749</v>
      </c>
      <c r="DT79" s="59">
        <f ca="1">AVERAGE(OFFSET($DS$3,0,0,'Données projet'!$E$14+1,1))-AVERAGE(OFFSET($H$3,0,0,'Données projet'!$E$14+1,1))</f>
        <v>392.49465607243178</v>
      </c>
      <c r="DU79" s="59">
        <f t="shared" si="98"/>
        <v>258.031856676031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19.565845329703055</v>
      </c>
      <c r="EB79" s="21">
        <f>EXP(-LN(2)/25)*EB78+(1-EXP(-LN(2)/25))/(LN(2)/25)*Calculateur!DW79*Calculateur!DY79*VLOOKUP('Données projet'!$B$14,Paramètres!$A$1:$I$89,3,0)*0.475*44/12</f>
        <v>22.201891921681856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41.767737251384915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294.24530606293143</v>
      </c>
      <c r="EP79" s="59">
        <f t="shared" si="100"/>
        <v>275.88160405468193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154.49593998248528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154.49593998248528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1.1368683772161603E-13</v>
      </c>
      <c r="FF79" s="17">
        <f>FE79*VLOOKUP('Données projet'!$B$16,Paramètres!$A$1:$I$89,3,0)*VLOOKUP('Données projet'!$B$16,Paramètres!$A$1:$I$89,5,0)</f>
        <v>8.3355189417488869E-14</v>
      </c>
      <c r="FG79" s="13">
        <f t="shared" si="101"/>
        <v>1.2790518435140618E-12</v>
      </c>
      <c r="FH79" s="20">
        <f t="shared" si="76"/>
        <v>2.3728589156891171E-12</v>
      </c>
      <c r="FI79" s="59">
        <f t="shared" si="77"/>
        <v>269.08958438085182</v>
      </c>
      <c r="FJ79" s="59">
        <f ca="1">AVERAGE(OFFSET($FI$3,0,0,'Données projet'!$E$16+1,1))-AVERAGE(OFFSET($H$3,0,0,'Données projet'!$E$16+1,1))</f>
        <v>214.31585175697521</v>
      </c>
      <c r="FK79" s="59">
        <f t="shared" si="102"/>
        <v>244.60383864821372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71.748950595059014</v>
      </c>
      <c r="FR79" s="21">
        <f>EXP(-LN(2)/25)*FR78+(1-EXP(-LN(2)/25))/(LN(2)/25)*Calculateur!FM79*Calculateur!FO79*VLOOKUP('Données projet'!$B$16,Paramètres!$A$1:$I$89,3,0)*0.475*44/12</f>
        <v>0</v>
      </c>
      <c r="FS79" s="21">
        <f>EXP(-LN(2)/2)*FS78+(1-EXP(-LN(2)/2))/(LN(2)/2)*FM79*FP79*VLOOKUP('Données projet'!$B$16,Paramètres!$A$1:$I$89,3,0)*0.475*44/12</f>
        <v>0</v>
      </c>
      <c r="FT79" s="22">
        <f t="shared" si="78"/>
        <v>71.748950595059014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-5.6843418860808015E-14</v>
      </c>
      <c r="GA79" s="17">
        <f>FZ79*VLOOKUP('Données projet'!$B$17,Paramètres!$A$1:$I$89,3,0)*VLOOKUP('Données projet'!$B$17,Paramètres!$A$1:$I$89,5,0)</f>
        <v>-4.5224624045658861E-14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308.33954512886351</v>
      </c>
      <c r="GF79" s="59">
        <f t="shared" si="104"/>
        <v>408.79075392716277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99.34726453529089</v>
      </c>
      <c r="GM79" s="21">
        <f>EXP(-LN(2)/25)*GM78+(1-EXP(-LN(2)/25))/(LN(2)/25)*Calculateur!GH79*Calculateur!GJ79*VLOOKUP('Données projet'!$B$17,Paramètres!$A$1:$I$89,3,0)*0.475*44/12</f>
        <v>0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99.34726453529089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342.84342155097613</v>
      </c>
      <c r="T80" s="59">
        <f t="shared" si="88"/>
        <v>565.68976940602215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91.800721262561652</v>
      </c>
      <c r="AA80" s="21">
        <f>EXP(-LN(2)/25)*AA79+(1-EXP(-LN(2)/25))/(LN(2)/25)*Calculateur!V80*Calculateur!X80*VLOOKUP('Données projet'!$B$9,Paramètres!$A$1:$I$89,3,0)*0.475*44/12</f>
        <v>36.376711696697555</v>
      </c>
      <c r="AB80" s="21">
        <f>EXP(-LN(2)/2)*AB79+(1-EXP(-LN(2)/2))/(LN(2)/2)*V80*Y80*VLOOKUP('Données projet'!$B$9,Paramètres!$A$1:$I$89,3,0)*0.475*44/12</f>
        <v>6.3156050384998656E-4</v>
      </c>
      <c r="AC80" s="22">
        <f t="shared" si="57"/>
        <v>128.17806451976304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320.33056209214476</v>
      </c>
      <c r="AO80" s="59">
        <f t="shared" si="90"/>
        <v>299.27200854723446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73.501850771198349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73.501850771198349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256.85706398254547</v>
      </c>
      <c r="BJ80" s="59">
        <f t="shared" si="92"/>
        <v>363.68094621014734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104.57108419513597</v>
      </c>
      <c r="BQ80" s="21">
        <f>EXP(-LN(2)/25)*BQ79+(1-EXP(-LN(2)/25))/(LN(2)/25)*Calculateur!BL80*Calculateur!BN80*VLOOKUP('Données projet'!$B$11,Paramètres!$A$1:$I$89,3,0)*0.475*44/12</f>
        <v>33.67344341831064</v>
      </c>
      <c r="BR80" s="21">
        <f>EXP(-LN(2)/2)*BR79+(1-EXP(-LN(2)/2))/(LN(2)/2)*BL80*BO80*VLOOKUP('Données projet'!$B$11,Paramètres!$A$1:$I$89,3,0)*0.475*44/12</f>
        <v>5.9779598802738441E-2</v>
      </c>
      <c r="BS80" s="22">
        <f t="shared" si="63"/>
        <v>138.30430721224937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7.4444444444444446</v>
      </c>
      <c r="BY80" s="12">
        <f>IF('Données projet'!$A$114&gt;35,BY79+BX80-CG79,IF(A80&lt;'Données projet'!$A$114,$BV$205^A80,IF(A80='Données projet'!$A$114,'Données projet'!$B$114,BY79+BX80-CG79)))</f>
        <v>220.88888888888886</v>
      </c>
      <c r="BZ80" s="13">
        <f>BY80*VLOOKUP('Données projet'!$B$12,Paramètres!$A$1:$I$89,3,0)*VLOOKUP('Données projet'!$B$12,Paramètres!$A$1:$I$89,5,0)</f>
        <v>199.8602666666666</v>
      </c>
      <c r="CA80" s="13">
        <f t="shared" si="93"/>
        <v>49.713457318990983</v>
      </c>
      <c r="CB80" s="20">
        <f t="shared" si="64"/>
        <v>434.6742359416869</v>
      </c>
      <c r="CC80" s="59">
        <f t="shared" si="65"/>
        <v>704.18439516595913</v>
      </c>
      <c r="CD80" s="59">
        <f ca="1">AVERAGE(OFFSET($CC$3,0,0,'Données projet'!$E$12+1,1))-AVERAGE(OFFSET($H$3,0,0,'Données projet'!$E$12+1,1))</f>
        <v>357.68828740212223</v>
      </c>
      <c r="CE80" s="59">
        <f t="shared" si="94"/>
        <v>236.76626845829483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17.116398771276017</v>
      </c>
      <c r="CL80" s="21">
        <f>EXP(-LN(2)/25)*CL79+(1-EXP(-LN(2)/25))/(LN(2)/25)*Calculateur!CG80*Calculateur!CI80*VLOOKUP('Données projet'!$B$12,Paramètres!$A$1:$I$89,3,0)*0.475*44/12</f>
        <v>19.269188325125064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36.385587096401082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257.00000000000006</v>
      </c>
      <c r="CU80" s="17">
        <f>CT80*VLOOKUP('Données projet'!$B$13,Paramètres!$A$1:$I$89,3,0)*VLOOKUP('Données projet'!$B$13,Paramètres!$A$1:$I$89,5,0)</f>
        <v>168.38640000000004</v>
      </c>
      <c r="CV80" s="13">
        <f t="shared" si="95"/>
        <v>42.728430513203243</v>
      </c>
      <c r="CW80" s="20">
        <f t="shared" si="67"/>
        <v>367.69166314382898</v>
      </c>
      <c r="CX80" s="59">
        <f t="shared" si="68"/>
        <v>637.20182236810126</v>
      </c>
      <c r="CY80" s="59">
        <f ca="1">AVERAGE(OFFSET($CX$3,0,0,'Données projet'!$E$13+1,1))-AVERAGE(OFFSET($H$3,0,0,'Données projet'!$E$13+1,1))</f>
        <v>220.18342986563667</v>
      </c>
      <c r="CZ80" s="59">
        <f t="shared" si="96"/>
        <v>347.84382145531163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8.6772192073396376E-7</v>
      </c>
      <c r="DI80" s="22">
        <f t="shared" si="69"/>
        <v>8.6772192073396376E-7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7.4444444444444446</v>
      </c>
      <c r="DO80" s="12">
        <f>IF('Données projet'!$A$166&gt;35,DO79+DN80-DW79,IF(A80&lt;'Données projet'!$A$166,$DL$205^A80,IF(A80='Données projet'!$A$166,'Données projet'!$B$166,DO79+DN80-DW79)))</f>
        <v>220.88888888888886</v>
      </c>
      <c r="DP80" s="17">
        <f>DO80*VLOOKUP('Données projet'!$B$14,Paramètres!$A$1:$I$89,3,0)*VLOOKUP('Données projet'!$B$14,Paramètres!$A$1:$I$89,5,0)</f>
        <v>223.98133333333331</v>
      </c>
      <c r="DQ80" s="13">
        <f t="shared" si="97"/>
        <v>54.979303533190695</v>
      </c>
      <c r="DR80" s="20">
        <f t="shared" si="70"/>
        <v>485.85644254252929</v>
      </c>
      <c r="DS80" s="59">
        <f t="shared" si="71"/>
        <v>755.36660176680152</v>
      </c>
      <c r="DT80" s="59">
        <f ca="1">AVERAGE(OFFSET($DS$3,0,0,'Données projet'!$E$14+1,1))-AVERAGE(OFFSET($H$3,0,0,'Données projet'!$E$14+1,1))</f>
        <v>392.49465607243178</v>
      </c>
      <c r="DU80" s="59">
        <f t="shared" si="98"/>
        <v>258.031856676031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19.182171036774847</v>
      </c>
      <c r="EB80" s="21">
        <f>EXP(-LN(2)/25)*EB79+(1-EXP(-LN(2)/25))/(LN(2)/25)*Calculateur!DW80*Calculateur!DY80*VLOOKUP('Données projet'!$B$14,Paramètres!$A$1:$I$89,3,0)*0.475*44/12</f>
        <v>21.594780019536714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40.77695105631156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294.24530606293143</v>
      </c>
      <c r="EP80" s="59">
        <f t="shared" si="100"/>
        <v>275.88160405468193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151.46636883264739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151.46636883264739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1.1368683772161603E-13</v>
      </c>
      <c r="FF80" s="17">
        <f>FE80*VLOOKUP('Données projet'!$B$16,Paramètres!$A$1:$I$89,3,0)*VLOOKUP('Données projet'!$B$16,Paramètres!$A$1:$I$89,5,0)</f>
        <v>8.3355189417488869E-14</v>
      </c>
      <c r="FG80" s="13">
        <f t="shared" si="101"/>
        <v>1.2790518435140618E-12</v>
      </c>
      <c r="FH80" s="20">
        <f t="shared" si="76"/>
        <v>2.3728589156891171E-12</v>
      </c>
      <c r="FI80" s="59">
        <f t="shared" si="77"/>
        <v>269.51015922427467</v>
      </c>
      <c r="FJ80" s="59">
        <f ca="1">AVERAGE(OFFSET($FI$3,0,0,'Données projet'!$E$16+1,1))-AVERAGE(OFFSET($H$3,0,0,'Données projet'!$E$16+1,1))</f>
        <v>214.31585175697521</v>
      </c>
      <c r="FK80" s="59">
        <f t="shared" si="102"/>
        <v>244.60383864821372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70.341997436428585</v>
      </c>
      <c r="FR80" s="21">
        <f>EXP(-LN(2)/25)*FR79+(1-EXP(-LN(2)/25))/(LN(2)/25)*Calculateur!FM80*Calculateur!FO80*VLOOKUP('Données projet'!$B$16,Paramètres!$A$1:$I$89,3,0)*0.475*44/12</f>
        <v>0</v>
      </c>
      <c r="FS80" s="21">
        <f>EXP(-LN(2)/2)*FS79+(1-EXP(-LN(2)/2))/(LN(2)/2)*FM80*FP80*VLOOKUP('Données projet'!$B$16,Paramètres!$A$1:$I$89,3,0)*0.475*44/12</f>
        <v>0</v>
      </c>
      <c r="FT80" s="22">
        <f t="shared" si="78"/>
        <v>70.341997436428585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-5.6843418860808015E-14</v>
      </c>
      <c r="GA80" s="17">
        <f>FZ80*VLOOKUP('Données projet'!$B$17,Paramètres!$A$1:$I$89,3,0)*VLOOKUP('Données projet'!$B$17,Paramètres!$A$1:$I$89,5,0)</f>
        <v>-4.5224624045658861E-14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308.33954512886351</v>
      </c>
      <c r="GF80" s="59">
        <f t="shared" si="104"/>
        <v>408.79075392716277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97.399125273601854</v>
      </c>
      <c r="GM80" s="21">
        <f>EXP(-LN(2)/25)*GM79+(1-EXP(-LN(2)/25))/(LN(2)/25)*Calculateur!GH80*Calculateur!GJ80*VLOOKUP('Données projet'!$B$17,Paramètres!$A$1:$I$89,3,0)*0.475*44/12</f>
        <v>0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97.399125273601854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342.84342155097613</v>
      </c>
      <c r="T81" s="59">
        <f t="shared" si="88"/>
        <v>565.68976940602215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90.00056511151395</v>
      </c>
      <c r="AA81" s="21">
        <f>EXP(-LN(2)/25)*AA80+(1-EXP(-LN(2)/25))/(LN(2)/25)*Calculateur!V81*Calculateur!X81*VLOOKUP('Données projet'!$B$9,Paramètres!$A$1:$I$89,3,0)*0.475*44/12</f>
        <v>35.381988602383231</v>
      </c>
      <c r="AB81" s="21">
        <f>EXP(-LN(2)/2)*AB80+(1-EXP(-LN(2)/2))/(LN(2)/2)*V81*Y81*VLOOKUP('Données projet'!$B$9,Paramètres!$A$1:$I$89,3,0)*0.475*44/12</f>
        <v>4.4658071500191816E-4</v>
      </c>
      <c r="AC81" s="22">
        <f t="shared" si="57"/>
        <v>125.38300029461219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320.33056209214476</v>
      </c>
      <c r="AO81" s="59">
        <f t="shared" si="90"/>
        <v>299.27200854723446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71.491938796565591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71.491938796565591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256.85706398254547</v>
      </c>
      <c r="BJ81" s="59">
        <f t="shared" si="92"/>
        <v>363.68094621014734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102.52050901613275</v>
      </c>
      <c r="BQ81" s="21">
        <f>EXP(-LN(2)/25)*BQ80+(1-EXP(-LN(2)/25))/(LN(2)/25)*Calculateur!BL81*Calculateur!BN81*VLOOKUP('Données projet'!$B$11,Paramètres!$A$1:$I$89,3,0)*0.475*44/12</f>
        <v>32.752641337227509</v>
      </c>
      <c r="BR81" s="21">
        <f>EXP(-LN(2)/2)*BR80+(1-EXP(-LN(2)/2))/(LN(2)/2)*BL81*BO81*VLOOKUP('Données projet'!$B$11,Paramètres!$A$1:$I$89,3,0)*0.475*44/12</f>
        <v>4.2270559690027569E-2</v>
      </c>
      <c r="BS81" s="22">
        <f t="shared" si="63"/>
        <v>135.31542091305027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7.4444444444444446</v>
      </c>
      <c r="BY81" s="12">
        <f>IF('Données projet'!$A$114&gt;35,BY80+BX81-CG80,IF(A81&lt;'Données projet'!$A$114,$BV$205^A81,IF(A81='Données projet'!$A$114,'Données projet'!$B$114,BY80+BX81-CG80)))</f>
        <v>228.33333333333331</v>
      </c>
      <c r="BZ81" s="13">
        <f>BY81*VLOOKUP('Données projet'!$B$12,Paramètres!$A$1:$I$89,3,0)*VLOOKUP('Données projet'!$B$12,Paramètres!$A$1:$I$89,5,0)</f>
        <v>206.59599999999998</v>
      </c>
      <c r="CA81" s="13">
        <f t="shared" si="93"/>
        <v>51.191020032249547</v>
      </c>
      <c r="CB81" s="20">
        <f t="shared" si="64"/>
        <v>448.97905988950129</v>
      </c>
      <c r="CC81" s="59">
        <f t="shared" si="65"/>
        <v>718.90249792392751</v>
      </c>
      <c r="CD81" s="59">
        <f ca="1">AVERAGE(OFFSET($CC$3,0,0,'Données projet'!$E$12+1,1))-AVERAGE(OFFSET($H$3,0,0,'Données projet'!$E$12+1,1))</f>
        <v>357.68828740212223</v>
      </c>
      <c r="CE81" s="59">
        <f t="shared" si="94"/>
        <v>236.76626845829483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16.780756631343685</v>
      </c>
      <c r="CL81" s="21">
        <f>EXP(-LN(2)/25)*CL80+(1-EXP(-LN(2)/25))/(LN(2)/25)*Calculateur!CG81*Calculateur!CI81*VLOOKUP('Données projet'!$B$12,Paramètres!$A$1:$I$89,3,0)*0.475*44/12</f>
        <v>18.742271357051944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35.523027988395626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257.00000000000006</v>
      </c>
      <c r="CU81" s="17">
        <f>CT81*VLOOKUP('Données projet'!$B$13,Paramètres!$A$1:$I$89,3,0)*VLOOKUP('Données projet'!$B$13,Paramètres!$A$1:$I$89,5,0)</f>
        <v>168.38640000000004</v>
      </c>
      <c r="CV81" s="13">
        <f t="shared" si="95"/>
        <v>42.728430513203243</v>
      </c>
      <c r="CW81" s="20">
        <f t="shared" si="67"/>
        <v>367.69166314382898</v>
      </c>
      <c r="CX81" s="59">
        <f t="shared" si="68"/>
        <v>637.61510117825514</v>
      </c>
      <c r="CY81" s="59">
        <f ca="1">AVERAGE(OFFSET($CX$3,0,0,'Données projet'!$E$13+1,1))-AVERAGE(OFFSET($H$3,0,0,'Données projet'!$E$13+1,1))</f>
        <v>220.18342986563667</v>
      </c>
      <c r="CZ81" s="59">
        <f t="shared" si="96"/>
        <v>347.84382145531163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6.1357205433520164E-7</v>
      </c>
      <c r="DI81" s="22">
        <f t="shared" si="69"/>
        <v>6.1357205433520164E-7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7.4444444444444446</v>
      </c>
      <c r="DO81" s="12">
        <f>IF('Données projet'!$A$166&gt;35,DO80+DN81-DW80,IF(A81&lt;'Données projet'!$A$166,$DL$205^A81,IF(A81='Données projet'!$A$166,'Données projet'!$B$166,DO80+DN81-DW80)))</f>
        <v>228.33333333333331</v>
      </c>
      <c r="DP81" s="17">
        <f>DO81*VLOOKUP('Données projet'!$B$14,Paramètres!$A$1:$I$89,3,0)*VLOOKUP('Données projet'!$B$14,Paramètres!$A$1:$I$89,5,0)</f>
        <v>231.53</v>
      </c>
      <c r="DQ81" s="13">
        <f t="shared" si="97"/>
        <v>56.613375538690441</v>
      </c>
      <c r="DR81" s="20">
        <f t="shared" si="70"/>
        <v>501.84971239655255</v>
      </c>
      <c r="DS81" s="59">
        <f t="shared" si="71"/>
        <v>771.77315043097883</v>
      </c>
      <c r="DT81" s="59">
        <f ca="1">AVERAGE(OFFSET($DS$3,0,0,'Données projet'!$E$14+1,1))-AVERAGE(OFFSET($H$3,0,0,'Données projet'!$E$14+1,1))</f>
        <v>392.49465607243178</v>
      </c>
      <c r="DU81" s="59">
        <f t="shared" si="98"/>
        <v>258.031856676031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18.806020362712747</v>
      </c>
      <c r="EB81" s="21">
        <f>EXP(-LN(2)/25)*EB80+(1-EXP(-LN(2)/25))/(LN(2)/25)*Calculateur!DW81*Calculateur!DY81*VLOOKUP('Données projet'!$B$14,Paramètres!$A$1:$I$89,3,0)*0.475*44/12</f>
        <v>21.004269624282358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39.810289986995102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294.24530606293143</v>
      </c>
      <c r="EP81" s="59">
        <f t="shared" si="100"/>
        <v>275.88160405468193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148.49620572520186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148.49620572520186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1.1368683772161603E-13</v>
      </c>
      <c r="FF81" s="17">
        <f>FE81*VLOOKUP('Données projet'!$B$16,Paramètres!$A$1:$I$89,3,0)*VLOOKUP('Données projet'!$B$16,Paramètres!$A$1:$I$89,5,0)</f>
        <v>8.3355189417488869E-14</v>
      </c>
      <c r="FG81" s="13">
        <f t="shared" si="101"/>
        <v>1.2790518435140618E-12</v>
      </c>
      <c r="FH81" s="20">
        <f t="shared" si="76"/>
        <v>2.3728589156891171E-12</v>
      </c>
      <c r="FI81" s="59">
        <f t="shared" si="77"/>
        <v>269.92343803442861</v>
      </c>
      <c r="FJ81" s="59">
        <f ca="1">AVERAGE(OFFSET($FI$3,0,0,'Données projet'!$E$16+1,1))-AVERAGE(OFFSET($H$3,0,0,'Données projet'!$E$16+1,1))</f>
        <v>214.31585175697521</v>
      </c>
      <c r="FK81" s="59">
        <f t="shared" si="102"/>
        <v>244.60383864821372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68.962633771082196</v>
      </c>
      <c r="FR81" s="21">
        <f>EXP(-LN(2)/25)*FR80+(1-EXP(-LN(2)/25))/(LN(2)/25)*Calculateur!FM81*Calculateur!FO81*VLOOKUP('Données projet'!$B$16,Paramètres!$A$1:$I$89,3,0)*0.475*44/12</f>
        <v>0</v>
      </c>
      <c r="FS81" s="21">
        <f>EXP(-LN(2)/2)*FS80+(1-EXP(-LN(2)/2))/(LN(2)/2)*FM81*FP81*VLOOKUP('Données projet'!$B$16,Paramètres!$A$1:$I$89,3,0)*0.475*44/12</f>
        <v>0</v>
      </c>
      <c r="FT81" s="22">
        <f t="shared" si="78"/>
        <v>68.962633771082196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-5.6843418860808015E-14</v>
      </c>
      <c r="GA81" s="17">
        <f>FZ81*VLOOKUP('Données projet'!$B$17,Paramètres!$A$1:$I$89,3,0)*VLOOKUP('Données projet'!$B$17,Paramètres!$A$1:$I$89,5,0)</f>
        <v>-4.5224624045658861E-14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308.33954512886351</v>
      </c>
      <c r="GF81" s="59">
        <f t="shared" si="104"/>
        <v>408.79075392716277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95.489187834586929</v>
      </c>
      <c r="GM81" s="21">
        <f>EXP(-LN(2)/25)*GM80+(1-EXP(-LN(2)/25))/(LN(2)/25)*Calculateur!GH81*Calculateur!GJ81*VLOOKUP('Données projet'!$B$17,Paramètres!$A$1:$I$89,3,0)*0.475*44/12</f>
        <v>0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95.489187834586929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342.84342155097613</v>
      </c>
      <c r="T82" s="59">
        <f t="shared" si="88"/>
        <v>565.68976940602215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88.235708924601454</v>
      </c>
      <c r="AA82" s="21">
        <f>EXP(-LN(2)/25)*AA81+(1-EXP(-LN(2)/25))/(LN(2)/25)*Calculateur!V82*Calculateur!X82*VLOOKUP('Données projet'!$B$9,Paramètres!$A$1:$I$89,3,0)*0.475*44/12</f>
        <v>34.414466263393145</v>
      </c>
      <c r="AB82" s="21">
        <f>EXP(-LN(2)/2)*AB81+(1-EXP(-LN(2)/2))/(LN(2)/2)*V82*Y82*VLOOKUP('Données projet'!$B$9,Paramètres!$A$1:$I$89,3,0)*0.475*44/12</f>
        <v>3.1578025192499328E-4</v>
      </c>
      <c r="AC82" s="22">
        <f t="shared" si="57"/>
        <v>122.65049096824652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320.33056209214476</v>
      </c>
      <c r="AO82" s="59">
        <f t="shared" si="90"/>
        <v>299.27200854723446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69.536987970575836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69.536987970575836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256.85706398254547</v>
      </c>
      <c r="BJ82" s="59">
        <f t="shared" si="92"/>
        <v>363.68094621014734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100.51014436566243</v>
      </c>
      <c r="BQ82" s="21">
        <f>EXP(-LN(2)/25)*BQ81+(1-EXP(-LN(2)/25))/(LN(2)/25)*Calculateur!BL82*Calculateur!BN82*VLOOKUP('Données projet'!$B$11,Paramètres!$A$1:$I$89,3,0)*0.475*44/12</f>
        <v>31.857018637474471</v>
      </c>
      <c r="BR82" s="21">
        <f>EXP(-LN(2)/2)*BR81+(1-EXP(-LN(2)/2))/(LN(2)/2)*BL82*BO82*VLOOKUP('Données projet'!$B$11,Paramètres!$A$1:$I$89,3,0)*0.475*44/12</f>
        <v>2.9889799401369221E-2</v>
      </c>
      <c r="BS82" s="22">
        <f t="shared" si="63"/>
        <v>132.39705280253827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7.4444444444444446</v>
      </c>
      <c r="BY82" s="12">
        <f>IF('Données projet'!$A$114&gt;35,BY81+BX82-CG81,IF(A82&lt;'Données projet'!$A$114,$BV$205^A82,IF(A82='Données projet'!$A$114,'Données projet'!$B$114,BY81+BX82-CG81)))</f>
        <v>235.77777777777777</v>
      </c>
      <c r="BZ82" s="13">
        <f>BY82*VLOOKUP('Données projet'!$B$12,Paramètres!$A$1:$I$89,3,0)*VLOOKUP('Données projet'!$B$12,Paramètres!$A$1:$I$89,5,0)</f>
        <v>213.33173333333332</v>
      </c>
      <c r="CA82" s="13">
        <f t="shared" si="93"/>
        <v>52.662984920060673</v>
      </c>
      <c r="CB82" s="20">
        <f t="shared" si="64"/>
        <v>463.27413429132793</v>
      </c>
      <c r="CC82" s="59">
        <f t="shared" si="65"/>
        <v>733.60368167250488</v>
      </c>
      <c r="CD82" s="59">
        <f ca="1">AVERAGE(OFFSET($CC$3,0,0,'Données projet'!$E$12+1,1))-AVERAGE(OFFSET($H$3,0,0,'Données projet'!$E$12+1,1))</f>
        <v>357.68828740212223</v>
      </c>
      <c r="CE82" s="59">
        <f t="shared" si="94"/>
        <v>236.76626845829483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16.451696229053933</v>
      </c>
      <c r="CL82" s="21">
        <f>EXP(-LN(2)/25)*CL81+(1-EXP(-LN(2)/25))/(LN(2)/25)*Calculateur!CG82*Calculateur!CI82*VLOOKUP('Données projet'!$B$12,Paramètres!$A$1:$I$89,3,0)*0.475*44/12</f>
        <v>18.229762961180143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34.681459190234079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257.00000000000006</v>
      </c>
      <c r="CU82" s="17">
        <f>CT82*VLOOKUP('Données projet'!$B$13,Paramètres!$A$1:$I$89,3,0)*VLOOKUP('Données projet'!$B$13,Paramètres!$A$1:$I$89,5,0)</f>
        <v>168.38640000000004</v>
      </c>
      <c r="CV82" s="13">
        <f t="shared" si="95"/>
        <v>42.728430513203243</v>
      </c>
      <c r="CW82" s="20">
        <f t="shared" si="67"/>
        <v>367.69166314382898</v>
      </c>
      <c r="CX82" s="59">
        <f t="shared" si="68"/>
        <v>638.02121052500593</v>
      </c>
      <c r="CY82" s="59">
        <f ca="1">AVERAGE(OFFSET($CX$3,0,0,'Données projet'!$E$13+1,1))-AVERAGE(OFFSET($H$3,0,0,'Données projet'!$E$13+1,1))</f>
        <v>220.18342986563667</v>
      </c>
      <c r="CZ82" s="59">
        <f t="shared" si="96"/>
        <v>347.84382145531163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4.3386096036698188E-7</v>
      </c>
      <c r="DI82" s="22">
        <f t="shared" si="69"/>
        <v>4.3386096036698188E-7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7.4444444444444446</v>
      </c>
      <c r="DO82" s="12">
        <f>IF('Données projet'!$A$166&gt;35,DO81+DN82-DW81,IF(A82&lt;'Données projet'!$A$166,$DL$205^A82,IF(A82='Données projet'!$A$166,'Données projet'!$B$166,DO81+DN82-DW81)))</f>
        <v>235.77777777777777</v>
      </c>
      <c r="DP82" s="17">
        <f>DO82*VLOOKUP('Données projet'!$B$14,Paramètres!$A$1:$I$89,3,0)*VLOOKUP('Données projet'!$B$14,Paramètres!$A$1:$I$89,5,0)</f>
        <v>239.07866666666669</v>
      </c>
      <c r="DQ82" s="13">
        <f t="shared" si="97"/>
        <v>58.241256774909537</v>
      </c>
      <c r="DR82" s="20">
        <f t="shared" si="70"/>
        <v>517.83219999407856</v>
      </c>
      <c r="DS82" s="59">
        <f t="shared" si="71"/>
        <v>788.16174737525557</v>
      </c>
      <c r="DT82" s="59">
        <f ca="1">AVERAGE(OFFSET($DS$3,0,0,'Données projet'!$E$14+1,1))-AVERAGE(OFFSET($H$3,0,0,'Données projet'!$E$14+1,1))</f>
        <v>392.49465607243178</v>
      </c>
      <c r="DU82" s="59">
        <f t="shared" si="98"/>
        <v>258.031856676031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18.43724577393975</v>
      </c>
      <c r="EB82" s="21">
        <f>EXP(-LN(2)/25)*EB81+(1-EXP(-LN(2)/25))/(LN(2)/25)*Calculateur!DW82*Calculateur!DY82*VLOOKUP('Données projet'!$B$14,Paramètres!$A$1:$I$89,3,0)*0.475*44/12</f>
        <v>20.429906766839824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38.867152540779571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294.24530606293143</v>
      </c>
      <c r="EP82" s="59">
        <f t="shared" si="100"/>
        <v>275.88160405468193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145.58428570467274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145.58428570467274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1.1368683772161603E-13</v>
      </c>
      <c r="FF82" s="17">
        <f>FE82*VLOOKUP('Données projet'!$B$16,Paramètres!$A$1:$I$89,3,0)*VLOOKUP('Données projet'!$B$16,Paramètres!$A$1:$I$89,5,0)</f>
        <v>8.3355189417488869E-14</v>
      </c>
      <c r="FG82" s="13">
        <f t="shared" si="101"/>
        <v>1.2790518435140618E-12</v>
      </c>
      <c r="FH82" s="20">
        <f t="shared" si="76"/>
        <v>2.3728589156891171E-12</v>
      </c>
      <c r="FI82" s="59">
        <f t="shared" si="77"/>
        <v>270.32954738117934</v>
      </c>
      <c r="FJ82" s="59">
        <f ca="1">AVERAGE(OFFSET($FI$3,0,0,'Données projet'!$E$16+1,1))-AVERAGE(OFFSET($H$3,0,0,'Données projet'!$E$16+1,1))</f>
        <v>214.31585175697521</v>
      </c>
      <c r="FK82" s="59">
        <f t="shared" si="102"/>
        <v>244.60383864821372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67.610318585884499</v>
      </c>
      <c r="FR82" s="21">
        <f>EXP(-LN(2)/25)*FR81+(1-EXP(-LN(2)/25))/(LN(2)/25)*Calculateur!FM82*Calculateur!FO82*VLOOKUP('Données projet'!$B$16,Paramètres!$A$1:$I$89,3,0)*0.475*44/12</f>
        <v>0</v>
      </c>
      <c r="FS82" s="21">
        <f>EXP(-LN(2)/2)*FS81+(1-EXP(-LN(2)/2))/(LN(2)/2)*FM82*FP82*VLOOKUP('Données projet'!$B$16,Paramètres!$A$1:$I$89,3,0)*0.475*44/12</f>
        <v>0</v>
      </c>
      <c r="FT82" s="22">
        <f t="shared" si="78"/>
        <v>67.610318585884499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-5.6843418860808015E-14</v>
      </c>
      <c r="GA82" s="17">
        <f>FZ82*VLOOKUP('Données projet'!$B$17,Paramètres!$A$1:$I$89,3,0)*VLOOKUP('Données projet'!$B$17,Paramètres!$A$1:$I$89,5,0)</f>
        <v>-4.5224624045658861E-14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308.33954512886351</v>
      </c>
      <c r="GF82" s="59">
        <f t="shared" si="104"/>
        <v>408.79075392716277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93.616703103804269</v>
      </c>
      <c r="GM82" s="21">
        <f>EXP(-LN(2)/25)*GM81+(1-EXP(-LN(2)/25))/(LN(2)/25)*Calculateur!GH82*Calculateur!GJ82*VLOOKUP('Données projet'!$B$17,Paramètres!$A$1:$I$89,3,0)*0.475*44/12</f>
        <v>0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93.616703103804269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342.84342155097613</v>
      </c>
      <c r="T83" s="59">
        <f t="shared" si="88"/>
        <v>565.68976940602215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86.505460491058329</v>
      </c>
      <c r="AA83" s="21">
        <f>EXP(-LN(2)/25)*AA82+(1-EXP(-LN(2)/25))/(LN(2)/25)*Calculateur!V83*Calculateur!X83*VLOOKUP('Données projet'!$B$9,Paramètres!$A$1:$I$89,3,0)*0.475*44/12</f>
        <v>33.473400873642532</v>
      </c>
      <c r="AB83" s="21">
        <f>EXP(-LN(2)/2)*AB82+(1-EXP(-LN(2)/2))/(LN(2)/2)*V83*Y83*VLOOKUP('Données projet'!$B$9,Paramètres!$A$1:$I$89,3,0)*0.475*44/12</f>
        <v>2.2329035750095908E-4</v>
      </c>
      <c r="AC83" s="22">
        <f t="shared" si="57"/>
        <v>119.97908465505836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320.33056209214476</v>
      </c>
      <c r="AO83" s="59">
        <f t="shared" si="90"/>
        <v>299.27200854723446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67.635495377729171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67.635495377729171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256.85706398254547</v>
      </c>
      <c r="BJ83" s="59">
        <f t="shared" si="92"/>
        <v>363.68094621014734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98.539201739786463</v>
      </c>
      <c r="BQ83" s="21">
        <f>EXP(-LN(2)/25)*BQ82+(1-EXP(-LN(2)/25))/(LN(2)/25)*Calculateur!BL83*Calculateur!BN83*VLOOKUP('Données projet'!$B$11,Paramètres!$A$1:$I$89,3,0)*0.475*44/12</f>
        <v>30.985886787544931</v>
      </c>
      <c r="BR83" s="21">
        <f>EXP(-LN(2)/2)*BR82+(1-EXP(-LN(2)/2))/(LN(2)/2)*BL83*BO83*VLOOKUP('Données projet'!$B$11,Paramètres!$A$1:$I$89,3,0)*0.475*44/12</f>
        <v>2.1135279845013785E-2</v>
      </c>
      <c r="BS83" s="22">
        <f t="shared" si="63"/>
        <v>129.54622380717643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7.4444444444444446</v>
      </c>
      <c r="BY83" s="12">
        <f>IF('Données projet'!$A$114&gt;35,BY82+BX83-CG82,IF(A83&lt;'Données projet'!$A$114,$BV$205^A83,IF(A83='Données projet'!$A$114,'Données projet'!$B$114,BY82+BX83-CG82)))</f>
        <v>243.22222222222223</v>
      </c>
      <c r="BZ83" s="13">
        <f>BY83*VLOOKUP('Données projet'!$B$12,Paramètres!$A$1:$I$89,3,0)*VLOOKUP('Données projet'!$B$12,Paramètres!$A$1:$I$89,5,0)</f>
        <v>220.06746666666669</v>
      </c>
      <c r="CA83" s="13">
        <f t="shared" si="93"/>
        <v>54.129549005571164</v>
      </c>
      <c r="CB83" s="20">
        <f t="shared" si="64"/>
        <v>477.55980229581428</v>
      </c>
      <c r="CC83" s="59">
        <f t="shared" si="65"/>
        <v>748.28841393450034</v>
      </c>
      <c r="CD83" s="59">
        <f ca="1">AVERAGE(OFFSET($CC$3,0,0,'Données projet'!$E$12+1,1))-AVERAGE(OFFSET($H$3,0,0,'Données projet'!$E$12+1,1))</f>
        <v>357.68828740212223</v>
      </c>
      <c r="CE83" s="59">
        <f t="shared" si="94"/>
        <v>236.76626845829483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16.129088500546057</v>
      </c>
      <c r="CL83" s="21">
        <f>EXP(-LN(2)/25)*CL82+(1-EXP(-LN(2)/25))/(LN(2)/25)*Calculateur!CG83*Calculateur!CI83*VLOOKUP('Données projet'!$B$12,Paramètres!$A$1:$I$89,3,0)*0.475*44/12</f>
        <v>17.731269134345101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33.860357634891159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257.00000000000006</v>
      </c>
      <c r="CU83" s="17">
        <f>CT83*VLOOKUP('Données projet'!$B$13,Paramètres!$A$1:$I$89,3,0)*VLOOKUP('Données projet'!$B$13,Paramètres!$A$1:$I$89,5,0)</f>
        <v>168.38640000000004</v>
      </c>
      <c r="CV83" s="13">
        <f t="shared" si="95"/>
        <v>42.728430513203243</v>
      </c>
      <c r="CW83" s="20">
        <f t="shared" si="67"/>
        <v>367.69166314382898</v>
      </c>
      <c r="CX83" s="59">
        <f t="shared" si="68"/>
        <v>638.42027478251509</v>
      </c>
      <c r="CY83" s="59">
        <f ca="1">AVERAGE(OFFSET($CX$3,0,0,'Données projet'!$E$13+1,1))-AVERAGE(OFFSET($H$3,0,0,'Données projet'!$E$13+1,1))</f>
        <v>220.18342986563667</v>
      </c>
      <c r="CZ83" s="59">
        <f t="shared" si="96"/>
        <v>347.84382145531163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3.0678602716760082E-7</v>
      </c>
      <c r="DI83" s="22">
        <f t="shared" si="69"/>
        <v>3.0678602716760082E-7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7.4444444444444446</v>
      </c>
      <c r="DO83" s="12">
        <f>IF('Données projet'!$A$166&gt;35,DO82+DN83-DW82,IF(A83&lt;'Données projet'!$A$166,$DL$205^A83,IF(A83='Données projet'!$A$166,'Données projet'!$B$166,DO82+DN83-DW82)))</f>
        <v>243.22222222222223</v>
      </c>
      <c r="DP83" s="17">
        <f>DO83*VLOOKUP('Données projet'!$B$14,Paramètres!$A$1:$I$89,3,0)*VLOOKUP('Données projet'!$B$14,Paramètres!$A$1:$I$89,5,0)</f>
        <v>246.62733333333338</v>
      </c>
      <c r="DQ83" s="13">
        <f t="shared" si="97"/>
        <v>59.863165134466712</v>
      </c>
      <c r="DR83" s="20">
        <f t="shared" si="70"/>
        <v>533.80428483141839</v>
      </c>
      <c r="DS83" s="59">
        <f t="shared" si="71"/>
        <v>804.53289647010456</v>
      </c>
      <c r="DT83" s="59">
        <f ca="1">AVERAGE(OFFSET($DS$3,0,0,'Données projet'!$E$14+1,1))-AVERAGE(OFFSET($H$3,0,0,'Données projet'!$E$14+1,1))</f>
        <v>392.49465607243178</v>
      </c>
      <c r="DU83" s="59">
        <f t="shared" si="98"/>
        <v>258.031856676031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18.075702629922301</v>
      </c>
      <c r="EB83" s="21">
        <f>EXP(-LN(2)/25)*EB82+(1-EXP(-LN(2)/25))/(LN(2)/25)*Calculateur!DW83*Calculateur!DY83*VLOOKUP('Données projet'!$B$14,Paramètres!$A$1:$I$89,3,0)*0.475*44/12</f>
        <v>19.871249891938486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37.946952521860787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294.24530606293143</v>
      </c>
      <c r="EP83" s="59">
        <f t="shared" si="100"/>
        <v>275.88160405468193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142.72946665965034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142.72946665965034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1.1368683772161603E-13</v>
      </c>
      <c r="FF83" s="17">
        <f>FE83*VLOOKUP('Données projet'!$B$16,Paramètres!$A$1:$I$89,3,0)*VLOOKUP('Données projet'!$B$16,Paramètres!$A$1:$I$89,5,0)</f>
        <v>8.3355189417488869E-14</v>
      </c>
      <c r="FG83" s="13">
        <f t="shared" si="101"/>
        <v>1.2790518435140618E-12</v>
      </c>
      <c r="FH83" s="20">
        <f t="shared" si="76"/>
        <v>2.3728589156891171E-12</v>
      </c>
      <c r="FI83" s="59">
        <f t="shared" si="77"/>
        <v>270.72861163868851</v>
      </c>
      <c r="FJ83" s="59">
        <f ca="1">AVERAGE(OFFSET($FI$3,0,0,'Données projet'!$E$16+1,1))-AVERAGE(OFFSET($H$3,0,0,'Données projet'!$E$16+1,1))</f>
        <v>214.31585175697521</v>
      </c>
      <c r="FK83" s="59">
        <f t="shared" si="102"/>
        <v>244.60383864821372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66.284521476637707</v>
      </c>
      <c r="FR83" s="21">
        <f>EXP(-LN(2)/25)*FR82+(1-EXP(-LN(2)/25))/(LN(2)/25)*Calculateur!FM83*Calculateur!FO83*VLOOKUP('Données projet'!$B$16,Paramètres!$A$1:$I$89,3,0)*0.475*44/12</f>
        <v>0</v>
      </c>
      <c r="FS83" s="21">
        <f>EXP(-LN(2)/2)*FS82+(1-EXP(-LN(2)/2))/(LN(2)/2)*FM83*FP83*VLOOKUP('Données projet'!$B$16,Paramètres!$A$1:$I$89,3,0)*0.475*44/12</f>
        <v>0</v>
      </c>
      <c r="FT83" s="22">
        <f t="shared" si="78"/>
        <v>66.284521476637707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-5.6843418860808015E-14</v>
      </c>
      <c r="GA83" s="17">
        <f>FZ83*VLOOKUP('Données projet'!$B$17,Paramètres!$A$1:$I$89,3,0)*VLOOKUP('Données projet'!$B$17,Paramètres!$A$1:$I$89,5,0)</f>
        <v>-4.5224624045658861E-14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308.33954512886351</v>
      </c>
      <c r="GF83" s="59">
        <f t="shared" si="104"/>
        <v>408.79075392716277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91.780936656489345</v>
      </c>
      <c r="GM83" s="21">
        <f>EXP(-LN(2)/25)*GM82+(1-EXP(-LN(2)/25))/(LN(2)/25)*Calculateur!GH83*Calculateur!GJ83*VLOOKUP('Données projet'!$B$17,Paramètres!$A$1:$I$89,3,0)*0.475*44/12</f>
        <v>0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91.780936656489345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342.84342155097613</v>
      </c>
      <c r="T84" s="59">
        <f t="shared" si="88"/>
        <v>565.68976940602215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84.809141173949655</v>
      </c>
      <c r="AA84" s="21">
        <f>EXP(-LN(2)/25)*AA83+(1-EXP(-LN(2)/25))/(LN(2)/25)*Calculateur!V84*Calculateur!X84*VLOOKUP('Données projet'!$B$9,Paramètres!$A$1:$I$89,3,0)*0.475*44/12</f>
        <v>32.558068966463132</v>
      </c>
      <c r="AB84" s="21">
        <f>EXP(-LN(2)/2)*AB83+(1-EXP(-LN(2)/2))/(LN(2)/2)*V84*Y84*VLOOKUP('Données projet'!$B$9,Paramètres!$A$1:$I$89,3,0)*0.475*44/12</f>
        <v>1.5789012596249664E-4</v>
      </c>
      <c r="AC84" s="22">
        <f t="shared" si="57"/>
        <v>117.36736803053876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320.33056209214476</v>
      </c>
      <c r="AO84" s="59">
        <f t="shared" si="90"/>
        <v>299.27200854723446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65.78599919982905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65.78599919982905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256.85706398254547</v>
      </c>
      <c r="BJ84" s="59">
        <f t="shared" si="92"/>
        <v>363.68094621014734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96.606908096647629</v>
      </c>
      <c r="BQ84" s="21">
        <f>EXP(-LN(2)/25)*BQ83+(1-EXP(-LN(2)/25))/(LN(2)/25)*Calculateur!BL84*Calculateur!BN84*VLOOKUP('Données projet'!$B$11,Paramètres!$A$1:$I$89,3,0)*0.475*44/12</f>
        <v>30.138576083862549</v>
      </c>
      <c r="BR84" s="21">
        <f>EXP(-LN(2)/2)*BR83+(1-EXP(-LN(2)/2))/(LN(2)/2)*BL84*BO84*VLOOKUP('Données projet'!$B$11,Paramètres!$A$1:$I$89,3,0)*0.475*44/12</f>
        <v>1.494489970068461E-2</v>
      </c>
      <c r="BS84" s="22">
        <f t="shared" si="63"/>
        <v>126.76042908021086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7.4444444444444446</v>
      </c>
      <c r="BY84" s="12">
        <f>IF('Données projet'!$A$114&gt;35,BY83+BX84-CG83,IF(A84&lt;'Données projet'!$A$114,$BV$205^A84,IF(A84='Données projet'!$A$114,'Données projet'!$B$114,BY83+BX84-CG83)))</f>
        <v>250.66666666666669</v>
      </c>
      <c r="BZ84" s="13">
        <f>BY84*VLOOKUP('Données projet'!$B$12,Paramètres!$A$1:$I$89,3,0)*VLOOKUP('Données projet'!$B$12,Paramètres!$A$1:$I$89,5,0)</f>
        <v>226.8032</v>
      </c>
      <c r="CA84" s="13">
        <f t="shared" si="93"/>
        <v>55.590896565858003</v>
      </c>
      <c r="CB84" s="20">
        <f t="shared" si="64"/>
        <v>491.83638485220268</v>
      </c>
      <c r="CC84" s="59">
        <f t="shared" si="65"/>
        <v>762.95713787570412</v>
      </c>
      <c r="CD84" s="59">
        <f ca="1">AVERAGE(OFFSET($CC$3,0,0,'Données projet'!$E$12+1,1))-AVERAGE(OFFSET($H$3,0,0,'Données projet'!$E$12+1,1))</f>
        <v>357.68828740212223</v>
      </c>
      <c r="CE84" s="59">
        <f t="shared" si="94"/>
        <v>236.76626845829483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15.812806912822936</v>
      </c>
      <c r="CL84" s="21">
        <f>EXP(-LN(2)/25)*CL83+(1-EXP(-LN(2)/25))/(LN(2)/25)*Calculateur!CG84*Calculateur!CI84*VLOOKUP('Données projet'!$B$12,Paramètres!$A$1:$I$89,3,0)*0.475*44/12</f>
        <v>17.246406647419516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33.059213560242455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257.00000000000006</v>
      </c>
      <c r="CU84" s="17">
        <f>CT84*VLOOKUP('Données projet'!$B$13,Paramètres!$A$1:$I$89,3,0)*VLOOKUP('Données projet'!$B$13,Paramètres!$A$1:$I$89,5,0)</f>
        <v>168.38640000000004</v>
      </c>
      <c r="CV84" s="13">
        <f t="shared" si="95"/>
        <v>42.728430513203243</v>
      </c>
      <c r="CW84" s="20">
        <f t="shared" si="67"/>
        <v>367.69166314382898</v>
      </c>
      <c r="CX84" s="59">
        <f t="shared" si="68"/>
        <v>638.81241616733041</v>
      </c>
      <c r="CY84" s="59">
        <f ca="1">AVERAGE(OFFSET($CX$3,0,0,'Données projet'!$E$13+1,1))-AVERAGE(OFFSET($H$3,0,0,'Données projet'!$E$13+1,1))</f>
        <v>220.18342986563667</v>
      </c>
      <c r="CZ84" s="59">
        <f t="shared" si="96"/>
        <v>347.84382145531163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2.1693048018349094E-7</v>
      </c>
      <c r="DI84" s="22">
        <f t="shared" si="69"/>
        <v>2.1693048018349094E-7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7.4444444444444446</v>
      </c>
      <c r="DO84" s="12">
        <f>IF('Données projet'!$A$166&gt;35,DO83+DN84-DW83,IF(A84&lt;'Données projet'!$A$166,$DL$205^A84,IF(A84='Données projet'!$A$166,'Données projet'!$B$166,DO83+DN84-DW83)))</f>
        <v>250.66666666666669</v>
      </c>
      <c r="DP84" s="17">
        <f>DO84*VLOOKUP('Données projet'!$B$14,Paramètres!$A$1:$I$89,3,0)*VLOOKUP('Données projet'!$B$14,Paramètres!$A$1:$I$89,5,0)</f>
        <v>254.17600000000002</v>
      </c>
      <c r="DQ84" s="13">
        <f t="shared" si="97"/>
        <v>61.479304413796278</v>
      </c>
      <c r="DR84" s="20">
        <f t="shared" si="70"/>
        <v>549.76632185402843</v>
      </c>
      <c r="DS84" s="59">
        <f t="shared" si="71"/>
        <v>820.88707487752981</v>
      </c>
      <c r="DT84" s="59">
        <f ca="1">AVERAGE(OFFSET($DS$3,0,0,'Données projet'!$E$14+1,1))-AVERAGE(OFFSET($H$3,0,0,'Données projet'!$E$14+1,1))</f>
        <v>392.49465607243178</v>
      </c>
      <c r="DU84" s="59">
        <f t="shared" si="98"/>
        <v>258.031856676031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17.721249126439492</v>
      </c>
      <c r="EB84" s="21">
        <f>EXP(-LN(2)/25)*EB83+(1-EXP(-LN(2)/25))/(LN(2)/25)*Calculateur!DW84*Calculateur!DY84*VLOOKUP('Données projet'!$B$14,Paramètres!$A$1:$I$89,3,0)*0.475*44/12</f>
        <v>19.327869518659814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37.049118645099306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294.24530606293143</v>
      </c>
      <c r="EP84" s="59">
        <f t="shared" si="100"/>
        <v>275.88160405468193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139.93062887483316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139.93062887483316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1.1368683772161603E-13</v>
      </c>
      <c r="FF84" s="17">
        <f>FE84*VLOOKUP('Données projet'!$B$16,Paramètres!$A$1:$I$89,3,0)*VLOOKUP('Données projet'!$B$16,Paramètres!$A$1:$I$89,5,0)</f>
        <v>8.3355189417488869E-14</v>
      </c>
      <c r="FG84" s="13">
        <f t="shared" si="101"/>
        <v>1.2790518435140618E-12</v>
      </c>
      <c r="FH84" s="20">
        <f t="shared" si="76"/>
        <v>2.3728589156891171E-12</v>
      </c>
      <c r="FI84" s="59">
        <f t="shared" si="77"/>
        <v>271.12075302350382</v>
      </c>
      <c r="FJ84" s="59">
        <f ca="1">AVERAGE(OFFSET($FI$3,0,0,'Données projet'!$E$16+1,1))-AVERAGE(OFFSET($H$3,0,0,'Données projet'!$E$16+1,1))</f>
        <v>214.31585175697521</v>
      </c>
      <c r="FK84" s="59">
        <f t="shared" si="102"/>
        <v>244.60383864821372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64.984722440046852</v>
      </c>
      <c r="FR84" s="21">
        <f>EXP(-LN(2)/25)*FR83+(1-EXP(-LN(2)/25))/(LN(2)/25)*Calculateur!FM84*Calculateur!FO84*VLOOKUP('Données projet'!$B$16,Paramètres!$A$1:$I$89,3,0)*0.475*44/12</f>
        <v>0</v>
      </c>
      <c r="FS84" s="21">
        <f>EXP(-LN(2)/2)*FS83+(1-EXP(-LN(2)/2))/(LN(2)/2)*FM84*FP84*VLOOKUP('Données projet'!$B$16,Paramètres!$A$1:$I$89,3,0)*0.475*44/12</f>
        <v>0</v>
      </c>
      <c r="FT84" s="22">
        <f t="shared" si="78"/>
        <v>64.984722440046852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-5.6843418860808015E-14</v>
      </c>
      <c r="GA84" s="17">
        <f>FZ84*VLOOKUP('Données projet'!$B$17,Paramètres!$A$1:$I$89,3,0)*VLOOKUP('Données projet'!$B$17,Paramètres!$A$1:$I$89,5,0)</f>
        <v>-4.5224624045658861E-14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308.33954512886351</v>
      </c>
      <c r="GF84" s="59">
        <f t="shared" si="104"/>
        <v>408.79075392716277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89.981168469499295</v>
      </c>
      <c r="GM84" s="21">
        <f>EXP(-LN(2)/25)*GM83+(1-EXP(-LN(2)/25))/(LN(2)/25)*Calculateur!GH84*Calculateur!GJ84*VLOOKUP('Données projet'!$B$17,Paramètres!$A$1:$I$89,3,0)*0.475*44/12</f>
        <v>0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89.981168469499295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342.84342155097613</v>
      </c>
      <c r="T85" s="59">
        <f t="shared" si="88"/>
        <v>565.68976940602215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83.146085643996855</v>
      </c>
      <c r="AA85" s="21">
        <f>EXP(-LN(2)/25)*AA84+(1-EXP(-LN(2)/25))/(LN(2)/25)*Calculateur!V85*Calculateur!X85*VLOOKUP('Données projet'!$B$9,Paramètres!$A$1:$I$89,3,0)*0.475*44/12</f>
        <v>31.667766858420762</v>
      </c>
      <c r="AB85" s="21">
        <f>EXP(-LN(2)/2)*AB84+(1-EXP(-LN(2)/2))/(LN(2)/2)*V85*Y85*VLOOKUP('Données projet'!$B$9,Paramètres!$A$1:$I$89,3,0)*0.475*44/12</f>
        <v>1.1164517875047954E-4</v>
      </c>
      <c r="AC85" s="22">
        <f t="shared" si="57"/>
        <v>114.81396414759637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320.33056209214476</v>
      </c>
      <c r="AO85" s="59">
        <f t="shared" si="90"/>
        <v>299.27200854723446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63.98707759217438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63.98707759217438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256.85706398254547</v>
      </c>
      <c r="BJ85" s="59">
        <f t="shared" si="92"/>
        <v>363.68094621014734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94.712505553268002</v>
      </c>
      <c r="BQ85" s="21">
        <f>EXP(-LN(2)/25)*BQ84+(1-EXP(-LN(2)/25))/(LN(2)/25)*Calculateur!BL85*Calculateur!BN85*VLOOKUP('Données projet'!$B$11,Paramètres!$A$1:$I$89,3,0)*0.475*44/12</f>
        <v>29.314435135930495</v>
      </c>
      <c r="BR85" s="21">
        <f>EXP(-LN(2)/2)*BR84+(1-EXP(-LN(2)/2))/(LN(2)/2)*BL85*BO85*VLOOKUP('Données projet'!$B$11,Paramètres!$A$1:$I$89,3,0)*0.475*44/12</f>
        <v>1.0567639922506892E-2</v>
      </c>
      <c r="BS85" s="22">
        <f t="shared" si="63"/>
        <v>124.03750832912101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7.4444444444444446</v>
      </c>
      <c r="BY85" s="12">
        <f>IF('Données projet'!$A$114&gt;35,BY84+BX85-CG84,IF(A85&lt;'Données projet'!$A$114,$BV$205^A85,IF(A85='Données projet'!$A$114,'Données projet'!$B$114,BY84+BX85-CG84)))</f>
        <v>258.11111111111114</v>
      </c>
      <c r="BZ85" s="13">
        <f>BY85*VLOOKUP('Données projet'!$B$12,Paramètres!$A$1:$I$89,3,0)*VLOOKUP('Données projet'!$B$12,Paramètres!$A$1:$I$89,5,0)</f>
        <v>233.53893333333335</v>
      </c>
      <c r="CA85" s="13">
        <f t="shared" si="93"/>
        <v>57.047200310277965</v>
      </c>
      <c r="CB85" s="20">
        <f t="shared" si="64"/>
        <v>506.10418276262311</v>
      </c>
      <c r="CC85" s="59">
        <f t="shared" si="65"/>
        <v>777.61027439461009</v>
      </c>
      <c r="CD85" s="59">
        <f ca="1">AVERAGE(OFFSET($CC$3,0,0,'Données projet'!$E$12+1,1))-AVERAGE(OFFSET($H$3,0,0,'Données projet'!$E$12+1,1))</f>
        <v>357.68828740212223</v>
      </c>
      <c r="CE85" s="59">
        <f t="shared" si="94"/>
        <v>236.76626845829483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15.502727414122344</v>
      </c>
      <c r="CL85" s="21">
        <f>EXP(-LN(2)/25)*CL84+(1-EXP(-LN(2)/25))/(LN(2)/25)*Calculateur!CG85*Calculateur!CI85*VLOOKUP('Données projet'!$B$12,Paramètres!$A$1:$I$89,3,0)*0.475*44/12</f>
        <v>16.774802750696722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32.277530164819069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257.00000000000006</v>
      </c>
      <c r="CU85" s="17">
        <f>CT85*VLOOKUP('Données projet'!$B$13,Paramètres!$A$1:$I$89,3,0)*VLOOKUP('Données projet'!$B$13,Paramètres!$A$1:$I$89,5,0)</f>
        <v>168.38640000000004</v>
      </c>
      <c r="CV85" s="13">
        <f t="shared" si="95"/>
        <v>42.728430513203243</v>
      </c>
      <c r="CW85" s="20">
        <f t="shared" si="67"/>
        <v>367.69166314382898</v>
      </c>
      <c r="CX85" s="59">
        <f t="shared" si="68"/>
        <v>639.19775477581607</v>
      </c>
      <c r="CY85" s="59">
        <f ca="1">AVERAGE(OFFSET($CX$3,0,0,'Données projet'!$E$13+1,1))-AVERAGE(OFFSET($H$3,0,0,'Données projet'!$E$13+1,1))</f>
        <v>220.18342986563667</v>
      </c>
      <c r="CZ85" s="59">
        <f t="shared" si="96"/>
        <v>347.84382145531163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1.5339301358380041E-7</v>
      </c>
      <c r="DI85" s="22">
        <f t="shared" si="69"/>
        <v>1.5339301358380041E-7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7.4444444444444446</v>
      </c>
      <c r="DO85" s="12">
        <f>IF('Données projet'!$A$166&gt;35,DO84+DN85-DW84,IF(A85&lt;'Données projet'!$A$166,$DL$205^A85,IF(A85='Données projet'!$A$166,'Données projet'!$B$166,DO84+DN85-DW84)))</f>
        <v>258.11111111111114</v>
      </c>
      <c r="DP85" s="17">
        <f>DO85*VLOOKUP('Données projet'!$B$14,Paramètres!$A$1:$I$89,3,0)*VLOOKUP('Données projet'!$B$14,Paramètres!$A$1:$I$89,5,0)</f>
        <v>261.72466666666668</v>
      </c>
      <c r="DQ85" s="13">
        <f t="shared" si="97"/>
        <v>63.08986561631405</v>
      </c>
      <c r="DR85" s="20">
        <f t="shared" si="70"/>
        <v>565.71864372619154</v>
      </c>
      <c r="DS85" s="59">
        <f t="shared" si="71"/>
        <v>837.22473535817858</v>
      </c>
      <c r="DT85" s="59">
        <f ca="1">AVERAGE(OFFSET($DS$3,0,0,'Données projet'!$E$14+1,1))-AVERAGE(OFFSET($H$3,0,0,'Données projet'!$E$14+1,1))</f>
        <v>392.49465607243178</v>
      </c>
      <c r="DU85" s="59">
        <f t="shared" si="98"/>
        <v>258.031856676031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17.373746239964692</v>
      </c>
      <c r="EB85" s="21">
        <f>EXP(-LN(2)/25)*EB84+(1-EXP(-LN(2)/25))/(LN(2)/25)*Calculateur!DW85*Calculateur!DY85*VLOOKUP('Données projet'!$B$14,Paramètres!$A$1:$I$89,3,0)*0.475*44/12</f>
        <v>18.799347910263577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36.173094150228266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294.24530606293143</v>
      </c>
      <c r="EP85" s="59">
        <f t="shared" si="100"/>
        <v>275.88160405468193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137.18667459185374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137.18667459185374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1.1368683772161603E-13</v>
      </c>
      <c r="FF85" s="17">
        <f>FE85*VLOOKUP('Données projet'!$B$16,Paramètres!$A$1:$I$89,3,0)*VLOOKUP('Données projet'!$B$16,Paramètres!$A$1:$I$89,5,0)</f>
        <v>8.3355189417488869E-14</v>
      </c>
      <c r="FG85" s="13">
        <f t="shared" si="101"/>
        <v>1.2790518435140618E-12</v>
      </c>
      <c r="FH85" s="20">
        <f t="shared" si="76"/>
        <v>2.3728589156891171E-12</v>
      </c>
      <c r="FI85" s="59">
        <f t="shared" si="77"/>
        <v>271.50609163198942</v>
      </c>
      <c r="FJ85" s="59">
        <f ca="1">AVERAGE(OFFSET($FI$3,0,0,'Données projet'!$E$16+1,1))-AVERAGE(OFFSET($H$3,0,0,'Données projet'!$E$16+1,1))</f>
        <v>214.31585175697521</v>
      </c>
      <c r="FK85" s="59">
        <f t="shared" si="102"/>
        <v>244.60383864821372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63.710411669764419</v>
      </c>
      <c r="FR85" s="21">
        <f>EXP(-LN(2)/25)*FR84+(1-EXP(-LN(2)/25))/(LN(2)/25)*Calculateur!FM85*Calculateur!FO85*VLOOKUP('Données projet'!$B$16,Paramètres!$A$1:$I$89,3,0)*0.475*44/12</f>
        <v>0</v>
      </c>
      <c r="FS85" s="21">
        <f>EXP(-LN(2)/2)*FS84+(1-EXP(-LN(2)/2))/(LN(2)/2)*FM85*FP85*VLOOKUP('Données projet'!$B$16,Paramètres!$A$1:$I$89,3,0)*0.475*44/12</f>
        <v>0</v>
      </c>
      <c r="FT85" s="22">
        <f t="shared" si="78"/>
        <v>63.710411669764419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-5.6843418860808015E-14</v>
      </c>
      <c r="GA85" s="17">
        <f>FZ85*VLOOKUP('Données projet'!$B$17,Paramètres!$A$1:$I$89,3,0)*VLOOKUP('Données projet'!$B$17,Paramètres!$A$1:$I$89,5,0)</f>
        <v>-4.5224624045658861E-14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308.33954512886351</v>
      </c>
      <c r="GF85" s="59">
        <f t="shared" si="104"/>
        <v>408.79075392716277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88.216692638905926</v>
      </c>
      <c r="GM85" s="21">
        <f>EXP(-LN(2)/25)*GM84+(1-EXP(-LN(2)/25))/(LN(2)/25)*Calculateur!GH85*Calculateur!GJ85*VLOOKUP('Données projet'!$B$17,Paramètres!$A$1:$I$89,3,0)*0.475*44/12</f>
        <v>0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88.216692638905926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342.84342155097613</v>
      </c>
      <c r="T86" s="59">
        <f t="shared" si="88"/>
        <v>565.68976940602215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81.515641618622723</v>
      </c>
      <c r="AA86" s="21">
        <f>EXP(-LN(2)/25)*AA85+(1-EXP(-LN(2)/25))/(LN(2)/25)*Calculateur!V86*Calculateur!X86*VLOOKUP('Données projet'!$B$9,Paramètres!$A$1:$I$89,3,0)*0.475*44/12</f>
        <v>30.801810108341765</v>
      </c>
      <c r="AB86" s="21">
        <f>EXP(-LN(2)/2)*AB85+(1-EXP(-LN(2)/2))/(LN(2)/2)*V86*Y86*VLOOKUP('Données projet'!$B$9,Paramètres!$A$1:$I$89,3,0)*0.475*44/12</f>
        <v>7.894506298124832E-5</v>
      </c>
      <c r="AC86" s="22">
        <f t="shared" si="57"/>
        <v>112.31753067202747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320.33056209214476</v>
      </c>
      <c r="AO86" s="59">
        <f t="shared" si="90"/>
        <v>299.27200854723446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62.237347590482209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62.237347590482209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256.85706398254547</v>
      </c>
      <c r="BJ86" s="59">
        <f t="shared" si="92"/>
        <v>363.68094621014734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92.85525108829259</v>
      </c>
      <c r="BQ86" s="21">
        <f>EXP(-LN(2)/25)*BQ85+(1-EXP(-LN(2)/25))/(LN(2)/25)*Calculateur!BL86*Calculateur!BN86*VLOOKUP('Données projet'!$B$11,Paramètres!$A$1:$I$89,3,0)*0.475*44/12</f>
        <v>28.512830365559331</v>
      </c>
      <c r="BR86" s="21">
        <f>EXP(-LN(2)/2)*BR85+(1-EXP(-LN(2)/2))/(LN(2)/2)*BL86*BO86*VLOOKUP('Données projet'!$B$11,Paramètres!$A$1:$I$89,3,0)*0.475*44/12</f>
        <v>7.4724498503423052E-3</v>
      </c>
      <c r="BS86" s="22">
        <f t="shared" si="63"/>
        <v>121.37555390370225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7.4444444444444446</v>
      </c>
      <c r="BY86" s="12">
        <f>IF('Données projet'!$A$114&gt;35,BY85+BX86-CG85,IF(A86&lt;'Données projet'!$A$114,$BV$205^A86,IF(A86='Données projet'!$A$114,'Données projet'!$B$114,BY85+BX86-CG85)))</f>
        <v>265.5555555555556</v>
      </c>
      <c r="BZ86" s="13">
        <f>BY86*VLOOKUP('Données projet'!$B$12,Paramètres!$A$1:$I$89,3,0)*VLOOKUP('Données projet'!$B$12,Paramètres!$A$1:$I$89,5,0)</f>
        <v>240.27466666666669</v>
      </c>
      <c r="CA86" s="13">
        <f t="shared" si="93"/>
        <v>58.498622419053191</v>
      </c>
      <c r="CB86" s="20">
        <f t="shared" si="64"/>
        <v>520.36347849096194</v>
      </c>
      <c r="CC86" s="59">
        <f t="shared" si="65"/>
        <v>792.24822396806542</v>
      </c>
      <c r="CD86" s="59">
        <f ca="1">AVERAGE(OFFSET($CC$3,0,0,'Données projet'!$E$12+1,1))-AVERAGE(OFFSET($H$3,0,0,'Données projet'!$E$12+1,1))</f>
        <v>357.68828740212223</v>
      </c>
      <c r="CE86" s="59">
        <f t="shared" si="94"/>
        <v>236.76626845829483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15.198728385261452</v>
      </c>
      <c r="CL86" s="21">
        <f>EXP(-LN(2)/25)*CL85+(1-EXP(-LN(2)/25))/(LN(2)/25)*Calculateur!CG86*Calculateur!CI86*VLOOKUP('Données projet'!$B$12,Paramètres!$A$1:$I$89,3,0)*0.475*44/12</f>
        <v>16.316094887330383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31.514823272591833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257.00000000000006</v>
      </c>
      <c r="CU86" s="17">
        <f>CT86*VLOOKUP('Données projet'!$B$13,Paramètres!$A$1:$I$89,3,0)*VLOOKUP('Données projet'!$B$13,Paramètres!$A$1:$I$89,5,0)</f>
        <v>168.38640000000004</v>
      </c>
      <c r="CV86" s="13">
        <f t="shared" si="95"/>
        <v>42.728430513203243</v>
      </c>
      <c r="CW86" s="20">
        <f t="shared" si="67"/>
        <v>367.69166314382898</v>
      </c>
      <c r="CX86" s="59">
        <f t="shared" si="68"/>
        <v>639.5764086209324</v>
      </c>
      <c r="CY86" s="59">
        <f ca="1">AVERAGE(OFFSET($CX$3,0,0,'Données projet'!$E$13+1,1))-AVERAGE(OFFSET($H$3,0,0,'Données projet'!$E$13+1,1))</f>
        <v>220.18342986563667</v>
      </c>
      <c r="CZ86" s="59">
        <f t="shared" si="96"/>
        <v>347.84382145531163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1.0846524009174547E-7</v>
      </c>
      <c r="DI86" s="22">
        <f t="shared" si="69"/>
        <v>1.0846524009174547E-7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7.4444444444444446</v>
      </c>
      <c r="DO86" s="12">
        <f>IF('Données projet'!$A$166&gt;35,DO85+DN86-DW85,IF(A86&lt;'Données projet'!$A$166,$DL$205^A86,IF(A86='Données projet'!$A$166,'Données projet'!$B$166,DO85+DN86-DW85)))</f>
        <v>265.5555555555556</v>
      </c>
      <c r="DP86" s="17">
        <f>DO86*VLOOKUP('Données projet'!$B$14,Paramètres!$A$1:$I$89,3,0)*VLOOKUP('Données projet'!$B$14,Paramètres!$A$1:$I$89,5,0)</f>
        <v>269.27333333333337</v>
      </c>
      <c r="DQ86" s="13">
        <f t="shared" si="97"/>
        <v>64.695028101013136</v>
      </c>
      <c r="DR86" s="20">
        <f t="shared" si="70"/>
        <v>581.66156283148678</v>
      </c>
      <c r="DS86" s="59">
        <f t="shared" si="71"/>
        <v>853.54630830859026</v>
      </c>
      <c r="DT86" s="59">
        <f ca="1">AVERAGE(OFFSET($DS$3,0,0,'Données projet'!$E$14+1,1))-AVERAGE(OFFSET($H$3,0,0,'Données projet'!$E$14+1,1))</f>
        <v>392.49465607243178</v>
      </c>
      <c r="DU86" s="59">
        <f t="shared" si="98"/>
        <v>258.031856676031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17.033057673137829</v>
      </c>
      <c r="EB86" s="21">
        <f>EXP(-LN(2)/25)*EB85+(1-EXP(-LN(2)/25))/(LN(2)/25)*Calculateur!DW86*Calculateur!DY86*VLOOKUP('Données projet'!$B$14,Paramètres!$A$1:$I$89,3,0)*0.475*44/12</f>
        <v>18.285278753042679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35.318336426180508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294.24530606293143</v>
      </c>
      <c r="EP86" s="59">
        <f t="shared" si="100"/>
        <v>275.88160405468193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134.49652757871672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134.49652757871672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1.1368683772161603E-13</v>
      </c>
      <c r="FF86" s="17">
        <f>FE86*VLOOKUP('Données projet'!$B$16,Paramètres!$A$1:$I$89,3,0)*VLOOKUP('Données projet'!$B$16,Paramètres!$A$1:$I$89,5,0)</f>
        <v>8.3355189417488869E-14</v>
      </c>
      <c r="FG86" s="13">
        <f t="shared" si="101"/>
        <v>1.2790518435140618E-12</v>
      </c>
      <c r="FH86" s="20">
        <f t="shared" si="76"/>
        <v>2.3728589156891171E-12</v>
      </c>
      <c r="FI86" s="59">
        <f t="shared" si="77"/>
        <v>271.88474547710587</v>
      </c>
      <c r="FJ86" s="59">
        <f ca="1">AVERAGE(OFFSET($FI$3,0,0,'Données projet'!$E$16+1,1))-AVERAGE(OFFSET($H$3,0,0,'Données projet'!$E$16+1,1))</f>
        <v>214.31585175697521</v>
      </c>
      <c r="FK86" s="59">
        <f t="shared" si="102"/>
        <v>244.60383864821372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62.4610893564344</v>
      </c>
      <c r="FR86" s="21">
        <f>EXP(-LN(2)/25)*FR85+(1-EXP(-LN(2)/25))/(LN(2)/25)*Calculateur!FM86*Calculateur!FO86*VLOOKUP('Données projet'!$B$16,Paramètres!$A$1:$I$89,3,0)*0.475*44/12</f>
        <v>0</v>
      </c>
      <c r="FS86" s="21">
        <f>EXP(-LN(2)/2)*FS85+(1-EXP(-LN(2)/2))/(LN(2)/2)*FM86*FP86*VLOOKUP('Données projet'!$B$16,Paramètres!$A$1:$I$89,3,0)*0.475*44/12</f>
        <v>0</v>
      </c>
      <c r="FT86" s="22">
        <f t="shared" si="78"/>
        <v>62.4610893564344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-5.6843418860808015E-14</v>
      </c>
      <c r="GA86" s="17">
        <f>FZ86*VLOOKUP('Données projet'!$B$17,Paramètres!$A$1:$I$89,3,0)*VLOOKUP('Données projet'!$B$17,Paramètres!$A$1:$I$89,5,0)</f>
        <v>-4.5224624045658861E-14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308.33954512886351</v>
      </c>
      <c r="GF86" s="59">
        <f t="shared" si="104"/>
        <v>408.79075392716277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86.486817103126498</v>
      </c>
      <c r="GM86" s="21">
        <f>EXP(-LN(2)/25)*GM85+(1-EXP(-LN(2)/25))/(LN(2)/25)*Calculateur!GH86*Calculateur!GJ86*VLOOKUP('Données projet'!$B$17,Paramètres!$A$1:$I$89,3,0)*0.475*44/12</f>
        <v>0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86.486817103126498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342.84342155097613</v>
      </c>
      <c r="T87" s="59">
        <f t="shared" si="88"/>
        <v>565.68976940602215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79.917169606113518</v>
      </c>
      <c r="AA87" s="21">
        <f>EXP(-LN(2)/25)*AA86+(1-EXP(-LN(2)/25))/(LN(2)/25)*Calculateur!V87*Calculateur!X87*VLOOKUP('Données projet'!$B$9,Paramètres!$A$1:$I$89,3,0)*0.475*44/12</f>
        <v>29.959532991132363</v>
      </c>
      <c r="AB87" s="21">
        <f>EXP(-LN(2)/2)*AB86+(1-EXP(-LN(2)/2))/(LN(2)/2)*V87*Y87*VLOOKUP('Données projet'!$B$9,Paramètres!$A$1:$I$89,3,0)*0.475*44/12</f>
        <v>5.582258937523977E-5</v>
      </c>
      <c r="AC87" s="22">
        <f t="shared" si="57"/>
        <v>109.87675841983526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320.33056209214476</v>
      </c>
      <c r="AO87" s="59">
        <f t="shared" si="90"/>
        <v>299.27200854723446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60.535464047700607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60.535464047700607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256.85706398254547</v>
      </c>
      <c r="BJ87" s="59">
        <f t="shared" si="92"/>
        <v>363.68094621014734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91.034416250561989</v>
      </c>
      <c r="BQ87" s="21">
        <f>EXP(-LN(2)/25)*BQ86+(1-EXP(-LN(2)/25))/(LN(2)/25)*Calculateur!BL87*Calculateur!BN87*VLOOKUP('Données projet'!$B$11,Paramètres!$A$1:$I$89,3,0)*0.475*44/12</f>
        <v>27.733145519788529</v>
      </c>
      <c r="BR87" s="21">
        <f>EXP(-LN(2)/2)*BR86+(1-EXP(-LN(2)/2))/(LN(2)/2)*BL87*BO87*VLOOKUP('Données projet'!$B$11,Paramètres!$A$1:$I$89,3,0)*0.475*44/12</f>
        <v>5.2838199612534461E-3</v>
      </c>
      <c r="BS87" s="22">
        <f t="shared" si="63"/>
        <v>118.77284559031176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273</v>
      </c>
      <c r="BW87" s="12">
        <f>VLOOKUP(A87,'Données projet'!$A$113:$I$133,9,0)</f>
        <v>7.4444444444444446</v>
      </c>
      <c r="BX87" s="12">
        <f t="array" ref="BX87">INDEX(BW:BW,MIN(IF(ISNUMBER(BW87:BW283),ROW(BW87:BW283),"")))</f>
        <v>7.4444444444444446</v>
      </c>
      <c r="BY87" s="12">
        <f>IF('Données projet'!$A$114&gt;35,BY86+BX87-CG86,IF(A87&lt;'Données projet'!$A$114,$BV$205^A87,IF(A87='Données projet'!$A$114,'Données projet'!$B$114,BY86+BX87-CG86)))</f>
        <v>273.00000000000006</v>
      </c>
      <c r="BZ87" s="13">
        <f>BY87*VLOOKUP('Données projet'!$B$12,Paramètres!$A$1:$I$89,3,0)*VLOOKUP('Données projet'!$B$12,Paramètres!$A$1:$I$89,5,0)</f>
        <v>247.01040000000006</v>
      </c>
      <c r="CA87" s="13">
        <f t="shared" si="93"/>
        <v>59.945315462121812</v>
      </c>
      <c r="CB87" s="20">
        <f t="shared" si="64"/>
        <v>534.61453776319547</v>
      </c>
      <c r="CC87" s="59">
        <f t="shared" si="65"/>
        <v>806.87136828774578</v>
      </c>
      <c r="CD87" s="59">
        <f ca="1">AVERAGE(OFFSET($CC$3,0,0,'Données projet'!$E$12+1,1))-AVERAGE(OFFSET($H$3,0,0,'Données projet'!$E$12+1,1))</f>
        <v>357.68828740212223</v>
      </c>
      <c r="CE87" s="59">
        <f t="shared" si="94"/>
        <v>236.76626845829483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36</v>
      </c>
      <c r="CH87" s="16">
        <f>IF(ISNA(VLOOKUP(A87,'Données projet'!$A$113:$I$133,5,0)),0%,VLOOKUP(A87,'Données projet'!$A$113:$I$133,5,0)*VLOOKUP('Données projet'!$B$12,Paramètres!$A$1:$I$89,7,0))</f>
        <v>0.215</v>
      </c>
      <c r="CI87" s="16">
        <f>IF(ISNA(VLOOKUP(A87,'Données projet'!$A$113:$I$133,6,0)),0%,VLOOKUP(A87,'Données projet'!$A$113:$I$133,6,0)*VLOOKUP('Données projet'!$B$12,Paramètres!$A$1:$I$89,7,0))</f>
        <v>0.17200000000000001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22.642467691302361</v>
      </c>
      <c r="CL87" s="21">
        <f>EXP(-LN(2)/25)*CL86+(1-EXP(-LN(2)/25))/(LN(2)/25)*Calculateur!CG87*Calculateur!CI87*VLOOKUP('Données projet'!$B$12,Paramètres!$A$1:$I$89,3,0)*0.475*44/12</f>
        <v>22.038966233072909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44.68143392437527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257.00000000000006</v>
      </c>
      <c r="CU87" s="17">
        <f>CT87*VLOOKUP('Données projet'!$B$13,Paramètres!$A$1:$I$89,3,0)*VLOOKUP('Données projet'!$B$13,Paramètres!$A$1:$I$89,5,0)</f>
        <v>168.38640000000004</v>
      </c>
      <c r="CV87" s="13">
        <f t="shared" si="95"/>
        <v>42.728430513203243</v>
      </c>
      <c r="CW87" s="20">
        <f t="shared" si="67"/>
        <v>367.69166314382898</v>
      </c>
      <c r="CX87" s="59">
        <f t="shared" si="68"/>
        <v>639.94849366837934</v>
      </c>
      <c r="CY87" s="59">
        <f ca="1">AVERAGE(OFFSET($CX$3,0,0,'Données projet'!$E$13+1,1))-AVERAGE(OFFSET($H$3,0,0,'Données projet'!$E$13+1,1))</f>
        <v>220.18342986563667</v>
      </c>
      <c r="CZ87" s="59">
        <f t="shared" si="96"/>
        <v>347.84382145531163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7.6696506791900205E-8</v>
      </c>
      <c r="DI87" s="22">
        <f t="shared" si="69"/>
        <v>7.6696506791900205E-8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>
        <f>VLOOKUP(A87,'Données projet'!$A$165:$I$185,2,0)</f>
        <v>273</v>
      </c>
      <c r="DM87" s="12">
        <f>VLOOKUP(A87,'Données projet'!$A$165:$I$185,9,0)</f>
        <v>7.4444444444444446</v>
      </c>
      <c r="DN87" s="12">
        <f t="array" ref="DN87">INDEX(DM:DM,MIN(IF(ISNUMBER(DM87:DM283),ROW(DM87:DM283),"")))</f>
        <v>7.4444444444444446</v>
      </c>
      <c r="DO87" s="12">
        <f>IF('Données projet'!$A$166&gt;35,DO86+DN87-DW86,IF(A87&lt;'Données projet'!$A$166,$DL$205^A87,IF(A87='Données projet'!$A$166,'Données projet'!$B$166,DO86+DN87-DW86)))</f>
        <v>273.00000000000006</v>
      </c>
      <c r="DP87" s="17">
        <f>DO87*VLOOKUP('Données projet'!$B$14,Paramètres!$A$1:$I$89,3,0)*VLOOKUP('Données projet'!$B$14,Paramètres!$A$1:$I$89,5,0)</f>
        <v>276.82200000000006</v>
      </c>
      <c r="DQ87" s="13">
        <f t="shared" si="97"/>
        <v>66.29496059864374</v>
      </c>
      <c r="DR87" s="20">
        <f t="shared" si="70"/>
        <v>597.5953730426379</v>
      </c>
      <c r="DS87" s="59">
        <f t="shared" si="71"/>
        <v>869.85220356718821</v>
      </c>
      <c r="DT87" s="59">
        <f ca="1">AVERAGE(OFFSET($DS$3,0,0,'Données projet'!$E$14+1,1))-AVERAGE(OFFSET($H$3,0,0,'Données projet'!$E$14+1,1))</f>
        <v>392.49465607243178</v>
      </c>
      <c r="DU87" s="59">
        <f t="shared" si="98"/>
        <v>258.031856676031</v>
      </c>
      <c r="DV87" s="15">
        <f>IF(ISNA(VLOOKUP(A87,'Données projet'!$A$165:$I$185,3,0)),0,VLOOKUP(A87,'Données projet'!$A$165:$I$185,3,0))</f>
        <v>6</v>
      </c>
      <c r="DW87" s="15">
        <f>IF(ISNA(VLOOKUP(A87,'Données projet'!$A$165:$I$185,4,0)),0,VLOOKUP(A87,'Données projet'!$A$165:$I$185,4,0))</f>
        <v>36</v>
      </c>
      <c r="DX87" s="16">
        <f>IF(ISNA(VLOOKUP(A87,'Données projet'!$A$165:$I$185,5,0)),0%,VLOOKUP(A87,'Données projet'!$A$165:$I$185,5,0)*VLOOKUP('Données projet'!$B$14,Paramètres!$A$1:$I$89,7,0))</f>
        <v>0.215</v>
      </c>
      <c r="DY87" s="16">
        <f>IF(ISNA(VLOOKUP(A87,'Données projet'!$A$165:$I$185,6,0)),0%,VLOOKUP(A87,'Données projet'!$A$165:$I$185,6,0)*VLOOKUP('Données projet'!$B$14,Paramètres!$A$1:$I$89,7,0))</f>
        <v>0.17200000000000001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25.375179309218161</v>
      </c>
      <c r="EB87" s="21">
        <f>EXP(-LN(2)/25)*EB86+(1-EXP(-LN(2)/25))/(LN(2)/25)*Calculateur!DW87*Calculateur!DY87*VLOOKUP('Données projet'!$B$14,Paramètres!$A$1:$I$89,3,0)*0.475*44/12</f>
        <v>24.698841468098955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50.074020777317116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294.24530606293143</v>
      </c>
      <c r="EP87" s="59">
        <f t="shared" si="100"/>
        <v>275.88160405468193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131.85913270767966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131.85913270767966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1.1368683772161603E-13</v>
      </c>
      <c r="FF87" s="17">
        <f>FE87*VLOOKUP('Données projet'!$B$16,Paramètres!$A$1:$I$89,3,0)*VLOOKUP('Données projet'!$B$16,Paramètres!$A$1:$I$89,5,0)</f>
        <v>8.3355189417488869E-14</v>
      </c>
      <c r="FG87" s="13">
        <f t="shared" si="101"/>
        <v>1.2790518435140618E-12</v>
      </c>
      <c r="FH87" s="20">
        <f t="shared" si="76"/>
        <v>2.3728589156891171E-12</v>
      </c>
      <c r="FI87" s="59">
        <f t="shared" si="77"/>
        <v>272.2568305245527</v>
      </c>
      <c r="FJ87" s="59">
        <f ca="1">AVERAGE(OFFSET($FI$3,0,0,'Données projet'!$E$16+1,1))-AVERAGE(OFFSET($H$3,0,0,'Données projet'!$E$16+1,1))</f>
        <v>214.31585175697521</v>
      </c>
      <c r="FK87" s="59">
        <f t="shared" si="102"/>
        <v>244.60383864821372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61.236265491657413</v>
      </c>
      <c r="FR87" s="21">
        <f>EXP(-LN(2)/25)*FR86+(1-EXP(-LN(2)/25))/(LN(2)/25)*Calculateur!FM87*Calculateur!FO87*VLOOKUP('Données projet'!$B$16,Paramètres!$A$1:$I$89,3,0)*0.475*44/12</f>
        <v>0</v>
      </c>
      <c r="FS87" s="21">
        <f>EXP(-LN(2)/2)*FS86+(1-EXP(-LN(2)/2))/(LN(2)/2)*FM87*FP87*VLOOKUP('Données projet'!$B$16,Paramètres!$A$1:$I$89,3,0)*0.475*44/12</f>
        <v>0</v>
      </c>
      <c r="FT87" s="22">
        <f t="shared" si="78"/>
        <v>61.236265491657413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-5.6843418860808015E-14</v>
      </c>
      <c r="GA87" s="17">
        <f>FZ87*VLOOKUP('Données projet'!$B$17,Paramètres!$A$1:$I$89,3,0)*VLOOKUP('Données projet'!$B$17,Paramètres!$A$1:$I$89,5,0)</f>
        <v>-4.5224624045658861E-14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308.33954512886351</v>
      </c>
      <c r="GF87" s="59">
        <f t="shared" si="104"/>
        <v>408.79075392716277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84.790863371483823</v>
      </c>
      <c r="GM87" s="21">
        <f>EXP(-LN(2)/25)*GM86+(1-EXP(-LN(2)/25))/(LN(2)/25)*Calculateur!GH87*Calculateur!GJ87*VLOOKUP('Données projet'!$B$17,Paramètres!$A$1:$I$89,3,0)*0.475*44/12</f>
        <v>0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84.790863371483823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342.84342155097613</v>
      </c>
      <c r="T88" s="59">
        <f t="shared" si="88"/>
        <v>565.68976940602215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78.35004265479796</v>
      </c>
      <c r="AA88" s="21">
        <f>EXP(-LN(2)/25)*AA87+(1-EXP(-LN(2)/25))/(LN(2)/25)*Calculateur!V88*Calculateur!X88*VLOOKUP('Données projet'!$B$9,Paramètres!$A$1:$I$89,3,0)*0.475*44/12</f>
        <v>29.140287985986483</v>
      </c>
      <c r="AB88" s="21">
        <f>EXP(-LN(2)/2)*AB87+(1-EXP(-LN(2)/2))/(LN(2)/2)*V88*Y88*VLOOKUP('Données projet'!$B$9,Paramètres!$A$1:$I$89,3,0)*0.475*44/12</f>
        <v>3.947253149062416E-5</v>
      </c>
      <c r="AC88" s="22">
        <f t="shared" si="57"/>
        <v>107.49037011331593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320.33056209214476</v>
      </c>
      <c r="AO88" s="59">
        <f t="shared" si="90"/>
        <v>299.27200854723446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58.880118599894537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58.880118599894537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256.85706398254547</v>
      </c>
      <c r="BJ88" s="59">
        <f t="shared" si="92"/>
        <v>363.68094621014734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89.249286873399697</v>
      </c>
      <c r="BQ88" s="21">
        <f>EXP(-LN(2)/25)*BQ87+(1-EXP(-LN(2)/25))/(LN(2)/25)*Calculateur!BL88*Calculateur!BN88*VLOOKUP('Données projet'!$B$11,Paramètres!$A$1:$I$89,3,0)*0.475*44/12</f>
        <v>26.974781197127175</v>
      </c>
      <c r="BR88" s="21">
        <f>EXP(-LN(2)/2)*BR87+(1-EXP(-LN(2)/2))/(LN(2)/2)*BL88*BO88*VLOOKUP('Données projet'!$B$11,Paramètres!$A$1:$I$89,3,0)*0.475*44/12</f>
        <v>3.7362249251711526E-3</v>
      </c>
      <c r="BS88" s="22">
        <f t="shared" si="63"/>
        <v>116.22780429545205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7.5555555555555554</v>
      </c>
      <c r="BY88" s="12">
        <f>IF('Données projet'!$A$114&gt;35,BY87+BX88-CG87,IF(A88&lt;'Données projet'!$A$114,$BV$205^A88,IF(A88='Données projet'!$A$114,'Données projet'!$B$114,BY87+BX88-CG87)))</f>
        <v>244.5555555555556</v>
      </c>
      <c r="BZ88" s="13">
        <f>BY88*VLOOKUP('Données projet'!$B$12,Paramètres!$A$1:$I$89,3,0)*VLOOKUP('Données projet'!$B$12,Paramètres!$A$1:$I$89,5,0)</f>
        <v>221.27386666666669</v>
      </c>
      <c r="CA88" s="13">
        <f t="shared" si="93"/>
        <v>54.391661243582725</v>
      </c>
      <c r="CB88" s="20">
        <f t="shared" si="64"/>
        <v>480.11746111035109</v>
      </c>
      <c r="CC88" s="59">
        <f t="shared" si="65"/>
        <v>752.73992183863265</v>
      </c>
      <c r="CD88" s="59">
        <f ca="1">AVERAGE(OFFSET($CC$3,0,0,'Données projet'!$E$12+1,1))-AVERAGE(OFFSET($H$3,0,0,'Données projet'!$E$12+1,1))</f>
        <v>357.68828740212223</v>
      </c>
      <c r="CE88" s="59">
        <f t="shared" si="94"/>
        <v>236.76626845829483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22.198462710417537</v>
      </c>
      <c r="CL88" s="21">
        <f>EXP(-LN(2)/25)*CL87+(1-EXP(-LN(2)/25))/(LN(2)/25)*Calculateur!CG88*Calculateur!CI88*VLOOKUP('Données projet'!$B$12,Paramètres!$A$1:$I$89,3,0)*0.475*44/12</f>
        <v>21.436309542450665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43.634772252868203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257.00000000000006</v>
      </c>
      <c r="CU88" s="17">
        <f>CT88*VLOOKUP('Données projet'!$B$13,Paramètres!$A$1:$I$89,3,0)*VLOOKUP('Données projet'!$B$13,Paramètres!$A$1:$I$89,5,0)</f>
        <v>168.38640000000004</v>
      </c>
      <c r="CV88" s="13">
        <f t="shared" si="95"/>
        <v>42.728430513203243</v>
      </c>
      <c r="CW88" s="20">
        <f t="shared" si="67"/>
        <v>367.69166314382898</v>
      </c>
      <c r="CX88" s="59">
        <f t="shared" si="68"/>
        <v>640.31412387211049</v>
      </c>
      <c r="CY88" s="59">
        <f ca="1">AVERAGE(OFFSET($CX$3,0,0,'Données projet'!$E$13+1,1))-AVERAGE(OFFSET($H$3,0,0,'Données projet'!$E$13+1,1))</f>
        <v>220.18342986563667</v>
      </c>
      <c r="CZ88" s="59">
        <f t="shared" si="96"/>
        <v>347.84382145531163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5.4232620045872735E-8</v>
      </c>
      <c r="DI88" s="22">
        <f t="shared" si="69"/>
        <v>5.4232620045872735E-8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7.5555555555555554</v>
      </c>
      <c r="DO88" s="12">
        <f>IF('Données projet'!$A$166&gt;35,DO87+DN88-DW87,IF(A88&lt;'Données projet'!$A$166,$DL$205^A88,IF(A88='Données projet'!$A$166,'Données projet'!$B$166,DO87+DN88-DW87)))</f>
        <v>244.5555555555556</v>
      </c>
      <c r="DP88" s="17">
        <f>DO88*VLOOKUP('Données projet'!$B$14,Paramètres!$A$1:$I$89,3,0)*VLOOKUP('Données projet'!$B$14,Paramètres!$A$1:$I$89,5,0)</f>
        <v>247.97933333333339</v>
      </c>
      <c r="DQ88" s="13">
        <f t="shared" si="97"/>
        <v>60.153041338427563</v>
      </c>
      <c r="DR88" s="20">
        <f t="shared" si="70"/>
        <v>536.66388588665029</v>
      </c>
      <c r="DS88" s="59">
        <f t="shared" si="71"/>
        <v>809.28634661493174</v>
      </c>
      <c r="DT88" s="59">
        <f ca="1">AVERAGE(OFFSET($DS$3,0,0,'Données projet'!$E$14+1,1))-AVERAGE(OFFSET($H$3,0,0,'Données projet'!$E$14+1,1))</f>
        <v>392.49465607243178</v>
      </c>
      <c r="DU88" s="59">
        <f t="shared" si="98"/>
        <v>258.031856676031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24.877587520295513</v>
      </c>
      <c r="EB88" s="21">
        <f>EXP(-LN(2)/25)*EB87+(1-EXP(-LN(2)/25))/(LN(2)/25)*Calculateur!DW88*Calculateur!DY88*VLOOKUP('Données projet'!$B$14,Paramètres!$A$1:$I$89,3,0)*0.475*44/12</f>
        <v>24.023450349298166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48.901037869593679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294.24530606293143</v>
      </c>
      <c r="EP88" s="59">
        <f t="shared" si="100"/>
        <v>275.88160405468193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129.27345554141161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129.27345554141161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1.1368683772161603E-13</v>
      </c>
      <c r="FF88" s="17">
        <f>FE88*VLOOKUP('Données projet'!$B$16,Paramètres!$A$1:$I$89,3,0)*VLOOKUP('Données projet'!$B$16,Paramètres!$A$1:$I$89,5,0)</f>
        <v>8.3355189417488869E-14</v>
      </c>
      <c r="FG88" s="13">
        <f t="shared" si="101"/>
        <v>1.2790518435140618E-12</v>
      </c>
      <c r="FH88" s="20">
        <f t="shared" si="76"/>
        <v>2.3728589156891171E-12</v>
      </c>
      <c r="FI88" s="59">
        <f t="shared" si="77"/>
        <v>272.6224607282839</v>
      </c>
      <c r="FJ88" s="59">
        <f ca="1">AVERAGE(OFFSET($FI$3,0,0,'Données projet'!$E$16+1,1))-AVERAGE(OFFSET($H$3,0,0,'Données projet'!$E$16+1,1))</f>
        <v>214.31585175697521</v>
      </c>
      <c r="FK88" s="59">
        <f t="shared" si="102"/>
        <v>244.60383864821372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60.035459675799913</v>
      </c>
      <c r="FR88" s="21">
        <f>EXP(-LN(2)/25)*FR87+(1-EXP(-LN(2)/25))/(LN(2)/25)*Calculateur!FM88*Calculateur!FO88*VLOOKUP('Données projet'!$B$16,Paramètres!$A$1:$I$89,3,0)*0.475*44/12</f>
        <v>0</v>
      </c>
      <c r="FS88" s="21">
        <f>EXP(-LN(2)/2)*FS87+(1-EXP(-LN(2)/2))/(LN(2)/2)*FM88*FP88*VLOOKUP('Données projet'!$B$16,Paramètres!$A$1:$I$89,3,0)*0.475*44/12</f>
        <v>0</v>
      </c>
      <c r="FT88" s="22">
        <f t="shared" si="78"/>
        <v>60.035459675799913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-5.6843418860808015E-14</v>
      </c>
      <c r="GA88" s="17">
        <f>FZ88*VLOOKUP('Données projet'!$B$17,Paramètres!$A$1:$I$89,3,0)*VLOOKUP('Données projet'!$B$17,Paramètres!$A$1:$I$89,5,0)</f>
        <v>-4.5224624045658861E-14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308.33954512886351</v>
      </c>
      <c r="GF88" s="59">
        <f t="shared" si="104"/>
        <v>408.79075392716277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83.128166258089024</v>
      </c>
      <c r="GM88" s="21">
        <f>EXP(-LN(2)/25)*GM87+(1-EXP(-LN(2)/25))/(LN(2)/25)*Calculateur!GH88*Calculateur!GJ88*VLOOKUP('Données projet'!$B$17,Paramètres!$A$1:$I$89,3,0)*0.475*44/12</f>
        <v>0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83.128166258089024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342.84342155097613</v>
      </c>
      <c r="T89" s="59">
        <f t="shared" si="88"/>
        <v>565.68976940602215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76.813646107144635</v>
      </c>
      <c r="AA89" s="21">
        <f>EXP(-LN(2)/25)*AA88+(1-EXP(-LN(2)/25))/(LN(2)/25)*Calculateur!V89*Calculateur!X89*VLOOKUP('Données projet'!$B$9,Paramètres!$A$1:$I$89,3,0)*0.475*44/12</f>
        <v>28.343445278588536</v>
      </c>
      <c r="AB89" s="21">
        <f>EXP(-LN(2)/2)*AB88+(1-EXP(-LN(2)/2))/(LN(2)/2)*V89*Y89*VLOOKUP('Données projet'!$B$9,Paramètres!$A$1:$I$89,3,0)*0.475*44/12</f>
        <v>2.7911294687619885E-5</v>
      </c>
      <c r="AC89" s="22">
        <f t="shared" si="57"/>
        <v>105.15711929702786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320.33056209214476</v>
      </c>
      <c r="AO89" s="59">
        <f t="shared" si="90"/>
        <v>299.27200854723446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57.270038660409554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57.270038660409554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256.85706398254547</v>
      </c>
      <c r="BJ89" s="59">
        <f t="shared" si="92"/>
        <v>363.68094621014734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87.499162794502141</v>
      </c>
      <c r="BQ89" s="21">
        <f>EXP(-LN(2)/25)*BQ88+(1-EXP(-LN(2)/25))/(LN(2)/25)*Calculateur!BL89*Calculateur!BN89*VLOOKUP('Données projet'!$B$11,Paramètres!$A$1:$I$89,3,0)*0.475*44/12</f>
        <v>26.237154386749641</v>
      </c>
      <c r="BR89" s="21">
        <f>EXP(-LN(2)/2)*BR88+(1-EXP(-LN(2)/2))/(LN(2)/2)*BL89*BO89*VLOOKUP('Données projet'!$B$11,Paramètres!$A$1:$I$89,3,0)*0.475*44/12</f>
        <v>2.6419099806267231E-3</v>
      </c>
      <c r="BS89" s="22">
        <f t="shared" si="63"/>
        <v>113.7389590912324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7.5555555555555554</v>
      </c>
      <c r="BY89" s="12">
        <f>IF('Données projet'!$A$114&gt;35,BY88+BX89-CG88,IF(A89&lt;'Données projet'!$A$114,$BV$205^A89,IF(A89='Données projet'!$A$114,'Données projet'!$B$114,BY88+BX89-CG88)))</f>
        <v>252.11111111111114</v>
      </c>
      <c r="BZ89" s="13">
        <f>BY89*VLOOKUP('Données projet'!$B$12,Paramètres!$A$1:$I$89,3,0)*VLOOKUP('Données projet'!$B$12,Paramètres!$A$1:$I$89,5,0)</f>
        <v>228.11013333333335</v>
      </c>
      <c r="CA89" s="13">
        <f t="shared" si="93"/>
        <v>55.87385215656807</v>
      </c>
      <c r="CB89" s="20">
        <f t="shared" si="64"/>
        <v>494.60544139491168</v>
      </c>
      <c r="CC89" s="59">
        <f t="shared" si="65"/>
        <v>767.58718946031638</v>
      </c>
      <c r="CD89" s="59">
        <f ca="1">AVERAGE(OFFSET($CC$3,0,0,'Données projet'!$E$12+1,1))-AVERAGE(OFFSET($H$3,0,0,'Données projet'!$E$12+1,1))</f>
        <v>357.68828740212223</v>
      </c>
      <c r="CE89" s="59">
        <f t="shared" si="94"/>
        <v>236.76626845829483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21.763164396391566</v>
      </c>
      <c r="CL89" s="21">
        <f>EXP(-LN(2)/25)*CL88+(1-EXP(-LN(2)/25))/(LN(2)/25)*Calculateur!CG89*Calculateur!CI89*VLOOKUP('Données projet'!$B$12,Paramètres!$A$1:$I$89,3,0)*0.475*44/12</f>
        <v>20.850132530725826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42.613296927117389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257.00000000000006</v>
      </c>
      <c r="CU89" s="17">
        <f>CT89*VLOOKUP('Données projet'!$B$13,Paramètres!$A$1:$I$89,3,0)*VLOOKUP('Données projet'!$B$13,Paramètres!$A$1:$I$89,5,0)</f>
        <v>168.38640000000004</v>
      </c>
      <c r="CV89" s="13">
        <f t="shared" si="95"/>
        <v>42.728430513203243</v>
      </c>
      <c r="CW89" s="20">
        <f t="shared" si="67"/>
        <v>367.69166314382898</v>
      </c>
      <c r="CX89" s="59">
        <f t="shared" si="68"/>
        <v>640.67341120923368</v>
      </c>
      <c r="CY89" s="59">
        <f ca="1">AVERAGE(OFFSET($CX$3,0,0,'Données projet'!$E$13+1,1))-AVERAGE(OFFSET($H$3,0,0,'Données projet'!$E$13+1,1))</f>
        <v>220.18342986563667</v>
      </c>
      <c r="CZ89" s="59">
        <f t="shared" si="96"/>
        <v>347.84382145531163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3.8348253395950102E-8</v>
      </c>
      <c r="DI89" s="22">
        <f t="shared" si="69"/>
        <v>3.8348253395950102E-8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7.5555555555555554</v>
      </c>
      <c r="DO89" s="12">
        <f>IF('Données projet'!$A$166&gt;35,DO88+DN89-DW88,IF(A89&lt;'Données projet'!$A$166,$DL$205^A89,IF(A89='Données projet'!$A$166,'Données projet'!$B$166,DO88+DN89-DW88)))</f>
        <v>252.11111111111114</v>
      </c>
      <c r="DP89" s="17">
        <f>DO89*VLOOKUP('Données projet'!$B$14,Paramètres!$A$1:$I$89,3,0)*VLOOKUP('Données projet'!$B$14,Paramètres!$A$1:$I$89,5,0)</f>
        <v>255.6406666666667</v>
      </c>
      <c r="DQ89" s="13">
        <f t="shared" si="97"/>
        <v>61.792231780892145</v>
      </c>
      <c r="DR89" s="20">
        <f t="shared" si="70"/>
        <v>552.8622981294983</v>
      </c>
      <c r="DS89" s="59">
        <f t="shared" si="71"/>
        <v>825.84404619490306</v>
      </c>
      <c r="DT89" s="59">
        <f ca="1">AVERAGE(OFFSET($DS$3,0,0,'Données projet'!$E$14+1,1))-AVERAGE(OFFSET($H$3,0,0,'Données projet'!$E$14+1,1))</f>
        <v>392.49465607243178</v>
      </c>
      <c r="DU89" s="59">
        <f t="shared" si="98"/>
        <v>258.031856676031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24.389753202852614</v>
      </c>
      <c r="EB89" s="21">
        <f>EXP(-LN(2)/25)*EB88+(1-EXP(-LN(2)/25))/(LN(2)/25)*Calculateur!DW89*Calculateur!DY89*VLOOKUP('Données projet'!$B$14,Paramètres!$A$1:$I$89,3,0)*0.475*44/12</f>
        <v>23.366527836158259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47.756281039010872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294.24530606293143</v>
      </c>
      <c r="EP89" s="59">
        <f t="shared" si="100"/>
        <v>275.88160405468193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126.73848192726672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126.73848192726672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1.1368683772161603E-13</v>
      </c>
      <c r="FF89" s="17">
        <f>FE89*VLOOKUP('Données projet'!$B$16,Paramètres!$A$1:$I$89,3,0)*VLOOKUP('Données projet'!$B$16,Paramètres!$A$1:$I$89,5,0)</f>
        <v>8.3355189417488869E-14</v>
      </c>
      <c r="FG89" s="13">
        <f t="shared" si="101"/>
        <v>1.2790518435140618E-12</v>
      </c>
      <c r="FH89" s="20">
        <f t="shared" si="76"/>
        <v>2.3728589156891171E-12</v>
      </c>
      <c r="FI89" s="59">
        <f t="shared" si="77"/>
        <v>272.98174806540709</v>
      </c>
      <c r="FJ89" s="59">
        <f ca="1">AVERAGE(OFFSET($FI$3,0,0,'Données projet'!$E$16+1,1))-AVERAGE(OFFSET($H$3,0,0,'Données projet'!$E$16+1,1))</f>
        <v>214.31585175697521</v>
      </c>
      <c r="FK89" s="59">
        <f t="shared" si="102"/>
        <v>244.60383864821372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58.858200929572149</v>
      </c>
      <c r="FR89" s="21">
        <f>EXP(-LN(2)/25)*FR88+(1-EXP(-LN(2)/25))/(LN(2)/25)*Calculateur!FM89*Calculateur!FO89*VLOOKUP('Données projet'!$B$16,Paramètres!$A$1:$I$89,3,0)*0.475*44/12</f>
        <v>0</v>
      </c>
      <c r="FS89" s="21">
        <f>EXP(-LN(2)/2)*FS88+(1-EXP(-LN(2)/2))/(LN(2)/2)*FM89*FP89*VLOOKUP('Données projet'!$B$16,Paramètres!$A$1:$I$89,3,0)*0.475*44/12</f>
        <v>0</v>
      </c>
      <c r="FT89" s="22">
        <f t="shared" si="78"/>
        <v>58.858200929572149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-5.6843418860808015E-14</v>
      </c>
      <c r="GA89" s="17">
        <f>FZ89*VLOOKUP('Données projet'!$B$17,Paramètres!$A$1:$I$89,3,0)*VLOOKUP('Données projet'!$B$17,Paramètres!$A$1:$I$89,5,0)</f>
        <v>-4.5224624045658861E-14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308.33954512886351</v>
      </c>
      <c r="GF89" s="59">
        <f t="shared" si="104"/>
        <v>408.79075392716277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81.49807362094279</v>
      </c>
      <c r="GM89" s="21">
        <f>EXP(-LN(2)/25)*GM88+(1-EXP(-LN(2)/25))/(LN(2)/25)*Calculateur!GH89*Calculateur!GJ89*VLOOKUP('Données projet'!$B$17,Paramètres!$A$1:$I$89,3,0)*0.475*44/12</f>
        <v>0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81.49807362094279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342.84342155097613</v>
      </c>
      <c r="T90" s="59">
        <f t="shared" si="88"/>
        <v>565.68976940602215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75.307377358681435</v>
      </c>
      <c r="AA90" s="21">
        <f>EXP(-LN(2)/25)*AA89+(1-EXP(-LN(2)/25))/(LN(2)/25)*Calculateur!V90*Calculateur!X90*VLOOKUP('Données projet'!$B$9,Paramètres!$A$1:$I$89,3,0)*0.475*44/12</f>
        <v>27.568392276928524</v>
      </c>
      <c r="AB90" s="21">
        <f>EXP(-LN(2)/2)*AB89+(1-EXP(-LN(2)/2))/(LN(2)/2)*V90*Y90*VLOOKUP('Données projet'!$B$9,Paramètres!$A$1:$I$89,3,0)*0.475*44/12</f>
        <v>1.973626574531208E-5</v>
      </c>
      <c r="AC90" s="22">
        <f t="shared" si="57"/>
        <v>102.8757893718757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320.33056209214476</v>
      </c>
      <c r="AO90" s="59">
        <f t="shared" si="90"/>
        <v>299.27200854723446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55.703986441540216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55.703986441540216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256.85706398254547</v>
      </c>
      <c r="BJ90" s="59">
        <f t="shared" si="92"/>
        <v>363.68094621014734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85.783357581321482</v>
      </c>
      <c r="BQ90" s="21">
        <f>EXP(-LN(2)/25)*BQ89+(1-EXP(-LN(2)/25))/(LN(2)/25)*Calculateur!BL90*Calculateur!BN90*VLOOKUP('Données projet'!$B$11,Paramètres!$A$1:$I$89,3,0)*0.475*44/12</f>
        <v>25.519698020291987</v>
      </c>
      <c r="BR90" s="21">
        <f>EXP(-LN(2)/2)*BR89+(1-EXP(-LN(2)/2))/(LN(2)/2)*BL90*BO90*VLOOKUP('Données projet'!$B$11,Paramètres!$A$1:$I$89,3,0)*0.475*44/12</f>
        <v>1.8681124625855763E-3</v>
      </c>
      <c r="BS90" s="22">
        <f t="shared" si="63"/>
        <v>111.30492371407605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7.5555555555555554</v>
      </c>
      <c r="BY90" s="12">
        <f>IF('Données projet'!$A$114&gt;35,BY89+BX90-CG89,IF(A90&lt;'Données projet'!$A$114,$BV$205^A90,IF(A90='Données projet'!$A$114,'Données projet'!$B$114,BY89+BX90-CG89)))</f>
        <v>259.66666666666669</v>
      </c>
      <c r="BZ90" s="13">
        <f>BY90*VLOOKUP('Données projet'!$B$12,Paramètres!$A$1:$I$89,3,0)*VLOOKUP('Données projet'!$B$12,Paramètres!$A$1:$I$89,5,0)</f>
        <v>234.94639999999998</v>
      </c>
      <c r="CA90" s="13">
        <f t="shared" si="93"/>
        <v>57.350880772878419</v>
      </c>
      <c r="CB90" s="20">
        <f t="shared" si="64"/>
        <v>509.08443067942989</v>
      </c>
      <c r="CC90" s="59">
        <f t="shared" si="65"/>
        <v>782.41923324990466</v>
      </c>
      <c r="CD90" s="59">
        <f ca="1">AVERAGE(OFFSET($CC$3,0,0,'Données projet'!$E$12+1,1))-AVERAGE(OFFSET($H$3,0,0,'Données projet'!$E$12+1,1))</f>
        <v>357.68828740212223</v>
      </c>
      <c r="CE90" s="59">
        <f t="shared" si="94"/>
        <v>236.76626845829483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21.336402016797891</v>
      </c>
      <c r="CL90" s="21">
        <f>EXP(-LN(2)/25)*CL89+(1-EXP(-LN(2)/25))/(LN(2)/25)*Calculateur!CG90*Calculateur!CI90*VLOOKUP('Données projet'!$B$12,Paramètres!$A$1:$I$89,3,0)*0.475*44/12</f>
        <v>20.279984560212313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41.616386577010203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257.00000000000006</v>
      </c>
      <c r="CU90" s="17">
        <f>CT90*VLOOKUP('Données projet'!$B$13,Paramètres!$A$1:$I$89,3,0)*VLOOKUP('Données projet'!$B$13,Paramètres!$A$1:$I$89,5,0)</f>
        <v>168.38640000000004</v>
      </c>
      <c r="CV90" s="13">
        <f t="shared" si="95"/>
        <v>42.728430513203243</v>
      </c>
      <c r="CW90" s="20">
        <f t="shared" si="67"/>
        <v>367.69166314382898</v>
      </c>
      <c r="CX90" s="59">
        <f t="shared" si="68"/>
        <v>641.02646571430387</v>
      </c>
      <c r="CY90" s="59">
        <f ca="1">AVERAGE(OFFSET($CX$3,0,0,'Données projet'!$E$13+1,1))-AVERAGE(OFFSET($H$3,0,0,'Données projet'!$E$13+1,1))</f>
        <v>220.18342986563667</v>
      </c>
      <c r="CZ90" s="59">
        <f t="shared" si="96"/>
        <v>347.84382145531163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2.7116310022936367E-8</v>
      </c>
      <c r="DI90" s="22">
        <f t="shared" si="69"/>
        <v>2.7116310022936367E-8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7.5555555555555554</v>
      </c>
      <c r="DO90" s="12">
        <f>IF('Données projet'!$A$166&gt;35,DO89+DN90-DW89,IF(A90&lt;'Données projet'!$A$166,$DL$205^A90,IF(A90='Données projet'!$A$166,'Données projet'!$B$166,DO89+DN90-DW89)))</f>
        <v>259.66666666666669</v>
      </c>
      <c r="DP90" s="17">
        <f>DO90*VLOOKUP('Données projet'!$B$14,Paramètres!$A$1:$I$89,3,0)*VLOOKUP('Données projet'!$B$14,Paramètres!$A$1:$I$89,5,0)</f>
        <v>263.30200000000008</v>
      </c>
      <c r="DQ90" s="13">
        <f t="shared" si="97"/>
        <v>63.42571311578034</v>
      </c>
      <c r="DR90" s="20">
        <f t="shared" si="70"/>
        <v>569.05076700998416</v>
      </c>
      <c r="DS90" s="59">
        <f t="shared" si="71"/>
        <v>842.38556958045899</v>
      </c>
      <c r="DT90" s="59">
        <f ca="1">AVERAGE(OFFSET($DS$3,0,0,'Données projet'!$E$14+1,1))-AVERAGE(OFFSET($H$3,0,0,'Données projet'!$E$14+1,1))</f>
        <v>392.49465607243178</v>
      </c>
      <c r="DU90" s="59">
        <f t="shared" si="98"/>
        <v>258.031856676031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23.911485018825218</v>
      </c>
      <c r="EB90" s="21">
        <f>EXP(-LN(2)/25)*EB89+(1-EXP(-LN(2)/25))/(LN(2)/25)*Calculateur!DW90*Calculateur!DY90*VLOOKUP('Données projet'!$B$14,Paramètres!$A$1:$I$89,3,0)*0.475*44/12</f>
        <v>22.727568903686215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46.639053922511437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294.24530606293143</v>
      </c>
      <c r="EP90" s="59">
        <f t="shared" si="100"/>
        <v>275.88160405468193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124.25321759951397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124.25321759951397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1.1368683772161603E-13</v>
      </c>
      <c r="FF90" s="17">
        <f>FE90*VLOOKUP('Données projet'!$B$16,Paramètres!$A$1:$I$89,3,0)*VLOOKUP('Données projet'!$B$16,Paramètres!$A$1:$I$89,5,0)</f>
        <v>8.3355189417488869E-14</v>
      </c>
      <c r="FG90" s="13">
        <f t="shared" si="101"/>
        <v>1.2790518435140618E-12</v>
      </c>
      <c r="FH90" s="20">
        <f t="shared" si="76"/>
        <v>2.3728589156891171E-12</v>
      </c>
      <c r="FI90" s="59">
        <f t="shared" si="77"/>
        <v>273.33480257047722</v>
      </c>
      <c r="FJ90" s="59">
        <f ca="1">AVERAGE(OFFSET($FI$3,0,0,'Données projet'!$E$16+1,1))-AVERAGE(OFFSET($H$3,0,0,'Données projet'!$E$16+1,1))</f>
        <v>214.31585175697521</v>
      </c>
      <c r="FK90" s="59">
        <f t="shared" si="102"/>
        <v>244.60383864821372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57.704027509300978</v>
      </c>
      <c r="FR90" s="21">
        <f>EXP(-LN(2)/25)*FR89+(1-EXP(-LN(2)/25))/(LN(2)/25)*Calculateur!FM90*Calculateur!FO90*VLOOKUP('Données projet'!$B$16,Paramètres!$A$1:$I$89,3,0)*0.475*44/12</f>
        <v>0</v>
      </c>
      <c r="FS90" s="21">
        <f>EXP(-LN(2)/2)*FS89+(1-EXP(-LN(2)/2))/(LN(2)/2)*FM90*FP90*VLOOKUP('Données projet'!$B$16,Paramètres!$A$1:$I$89,3,0)*0.475*44/12</f>
        <v>0</v>
      </c>
      <c r="FT90" s="22">
        <f t="shared" si="78"/>
        <v>57.704027509300978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-5.6843418860808015E-14</v>
      </c>
      <c r="GA90" s="17">
        <f>FZ90*VLOOKUP('Données projet'!$B$17,Paramètres!$A$1:$I$89,3,0)*VLOOKUP('Données projet'!$B$17,Paramètres!$A$1:$I$89,5,0)</f>
        <v>-4.5224624045658861E-14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308.33954512886351</v>
      </c>
      <c r="GF90" s="59">
        <f t="shared" si="104"/>
        <v>408.79075392716277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79.899946106152669</v>
      </c>
      <c r="GM90" s="21">
        <f>EXP(-LN(2)/25)*GM89+(1-EXP(-LN(2)/25))/(LN(2)/25)*Calculateur!GH90*Calculateur!GJ90*VLOOKUP('Données projet'!$B$17,Paramètres!$A$1:$I$89,3,0)*0.475*44/12</f>
        <v>0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79.899946106152669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342.84342155097613</v>
      </c>
      <c r="T91" s="59">
        <f t="shared" si="88"/>
        <v>565.68976940602215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73.830645621642375</v>
      </c>
      <c r="AA91" s="21">
        <f>EXP(-LN(2)/25)*AA90+(1-EXP(-LN(2)/25))/(LN(2)/25)*Calculateur!V91*Calculateur!X91*VLOOKUP('Données projet'!$B$9,Paramètres!$A$1:$I$89,3,0)*0.475*44/12</f>
        <v>26.81453314035717</v>
      </c>
      <c r="AB91" s="21">
        <f>EXP(-LN(2)/2)*AB90+(1-EXP(-LN(2)/2))/(LN(2)/2)*V91*Y91*VLOOKUP('Données projet'!$B$9,Paramètres!$A$1:$I$89,3,0)*0.475*44/12</f>
        <v>1.3955647343809942E-5</v>
      </c>
      <c r="AC91" s="22">
        <f t="shared" si="57"/>
        <v>100.64519271764689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320.33056209214476</v>
      </c>
      <c r="AO91" s="59">
        <f t="shared" si="90"/>
        <v>299.27200854723446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54.180758002950967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54.180758002950967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256.85706398254547</v>
      </c>
      <c r="BJ91" s="59">
        <f t="shared" si="92"/>
        <v>363.68094621014734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84.10119826183346</v>
      </c>
      <c r="BQ91" s="21">
        <f>EXP(-LN(2)/25)*BQ90+(1-EXP(-LN(2)/25))/(LN(2)/25)*Calculateur!BL91*Calculateur!BN91*VLOOKUP('Données projet'!$B$11,Paramètres!$A$1:$I$89,3,0)*0.475*44/12</f>
        <v>24.821860535904509</v>
      </c>
      <c r="BR91" s="21">
        <f>EXP(-LN(2)/2)*BR90+(1-EXP(-LN(2)/2))/(LN(2)/2)*BL91*BO91*VLOOKUP('Données projet'!$B$11,Paramètres!$A$1:$I$89,3,0)*0.475*44/12</f>
        <v>1.3209549903133615E-3</v>
      </c>
      <c r="BS91" s="22">
        <f t="shared" si="63"/>
        <v>108.92437975272829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7.5555555555555554</v>
      </c>
      <c r="BY91" s="12">
        <f>IF('Données projet'!$A$114&gt;35,BY90+BX91-CG90,IF(A91&lt;'Données projet'!$A$114,$BV$205^A91,IF(A91='Données projet'!$A$114,'Données projet'!$B$114,BY90+BX91-CG90)))</f>
        <v>267.22222222222223</v>
      </c>
      <c r="BZ91" s="13">
        <f>BY91*VLOOKUP('Données projet'!$B$12,Paramètres!$A$1:$I$89,3,0)*VLOOKUP('Données projet'!$B$12,Paramètres!$A$1:$I$89,5,0)</f>
        <v>241.78266666666667</v>
      </c>
      <c r="CA91" s="13">
        <f t="shared" si="93"/>
        <v>58.822914548999925</v>
      </c>
      <c r="CB91" s="20">
        <f t="shared" si="64"/>
        <v>523.55472061728585</v>
      </c>
      <c r="CC91" s="59">
        <f t="shared" si="65"/>
        <v>797.23645298647955</v>
      </c>
      <c r="CD91" s="59">
        <f ca="1">AVERAGE(OFFSET($CC$3,0,0,'Données projet'!$E$12+1,1))-AVERAGE(OFFSET($H$3,0,0,'Données projet'!$E$12+1,1))</f>
        <v>357.68828740212223</v>
      </c>
      <c r="CE91" s="59">
        <f t="shared" si="94"/>
        <v>236.76626845829483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20.918008187168695</v>
      </c>
      <c r="CL91" s="21">
        <f>EXP(-LN(2)/25)*CL90+(1-EXP(-LN(2)/25))/(LN(2)/25)*Calculateur!CG91*Calculateur!CI91*VLOOKUP('Données projet'!$B$12,Paramètres!$A$1:$I$89,3,0)*0.475*44/12</f>
        <v>19.725427315935271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40.643435503103966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257.00000000000006</v>
      </c>
      <c r="CU91" s="17">
        <f>CT91*VLOOKUP('Données projet'!$B$13,Paramètres!$A$1:$I$89,3,0)*VLOOKUP('Données projet'!$B$13,Paramètres!$A$1:$I$89,5,0)</f>
        <v>168.38640000000004</v>
      </c>
      <c r="CV91" s="13">
        <f t="shared" si="95"/>
        <v>42.728430513203243</v>
      </c>
      <c r="CW91" s="20">
        <f t="shared" si="67"/>
        <v>367.69166314382898</v>
      </c>
      <c r="CX91" s="59">
        <f t="shared" si="68"/>
        <v>641.37339551302261</v>
      </c>
      <c r="CY91" s="59">
        <f ca="1">AVERAGE(OFFSET($CX$3,0,0,'Données projet'!$E$13+1,1))-AVERAGE(OFFSET($H$3,0,0,'Données projet'!$E$13+1,1))</f>
        <v>220.18342986563667</v>
      </c>
      <c r="CZ91" s="59">
        <f t="shared" si="96"/>
        <v>347.84382145531163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1.9174126697975051E-8</v>
      </c>
      <c r="DI91" s="22">
        <f t="shared" si="69"/>
        <v>1.9174126697975051E-8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7.5555555555555554</v>
      </c>
      <c r="DO91" s="12">
        <f>IF('Données projet'!$A$166&gt;35,DO90+DN91-DW90,IF(A91&lt;'Données projet'!$A$166,$DL$205^A91,IF(A91='Données projet'!$A$166,'Données projet'!$B$166,DO90+DN91-DW90)))</f>
        <v>267.22222222222223</v>
      </c>
      <c r="DP91" s="17">
        <f>DO91*VLOOKUP('Données projet'!$B$14,Paramètres!$A$1:$I$89,3,0)*VLOOKUP('Données projet'!$B$14,Paramètres!$A$1:$I$89,5,0)</f>
        <v>270.96333333333337</v>
      </c>
      <c r="DQ91" s="13">
        <f t="shared" si="97"/>
        <v>65.053670537232492</v>
      </c>
      <c r="DR91" s="20">
        <f t="shared" si="70"/>
        <v>585.22961507456887</v>
      </c>
      <c r="DS91" s="59">
        <f t="shared" si="71"/>
        <v>858.91134744376257</v>
      </c>
      <c r="DT91" s="59">
        <f ca="1">AVERAGE(OFFSET($DS$3,0,0,'Données projet'!$E$14+1,1))-AVERAGE(OFFSET($H$3,0,0,'Données projet'!$E$14+1,1))</f>
        <v>392.49465607243178</v>
      </c>
      <c r="DU91" s="59">
        <f t="shared" si="98"/>
        <v>258.031856676031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23.44259538217181</v>
      </c>
      <c r="EB91" s="21">
        <f>EXP(-LN(2)/25)*EB90+(1-EXP(-LN(2)/25))/(LN(2)/25)*Calculateur!DW91*Calculateur!DY91*VLOOKUP('Données projet'!$B$14,Paramètres!$A$1:$I$89,3,0)*0.475*44/12</f>
        <v>22.106082336824013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45.548677718995819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294.24530606293143</v>
      </c>
      <c r="EP91" s="59">
        <f t="shared" si="100"/>
        <v>275.88160405468193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121.8166877893669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121.8166877893669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1.1368683772161603E-13</v>
      </c>
      <c r="FF91" s="17">
        <f>FE91*VLOOKUP('Données projet'!$B$16,Paramètres!$A$1:$I$89,3,0)*VLOOKUP('Données projet'!$B$16,Paramètres!$A$1:$I$89,5,0)</f>
        <v>8.3355189417488869E-14</v>
      </c>
      <c r="FG91" s="13">
        <f t="shared" si="101"/>
        <v>1.2790518435140618E-12</v>
      </c>
      <c r="FH91" s="20">
        <f t="shared" si="76"/>
        <v>2.3728589156891171E-12</v>
      </c>
      <c r="FI91" s="59">
        <f t="shared" si="77"/>
        <v>273.68173236919608</v>
      </c>
      <c r="FJ91" s="59">
        <f ca="1">AVERAGE(OFFSET($FI$3,0,0,'Données projet'!$E$16+1,1))-AVERAGE(OFFSET($H$3,0,0,'Données projet'!$E$16+1,1))</f>
        <v>214.31585175697521</v>
      </c>
      <c r="FK91" s="59">
        <f t="shared" si="102"/>
        <v>244.60383864821372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56.572486725825051</v>
      </c>
      <c r="FR91" s="21">
        <f>EXP(-LN(2)/25)*FR90+(1-EXP(-LN(2)/25))/(LN(2)/25)*Calculateur!FM91*Calculateur!FO91*VLOOKUP('Données projet'!$B$16,Paramètres!$A$1:$I$89,3,0)*0.475*44/12</f>
        <v>0</v>
      </c>
      <c r="FS91" s="21">
        <f>EXP(-LN(2)/2)*FS90+(1-EXP(-LN(2)/2))/(LN(2)/2)*FM91*FP91*VLOOKUP('Données projet'!$B$16,Paramètres!$A$1:$I$89,3,0)*0.475*44/12</f>
        <v>0</v>
      </c>
      <c r="FT91" s="22">
        <f t="shared" si="78"/>
        <v>56.572486725825051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-5.6843418860808015E-14</v>
      </c>
      <c r="GA91" s="17">
        <f>FZ91*VLOOKUP('Données projet'!$B$17,Paramètres!$A$1:$I$89,3,0)*VLOOKUP('Données projet'!$B$17,Paramètres!$A$1:$I$89,5,0)</f>
        <v>-4.5224624045658861E-14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308.33954512886351</v>
      </c>
      <c r="GF91" s="59">
        <f t="shared" si="104"/>
        <v>408.79075392716277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78.333156897166035</v>
      </c>
      <c r="GM91" s="21">
        <f>EXP(-LN(2)/25)*GM90+(1-EXP(-LN(2)/25))/(LN(2)/25)*Calculateur!GH91*Calculateur!GJ91*VLOOKUP('Données projet'!$B$17,Paramètres!$A$1:$I$89,3,0)*0.475*44/12</f>
        <v>0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78.333156897166035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342.84342155097613</v>
      </c>
      <c r="T92" s="59">
        <f t="shared" si="88"/>
        <v>565.68976940602215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72.382871693249228</v>
      </c>
      <c r="AA92" s="21">
        <f>EXP(-LN(2)/25)*AA91+(1-EXP(-LN(2)/25))/(LN(2)/25)*Calculateur!V92*Calculateur!X92*VLOOKUP('Données projet'!$B$9,Paramètres!$A$1:$I$89,3,0)*0.475*44/12</f>
        <v>26.081288321519089</v>
      </c>
      <c r="AB92" s="21">
        <f>EXP(-LN(2)/2)*AB91+(1-EXP(-LN(2)/2))/(LN(2)/2)*V92*Y92*VLOOKUP('Données projet'!$B$9,Paramètres!$A$1:$I$89,3,0)*0.475*44/12</f>
        <v>9.86813287265604E-6</v>
      </c>
      <c r="AC92" s="22">
        <f t="shared" si="57"/>
        <v>98.464169882901189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320.33056209214476</v>
      </c>
      <c r="AO92" s="59">
        <f t="shared" si="90"/>
        <v>299.27200854723446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52.699182326118041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52.699182326118041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256.85706398254547</v>
      </c>
      <c r="BJ92" s="59">
        <f t="shared" si="92"/>
        <v>363.68094621014734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82.452025060584717</v>
      </c>
      <c r="BQ92" s="21">
        <f>EXP(-LN(2)/25)*BQ91+(1-EXP(-LN(2)/25))/(LN(2)/25)*Calculateur!BL92*Calculateur!BN92*VLOOKUP('Données projet'!$B$11,Paramètres!$A$1:$I$89,3,0)*0.475*44/12</f>
        <v>24.143105454225285</v>
      </c>
      <c r="BR92" s="21">
        <f>EXP(-LN(2)/2)*BR91+(1-EXP(-LN(2)/2))/(LN(2)/2)*BL92*BO92*VLOOKUP('Données projet'!$B$11,Paramètres!$A$1:$I$89,3,0)*0.475*44/12</f>
        <v>9.3405623129278815E-4</v>
      </c>
      <c r="BS92" s="22">
        <f t="shared" si="63"/>
        <v>106.59606457104128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7.5555555555555554</v>
      </c>
      <c r="BY92" s="12">
        <f>IF('Données projet'!$A$114&gt;35,BY91+BX92-CG91,IF(A92&lt;'Données projet'!$A$114,$BV$205^A92,IF(A92='Données projet'!$A$114,'Données projet'!$B$114,BY91+BX92-CG91)))</f>
        <v>274.77777777777777</v>
      </c>
      <c r="BZ92" s="13">
        <f>BY92*VLOOKUP('Données projet'!$B$12,Paramètres!$A$1:$I$89,3,0)*VLOOKUP('Données projet'!$B$12,Paramètres!$A$1:$I$89,5,0)</f>
        <v>248.61893333333333</v>
      </c>
      <c r="CA92" s="13">
        <f t="shared" si="93"/>
        <v>60.290110933260586</v>
      </c>
      <c r="CB92" s="20">
        <f t="shared" si="64"/>
        <v>538.01658543098438</v>
      </c>
      <c r="CC92" s="59">
        <f t="shared" si="65"/>
        <v>812.03922914250802</v>
      </c>
      <c r="CD92" s="59">
        <f ca="1">AVERAGE(OFFSET($CC$3,0,0,'Données projet'!$E$12+1,1))-AVERAGE(OFFSET($H$3,0,0,'Données projet'!$E$12+1,1))</f>
        <v>357.68828740212223</v>
      </c>
      <c r="CE92" s="59">
        <f t="shared" si="94"/>
        <v>236.76626845829483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20.50781880534349</v>
      </c>
      <c r="CL92" s="21">
        <f>EXP(-LN(2)/25)*CL91+(1-EXP(-LN(2)/25))/(LN(2)/25)*Calculateur!CG92*Calculateur!CI92*VLOOKUP('Données projet'!$B$12,Paramètres!$A$1:$I$89,3,0)*0.475*44/12</f>
        <v>19.186034468665881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39.693853274009371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257.00000000000006</v>
      </c>
      <c r="CU92" s="17">
        <f>CT92*VLOOKUP('Données projet'!$B$13,Paramètres!$A$1:$I$89,3,0)*VLOOKUP('Données projet'!$B$13,Paramètres!$A$1:$I$89,5,0)</f>
        <v>168.38640000000004</v>
      </c>
      <c r="CV92" s="13">
        <f t="shared" si="95"/>
        <v>42.728430513203243</v>
      </c>
      <c r="CW92" s="20">
        <f t="shared" si="67"/>
        <v>367.69166314382898</v>
      </c>
      <c r="CX92" s="59">
        <f t="shared" si="68"/>
        <v>641.71430685535256</v>
      </c>
      <c r="CY92" s="59">
        <f ca="1">AVERAGE(OFFSET($CX$3,0,0,'Données projet'!$E$13+1,1))-AVERAGE(OFFSET($H$3,0,0,'Données projet'!$E$13+1,1))</f>
        <v>220.18342986563667</v>
      </c>
      <c r="CZ92" s="59">
        <f t="shared" si="96"/>
        <v>347.84382145531163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1.3558155011468184E-8</v>
      </c>
      <c r="DI92" s="22">
        <f t="shared" si="69"/>
        <v>1.3558155011468184E-8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7.5555555555555554</v>
      </c>
      <c r="DO92" s="12">
        <f>IF('Données projet'!$A$166&gt;35,DO91+DN92-DW91,IF(A92&lt;'Données projet'!$A$166,$DL$205^A92,IF(A92='Données projet'!$A$166,'Données projet'!$B$166,DO91+DN92-DW91)))</f>
        <v>274.77777777777777</v>
      </c>
      <c r="DP92" s="17">
        <f>DO92*VLOOKUP('Données projet'!$B$14,Paramètres!$A$1:$I$89,3,0)*VLOOKUP('Données projet'!$B$14,Paramètres!$A$1:$I$89,5,0)</f>
        <v>278.62466666666666</v>
      </c>
      <c r="DQ92" s="13">
        <f t="shared" si="97"/>
        <v>66.676278171126597</v>
      </c>
      <c r="DR92" s="20">
        <f t="shared" si="70"/>
        <v>601.39914559248984</v>
      </c>
      <c r="DS92" s="59">
        <f t="shared" si="71"/>
        <v>875.42178930401337</v>
      </c>
      <c r="DT92" s="59">
        <f ca="1">AVERAGE(OFFSET($DS$3,0,0,'Données projet'!$E$14+1,1))-AVERAGE(OFFSET($H$3,0,0,'Données projet'!$E$14+1,1))</f>
        <v>392.49465607243178</v>
      </c>
      <c r="DU92" s="59">
        <f t="shared" si="98"/>
        <v>258.031856676031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22.982900385298738</v>
      </c>
      <c r="EB92" s="21">
        <f>EXP(-LN(2)/25)*EB91+(1-EXP(-LN(2)/25))/(LN(2)/25)*Calculateur!DW92*Calculateur!DY92*VLOOKUP('Données projet'!$B$14,Paramètres!$A$1:$I$89,3,0)*0.475*44/12</f>
        <v>21.501590352815214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44.484490738113948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294.24530606293143</v>
      </c>
      <c r="EP92" s="59">
        <f t="shared" si="100"/>
        <v>275.88160405468193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119.42793684266036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119.42793684266036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1.1368683772161603E-13</v>
      </c>
      <c r="FF92" s="17">
        <f>FE92*VLOOKUP('Données projet'!$B$16,Paramètres!$A$1:$I$89,3,0)*VLOOKUP('Données projet'!$B$16,Paramètres!$A$1:$I$89,5,0)</f>
        <v>8.3355189417488869E-14</v>
      </c>
      <c r="FG92" s="13">
        <f t="shared" si="101"/>
        <v>1.2790518435140618E-12</v>
      </c>
      <c r="FH92" s="20">
        <f t="shared" si="76"/>
        <v>2.3728589156891171E-12</v>
      </c>
      <c r="FI92" s="59">
        <f t="shared" si="77"/>
        <v>274.02264371152597</v>
      </c>
      <c r="FJ92" s="59">
        <f ca="1">AVERAGE(OFFSET($FI$3,0,0,'Données projet'!$E$16+1,1))-AVERAGE(OFFSET($H$3,0,0,'Données projet'!$E$16+1,1))</f>
        <v>214.31585175697521</v>
      </c>
      <c r="FK92" s="59">
        <f t="shared" si="102"/>
        <v>244.60383864821372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55.463134766941359</v>
      </c>
      <c r="FR92" s="21">
        <f>EXP(-LN(2)/25)*FR91+(1-EXP(-LN(2)/25))/(LN(2)/25)*Calculateur!FM92*Calculateur!FO92*VLOOKUP('Données projet'!$B$16,Paramètres!$A$1:$I$89,3,0)*0.475*44/12</f>
        <v>0</v>
      </c>
      <c r="FS92" s="21">
        <f>EXP(-LN(2)/2)*FS91+(1-EXP(-LN(2)/2))/(LN(2)/2)*FM92*FP92*VLOOKUP('Données projet'!$B$16,Paramètres!$A$1:$I$89,3,0)*0.475*44/12</f>
        <v>0</v>
      </c>
      <c r="FT92" s="22">
        <f t="shared" si="78"/>
        <v>55.463134766941359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-5.6843418860808015E-14</v>
      </c>
      <c r="GA92" s="17">
        <f>FZ92*VLOOKUP('Données projet'!$B$17,Paramètres!$A$1:$I$89,3,0)*VLOOKUP('Données projet'!$B$17,Paramètres!$A$1:$I$89,5,0)</f>
        <v>-4.5224624045658861E-14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308.33954512886351</v>
      </c>
      <c r="GF92" s="59">
        <f t="shared" si="104"/>
        <v>408.79075392716277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76.797091468920584</v>
      </c>
      <c r="GM92" s="21">
        <f>EXP(-LN(2)/25)*GM91+(1-EXP(-LN(2)/25))/(LN(2)/25)*Calculateur!GH92*Calculateur!GJ92*VLOOKUP('Données projet'!$B$17,Paramètres!$A$1:$I$89,3,0)*0.475*44/12</f>
        <v>0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76.797091468920584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342.84342155097613</v>
      </c>
      <c r="T93" s="59">
        <f t="shared" si="88"/>
        <v>565.68976940602215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70.963487728536975</v>
      </c>
      <c r="AA93" s="21">
        <f>EXP(-LN(2)/25)*AA92+(1-EXP(-LN(2)/25))/(LN(2)/25)*Calculateur!V93*Calculateur!X93*VLOOKUP('Données projet'!$B$9,Paramètres!$A$1:$I$89,3,0)*0.475*44/12</f>
        <v>25.368094120811808</v>
      </c>
      <c r="AB93" s="21">
        <f>EXP(-LN(2)/2)*AB92+(1-EXP(-LN(2)/2))/(LN(2)/2)*V93*Y93*VLOOKUP('Données projet'!$B$9,Paramètres!$A$1:$I$89,3,0)*0.475*44/12</f>
        <v>6.9778236719049712E-6</v>
      </c>
      <c r="AC93" s="22">
        <f t="shared" si="57"/>
        <v>96.331588827172453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320.33056209214476</v>
      </c>
      <c r="AO93" s="59">
        <f t="shared" si="90"/>
        <v>299.27200854723446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51.258120414080793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51.258120414080793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256.85706398254547</v>
      </c>
      <c r="BJ93" s="59">
        <f t="shared" si="92"/>
        <v>363.68094621014734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80.835191139916134</v>
      </c>
      <c r="BQ93" s="21">
        <f>EXP(-LN(2)/25)*BQ92+(1-EXP(-LN(2)/25))/(LN(2)/25)*Calculateur!BL93*Calculateur!BN93*VLOOKUP('Données projet'!$B$11,Paramètres!$A$1:$I$89,3,0)*0.475*44/12</f>
        <v>23.482910965948758</v>
      </c>
      <c r="BR93" s="21">
        <f>EXP(-LN(2)/2)*BR92+(1-EXP(-LN(2)/2))/(LN(2)/2)*BL93*BO93*VLOOKUP('Données projet'!$B$11,Paramètres!$A$1:$I$89,3,0)*0.475*44/12</f>
        <v>6.6047749515668077E-4</v>
      </c>
      <c r="BS93" s="22">
        <f t="shared" si="63"/>
        <v>104.31876258336005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7.5555555555555554</v>
      </c>
      <c r="BY93" s="12">
        <f>IF('Données projet'!$A$114&gt;35,BY92+BX93-CG92,IF(A93&lt;'Données projet'!$A$114,$BV$205^A93,IF(A93='Données projet'!$A$114,'Données projet'!$B$114,BY92+BX93-CG92)))</f>
        <v>282.33333333333331</v>
      </c>
      <c r="BZ93" s="13">
        <f>BY93*VLOOKUP('Données projet'!$B$12,Paramètres!$A$1:$I$89,3,0)*VLOOKUP('Données projet'!$B$12,Paramètres!$A$1:$I$89,5,0)</f>
        <v>255.45519999999996</v>
      </c>
      <c r="CA93" s="13">
        <f t="shared" si="93"/>
        <v>61.752618222510897</v>
      </c>
      <c r="CB93" s="20">
        <f t="shared" si="64"/>
        <v>552.4702834042065</v>
      </c>
      <c r="CC93" s="59">
        <f t="shared" si="65"/>
        <v>826.82792440843423</v>
      </c>
      <c r="CD93" s="59">
        <f ca="1">AVERAGE(OFFSET($CC$3,0,0,'Données projet'!$E$12+1,1))-AVERAGE(OFFSET($H$3,0,0,'Données projet'!$E$12+1,1))</f>
        <v>357.68828740212223</v>
      </c>
      <c r="CE93" s="59">
        <f t="shared" si="94"/>
        <v>236.76626845829483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20.105672987105059</v>
      </c>
      <c r="CL93" s="21">
        <f>EXP(-LN(2)/25)*CL92+(1-EXP(-LN(2)/25))/(LN(2)/25)*Calculateur!CG93*Calculateur!CI93*VLOOKUP('Données projet'!$B$12,Paramètres!$A$1:$I$89,3,0)*0.475*44/12</f>
        <v>18.661391347170511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38.767064334275574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257.00000000000006</v>
      </c>
      <c r="CU93" s="17">
        <f>CT93*VLOOKUP('Données projet'!$B$13,Paramètres!$A$1:$I$89,3,0)*VLOOKUP('Données projet'!$B$13,Paramètres!$A$1:$I$89,5,0)</f>
        <v>168.38640000000004</v>
      </c>
      <c r="CV93" s="13">
        <f t="shared" si="95"/>
        <v>42.728430513203243</v>
      </c>
      <c r="CW93" s="20">
        <f t="shared" si="67"/>
        <v>367.69166314382898</v>
      </c>
      <c r="CX93" s="59">
        <f t="shared" si="68"/>
        <v>642.04930414805665</v>
      </c>
      <c r="CY93" s="59">
        <f ca="1">AVERAGE(OFFSET($CX$3,0,0,'Données projet'!$E$13+1,1))-AVERAGE(OFFSET($H$3,0,0,'Données projet'!$E$13+1,1))</f>
        <v>220.18342986563667</v>
      </c>
      <c r="CZ93" s="59">
        <f t="shared" si="96"/>
        <v>347.84382145531163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9.5870633489875256E-9</v>
      </c>
      <c r="DI93" s="22">
        <f t="shared" si="69"/>
        <v>9.5870633489875256E-9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7.5555555555555554</v>
      </c>
      <c r="DO93" s="12">
        <f>IF('Données projet'!$A$166&gt;35,DO92+DN93-DW92,IF(A93&lt;'Données projet'!$A$166,$DL$205^A93,IF(A93='Données projet'!$A$166,'Données projet'!$B$166,DO92+DN93-DW92)))</f>
        <v>282.33333333333331</v>
      </c>
      <c r="DP93" s="17">
        <f>DO93*VLOOKUP('Données projet'!$B$14,Paramètres!$A$1:$I$89,3,0)*VLOOKUP('Données projet'!$B$14,Paramètres!$A$1:$I$89,5,0)</f>
        <v>286.286</v>
      </c>
      <c r="DQ93" s="13">
        <f t="shared" si="97"/>
        <v>68.293700022502861</v>
      </c>
      <c r="DR93" s="20">
        <f t="shared" si="70"/>
        <v>617.55964420585906</v>
      </c>
      <c r="DS93" s="59">
        <f t="shared" si="71"/>
        <v>891.91728521008667</v>
      </c>
      <c r="DT93" s="59">
        <f ca="1">AVERAGE(OFFSET($DS$3,0,0,'Données projet'!$E$14+1,1))-AVERAGE(OFFSET($H$3,0,0,'Données projet'!$E$14+1,1))</f>
        <v>392.49465607243178</v>
      </c>
      <c r="DU93" s="59">
        <f t="shared" si="98"/>
        <v>258.031856676031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22.532219726928084</v>
      </c>
      <c r="EB93" s="21">
        <f>EXP(-LN(2)/25)*EB92+(1-EXP(-LN(2)/25))/(LN(2)/25)*Calculateur!DW93*Calculateur!DY93*VLOOKUP('Données projet'!$B$14,Paramètres!$A$1:$I$89,3,0)*0.475*44/12</f>
        <v>20.913628233897988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43.445847960826072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294.24530606293143</v>
      </c>
      <c r="EP93" s="59">
        <f t="shared" si="100"/>
        <v>275.88160405468193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117.08602784502453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117.08602784502453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1.1368683772161603E-13</v>
      </c>
      <c r="FF93" s="17">
        <f>FE93*VLOOKUP('Données projet'!$B$16,Paramètres!$A$1:$I$89,3,0)*VLOOKUP('Données projet'!$B$16,Paramètres!$A$1:$I$89,5,0)</f>
        <v>8.3355189417488869E-14</v>
      </c>
      <c r="FG93" s="13">
        <f t="shared" si="101"/>
        <v>1.2790518435140618E-12</v>
      </c>
      <c r="FH93" s="20">
        <f t="shared" si="76"/>
        <v>2.3728589156891171E-12</v>
      </c>
      <c r="FI93" s="59">
        <f t="shared" si="77"/>
        <v>274.35764100423006</v>
      </c>
      <c r="FJ93" s="59">
        <f ca="1">AVERAGE(OFFSET($FI$3,0,0,'Données projet'!$E$16+1,1))-AVERAGE(OFFSET($H$3,0,0,'Données projet'!$E$16+1,1))</f>
        <v>214.31585175697521</v>
      </c>
      <c r="FK93" s="59">
        <f t="shared" si="102"/>
        <v>244.60383864821372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54.375536523333494</v>
      </c>
      <c r="FR93" s="21">
        <f>EXP(-LN(2)/25)*FR92+(1-EXP(-LN(2)/25))/(LN(2)/25)*Calculateur!FM93*Calculateur!FO93*VLOOKUP('Données projet'!$B$16,Paramètres!$A$1:$I$89,3,0)*0.475*44/12</f>
        <v>0</v>
      </c>
      <c r="FS93" s="21">
        <f>EXP(-LN(2)/2)*FS92+(1-EXP(-LN(2)/2))/(LN(2)/2)*FM93*FP93*VLOOKUP('Données projet'!$B$16,Paramètres!$A$1:$I$89,3,0)*0.475*44/12</f>
        <v>0</v>
      </c>
      <c r="FT93" s="22">
        <f t="shared" si="78"/>
        <v>54.375536523333494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-5.6843418860808015E-14</v>
      </c>
      <c r="GA93" s="17">
        <f>FZ93*VLOOKUP('Données projet'!$B$17,Paramètres!$A$1:$I$89,3,0)*VLOOKUP('Données projet'!$B$17,Paramètres!$A$1:$I$89,5,0)</f>
        <v>-4.5224624045658861E-14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308.33954512886351</v>
      </c>
      <c r="GF93" s="59">
        <f t="shared" si="104"/>
        <v>408.79075392716277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75.29114734681562</v>
      </c>
      <c r="GM93" s="21">
        <f>EXP(-LN(2)/25)*GM92+(1-EXP(-LN(2)/25))/(LN(2)/25)*Calculateur!GH93*Calculateur!GJ93*VLOOKUP('Données projet'!$B$17,Paramètres!$A$1:$I$89,3,0)*0.475*44/12</f>
        <v>0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75.29114734681562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342.84342155097613</v>
      </c>
      <c r="T94" s="59">
        <f t="shared" si="88"/>
        <v>565.68976940602215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69.571937017633999</v>
      </c>
      <c r="AA94" s="21">
        <f>EXP(-LN(2)/25)*AA93+(1-EXP(-LN(2)/25))/(LN(2)/25)*Calculateur!V94*Calculateur!X94*VLOOKUP('Données projet'!$B$9,Paramètres!$A$1:$I$89,3,0)*0.475*44/12</f>
        <v>24.67440225302812</v>
      </c>
      <c r="AB94" s="21">
        <f>EXP(-LN(2)/2)*AB93+(1-EXP(-LN(2)/2))/(LN(2)/2)*V94*Y94*VLOOKUP('Données projet'!$B$9,Paramètres!$A$1:$I$89,3,0)*0.475*44/12</f>
        <v>4.93406643632802E-6</v>
      </c>
      <c r="AC94" s="22">
        <f t="shared" si="57"/>
        <v>94.246344204728558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320.33056209214476</v>
      </c>
      <c r="AO94" s="59">
        <f t="shared" si="90"/>
        <v>299.27200854723446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49.85646441581035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49.85646441581035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256.85706398254547</v>
      </c>
      <c r="BJ94" s="59">
        <f t="shared" si="92"/>
        <v>363.68094621014734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79.250062346260549</v>
      </c>
      <c r="BQ94" s="21">
        <f>EXP(-LN(2)/25)*BQ93+(1-EXP(-LN(2)/25))/(LN(2)/25)*Calculateur!BL94*Calculateur!BN94*VLOOKUP('Données projet'!$B$11,Paramètres!$A$1:$I$89,3,0)*0.475*44/12</f>
        <v>22.840769530672272</v>
      </c>
      <c r="BR94" s="21">
        <f>EXP(-LN(2)/2)*BR93+(1-EXP(-LN(2)/2))/(LN(2)/2)*BL94*BO94*VLOOKUP('Données projet'!$B$11,Paramètres!$A$1:$I$89,3,0)*0.475*44/12</f>
        <v>4.6702811564639407E-4</v>
      </c>
      <c r="BS94" s="22">
        <f t="shared" si="63"/>
        <v>102.09129890504848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7.5555555555555554</v>
      </c>
      <c r="BY94" s="12">
        <f>IF('Données projet'!$A$114&gt;35,BY93+BX94-CG93,IF(A94&lt;'Données projet'!$A$114,$BV$205^A94,IF(A94='Données projet'!$A$114,'Données projet'!$B$114,BY93+BX94-CG93)))</f>
        <v>289.88888888888886</v>
      </c>
      <c r="BZ94" s="13">
        <f>BY94*VLOOKUP('Données projet'!$B$12,Paramètres!$A$1:$I$89,3,0)*VLOOKUP('Données projet'!$B$12,Paramètres!$A$1:$I$89,5,0)</f>
        <v>262.29146666666662</v>
      </c>
      <c r="CA94" s="13">
        <f t="shared" si="93"/>
        <v>63.210576324522457</v>
      </c>
      <c r="CB94" s="20">
        <f t="shared" si="64"/>
        <v>566.91605820965424</v>
      </c>
      <c r="CC94" s="59">
        <f t="shared" si="65"/>
        <v>841.60288505249923</v>
      </c>
      <c r="CD94" s="59">
        <f ca="1">AVERAGE(OFFSET($CC$3,0,0,'Données projet'!$E$12+1,1))-AVERAGE(OFFSET($H$3,0,0,'Données projet'!$E$12+1,1))</f>
        <v>357.68828740212223</v>
      </c>
      <c r="CE94" s="59">
        <f t="shared" si="94"/>
        <v>236.76626845829483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19.711413003077556</v>
      </c>
      <c r="CL94" s="21">
        <f>EXP(-LN(2)/25)*CL93+(1-EXP(-LN(2)/25))/(LN(2)/25)*Calculateur!CG94*Calculateur!CI94*VLOOKUP('Données projet'!$B$12,Paramètres!$A$1:$I$89,3,0)*0.475*44/12</f>
        <v>18.151094619422214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37.86250762249977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257.00000000000006</v>
      </c>
      <c r="CU94" s="17">
        <f>CT94*VLOOKUP('Données projet'!$B$13,Paramètres!$A$1:$I$89,3,0)*VLOOKUP('Données projet'!$B$13,Paramètres!$A$1:$I$89,5,0)</f>
        <v>168.38640000000004</v>
      </c>
      <c r="CV94" s="13">
        <f t="shared" si="95"/>
        <v>42.728430513203243</v>
      </c>
      <c r="CW94" s="20">
        <f t="shared" si="67"/>
        <v>367.69166314382898</v>
      </c>
      <c r="CX94" s="59">
        <f t="shared" si="68"/>
        <v>642.37848998667403</v>
      </c>
      <c r="CY94" s="59">
        <f ca="1">AVERAGE(OFFSET($CX$3,0,0,'Données projet'!$E$13+1,1))-AVERAGE(OFFSET($H$3,0,0,'Données projet'!$E$13+1,1))</f>
        <v>220.18342986563667</v>
      </c>
      <c r="CZ94" s="59">
        <f t="shared" si="96"/>
        <v>347.84382145531163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6.7790775057340919E-9</v>
      </c>
      <c r="DI94" s="22">
        <f t="shared" si="69"/>
        <v>6.7790775057340919E-9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7.5555555555555554</v>
      </c>
      <c r="DO94" s="12">
        <f>IF('Données projet'!$A$166&gt;35,DO93+DN94-DW93,IF(A94&lt;'Données projet'!$A$166,$DL$205^A94,IF(A94='Données projet'!$A$166,'Données projet'!$B$166,DO93+DN94-DW93)))</f>
        <v>289.88888888888886</v>
      </c>
      <c r="DP94" s="17">
        <f>DO94*VLOOKUP('Données projet'!$B$14,Paramètres!$A$1:$I$89,3,0)*VLOOKUP('Données projet'!$B$14,Paramètres!$A$1:$I$89,5,0)</f>
        <v>293.94733333333335</v>
      </c>
      <c r="DQ94" s="13">
        <f t="shared" si="97"/>
        <v>69.906090818717971</v>
      </c>
      <c r="DR94" s="20">
        <f t="shared" si="70"/>
        <v>633.71138039815605</v>
      </c>
      <c r="DS94" s="59">
        <f t="shared" si="71"/>
        <v>908.39820724100105</v>
      </c>
      <c r="DT94" s="59">
        <f ca="1">AVERAGE(OFFSET($DS$3,0,0,'Données projet'!$E$14+1,1))-AVERAGE(OFFSET($H$3,0,0,'Données projet'!$E$14+1,1))</f>
        <v>392.49465607243178</v>
      </c>
      <c r="DU94" s="59">
        <f t="shared" si="98"/>
        <v>258.031856676031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22.090376641380018</v>
      </c>
      <c r="EB94" s="21">
        <f>EXP(-LN(2)/25)*EB93+(1-EXP(-LN(2)/25))/(LN(2)/25)*Calculateur!DW94*Calculateur!DY94*VLOOKUP('Données projet'!$B$14,Paramètres!$A$1:$I$89,3,0)*0.475*44/12</f>
        <v>20.341743970042138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42.432120611422157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294.24530606293143</v>
      </c>
      <c r="EP94" s="59">
        <f t="shared" si="100"/>
        <v>275.88160405468193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114.7900422544089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114.7900422544089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1.1368683772161603E-13</v>
      </c>
      <c r="FF94" s="17">
        <f>FE94*VLOOKUP('Données projet'!$B$16,Paramètres!$A$1:$I$89,3,0)*VLOOKUP('Données projet'!$B$16,Paramètres!$A$1:$I$89,5,0)</f>
        <v>8.3355189417488869E-14</v>
      </c>
      <c r="FG94" s="13">
        <f t="shared" si="101"/>
        <v>1.2790518435140618E-12</v>
      </c>
      <c r="FH94" s="20">
        <f t="shared" si="76"/>
        <v>2.3728589156891171E-12</v>
      </c>
      <c r="FI94" s="59">
        <f t="shared" si="77"/>
        <v>274.68682684284744</v>
      </c>
      <c r="FJ94" s="59">
        <f ca="1">AVERAGE(OFFSET($FI$3,0,0,'Données projet'!$E$16+1,1))-AVERAGE(OFFSET($H$3,0,0,'Données projet'!$E$16+1,1))</f>
        <v>214.31585175697521</v>
      </c>
      <c r="FK94" s="59">
        <f t="shared" si="102"/>
        <v>244.60383864821372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53.309265417913352</v>
      </c>
      <c r="FR94" s="21">
        <f>EXP(-LN(2)/25)*FR93+(1-EXP(-LN(2)/25))/(LN(2)/25)*Calculateur!FM94*Calculateur!FO94*VLOOKUP('Données projet'!$B$16,Paramètres!$A$1:$I$89,3,0)*0.475*44/12</f>
        <v>0</v>
      </c>
      <c r="FS94" s="21">
        <f>EXP(-LN(2)/2)*FS93+(1-EXP(-LN(2)/2))/(LN(2)/2)*FM94*FP94*VLOOKUP('Données projet'!$B$16,Paramètres!$A$1:$I$89,3,0)*0.475*44/12</f>
        <v>0</v>
      </c>
      <c r="FT94" s="22">
        <f t="shared" si="78"/>
        <v>53.309265417913352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-5.6843418860808015E-14</v>
      </c>
      <c r="GA94" s="17">
        <f>FZ94*VLOOKUP('Données projet'!$B$17,Paramètres!$A$1:$I$89,3,0)*VLOOKUP('Données projet'!$B$17,Paramètres!$A$1:$I$89,5,0)</f>
        <v>-4.5224624045658861E-14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308.33954512886351</v>
      </c>
      <c r="GF94" s="59">
        <f t="shared" si="104"/>
        <v>408.79075392716277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73.814733870409924</v>
      </c>
      <c r="GM94" s="21">
        <f>EXP(-LN(2)/25)*GM93+(1-EXP(-LN(2)/25))/(LN(2)/25)*Calculateur!GH94*Calculateur!GJ94*VLOOKUP('Données projet'!$B$17,Paramètres!$A$1:$I$89,3,0)*0.475*44/12</f>
        <v>0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73.814733870409924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342.84342155097613</v>
      </c>
      <c r="T95" s="59">
        <f t="shared" si="88"/>
        <v>565.68976940602215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68.207673767409702</v>
      </c>
      <c r="AA95" s="21">
        <f>EXP(-LN(2)/25)*AA94+(1-EXP(-LN(2)/25))/(LN(2)/25)*Calculateur!V95*Calculateur!X95*VLOOKUP('Données projet'!$B$9,Paramètres!$A$1:$I$89,3,0)*0.475*44/12</f>
        <v>23.999679425848644</v>
      </c>
      <c r="AB95" s="21">
        <f>EXP(-LN(2)/2)*AB94+(1-EXP(-LN(2)/2))/(LN(2)/2)*V95*Y95*VLOOKUP('Données projet'!$B$9,Paramètres!$A$1:$I$89,3,0)*0.475*44/12</f>
        <v>3.4889118359524856E-6</v>
      </c>
      <c r="AC95" s="22">
        <f t="shared" si="57"/>
        <v>92.207356682170172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320.33056209214476</v>
      </c>
      <c r="AO95" s="59">
        <f t="shared" si="90"/>
        <v>299.27200854723446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48.493136774522505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48.493136774522505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256.85706398254547</v>
      </c>
      <c r="BJ95" s="59">
        <f t="shared" si="92"/>
        <v>363.68094621014734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77.696016961415452</v>
      </c>
      <c r="BQ95" s="21">
        <f>EXP(-LN(2)/25)*BQ94+(1-EXP(-LN(2)/25))/(LN(2)/25)*Calculateur!BL95*Calculateur!BN95*VLOOKUP('Données projet'!$B$11,Paramètres!$A$1:$I$89,3,0)*0.475*44/12</f>
        <v>22.216187486712172</v>
      </c>
      <c r="BR95" s="21">
        <f>EXP(-LN(2)/2)*BR94+(1-EXP(-LN(2)/2))/(LN(2)/2)*BL95*BO95*VLOOKUP('Données projet'!$B$11,Paramètres!$A$1:$I$89,3,0)*0.475*44/12</f>
        <v>3.3023874757834038E-4</v>
      </c>
      <c r="BS95" s="22">
        <f t="shared" si="63"/>
        <v>99.912534686875205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7.5555555555555554</v>
      </c>
      <c r="BY95" s="12">
        <f>IF('Données projet'!$A$114&gt;35,BY94+BX95-CG94,IF(A95&lt;'Données projet'!$A$114,$BV$205^A95,IF(A95='Données projet'!$A$114,'Données projet'!$B$114,BY94+BX95-CG94)))</f>
        <v>297.4444444444444</v>
      </c>
      <c r="BZ95" s="13">
        <f>BY95*VLOOKUP('Données projet'!$B$12,Paramètres!$A$1:$I$89,3,0)*VLOOKUP('Données projet'!$B$12,Paramètres!$A$1:$I$89,5,0)</f>
        <v>269.12773333333331</v>
      </c>
      <c r="CA95" s="13">
        <f t="shared" si="93"/>
        <v>64.664117438667333</v>
      </c>
      <c r="CB95" s="20">
        <f t="shared" si="64"/>
        <v>581.35414009456781</v>
      </c>
      <c r="CC95" s="59">
        <f t="shared" si="65"/>
        <v>856.36444213767959</v>
      </c>
      <c r="CD95" s="59">
        <f ca="1">AVERAGE(OFFSET($CC$3,0,0,'Données projet'!$E$12+1,1))-AVERAGE(OFFSET($H$3,0,0,'Données projet'!$E$12+1,1))</f>
        <v>357.68828740212223</v>
      </c>
      <c r="CE95" s="59">
        <f t="shared" si="94"/>
        <v>236.76626845829483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19.324884216861985</v>
      </c>
      <c r="CL95" s="21">
        <f>EXP(-LN(2)/25)*CL94+(1-EXP(-LN(2)/25))/(LN(2)/25)*Calculateur!CG95*Calculateur!CI95*VLOOKUP('Données projet'!$B$12,Paramètres!$A$1:$I$89,3,0)*0.475*44/12</f>
        <v>17.654751982529532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36.979636199391521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257.00000000000006</v>
      </c>
      <c r="CU95" s="17">
        <f>CT95*VLOOKUP('Données projet'!$B$13,Paramètres!$A$1:$I$89,3,0)*VLOOKUP('Données projet'!$B$13,Paramètres!$A$1:$I$89,5,0)</f>
        <v>168.38640000000004</v>
      </c>
      <c r="CV95" s="13">
        <f t="shared" si="95"/>
        <v>42.728430513203243</v>
      </c>
      <c r="CW95" s="20">
        <f t="shared" si="67"/>
        <v>367.69166314382898</v>
      </c>
      <c r="CX95" s="59">
        <f t="shared" si="68"/>
        <v>642.7019651869407</v>
      </c>
      <c r="CY95" s="59">
        <f ca="1">AVERAGE(OFFSET($CX$3,0,0,'Données projet'!$E$13+1,1))-AVERAGE(OFFSET($H$3,0,0,'Données projet'!$E$13+1,1))</f>
        <v>220.18342986563667</v>
      </c>
      <c r="CZ95" s="59">
        <f t="shared" si="96"/>
        <v>347.84382145531163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4.7935316744937628E-9</v>
      </c>
      <c r="DI95" s="22">
        <f t="shared" si="69"/>
        <v>4.7935316744937628E-9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7.5555555555555554</v>
      </c>
      <c r="DO95" s="12">
        <f>IF('Données projet'!$A$166&gt;35,DO94+DN95-DW94,IF(A95&lt;'Données projet'!$A$166,$DL$205^A95,IF(A95='Données projet'!$A$166,'Données projet'!$B$166,DO94+DN95-DW94)))</f>
        <v>297.4444444444444</v>
      </c>
      <c r="DP95" s="17">
        <f>DO95*VLOOKUP('Données projet'!$B$14,Paramètres!$A$1:$I$89,3,0)*VLOOKUP('Données projet'!$B$14,Paramètres!$A$1:$I$89,5,0)</f>
        <v>301.60866666666664</v>
      </c>
      <c r="DQ95" s="13">
        <f t="shared" si="97"/>
        <v>71.513596762224523</v>
      </c>
      <c r="DR95" s="20">
        <f t="shared" si="70"/>
        <v>649.85460880531878</v>
      </c>
      <c r="DS95" s="59">
        <f t="shared" si="71"/>
        <v>924.86491084843055</v>
      </c>
      <c r="DT95" s="59">
        <f ca="1">AVERAGE(OFFSET($DS$3,0,0,'Données projet'!$E$14+1,1))-AVERAGE(OFFSET($H$3,0,0,'Données projet'!$E$14+1,1))</f>
        <v>392.49465607243178</v>
      </c>
      <c r="DU95" s="59">
        <f t="shared" si="98"/>
        <v>258.031856676031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21.657197829241881</v>
      </c>
      <c r="EB95" s="21">
        <f>EXP(-LN(2)/25)*EB94+(1-EXP(-LN(2)/25))/(LN(2)/25)*Calculateur!DW95*Calculateur!DY95*VLOOKUP('Données projet'!$B$14,Paramètres!$A$1:$I$89,3,0)*0.475*44/12</f>
        <v>19.785497911455511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41.442695740697388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294.24530606293143</v>
      </c>
      <c r="EP95" s="59">
        <f t="shared" si="100"/>
        <v>275.88160405468193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112.53907954081231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112.53907954081231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1.1368683772161603E-13</v>
      </c>
      <c r="FF95" s="17">
        <f>FE95*VLOOKUP('Données projet'!$B$16,Paramètres!$A$1:$I$89,3,0)*VLOOKUP('Données projet'!$B$16,Paramètres!$A$1:$I$89,5,0)</f>
        <v>8.3355189417488869E-14</v>
      </c>
      <c r="FG95" s="13">
        <f t="shared" si="101"/>
        <v>1.2790518435140618E-12</v>
      </c>
      <c r="FH95" s="20">
        <f t="shared" si="76"/>
        <v>2.3728589156891171E-12</v>
      </c>
      <c r="FI95" s="59">
        <f t="shared" si="77"/>
        <v>275.01030204311411</v>
      </c>
      <c r="FJ95" s="59">
        <f ca="1">AVERAGE(OFFSET($FI$3,0,0,'Données projet'!$E$16+1,1))-AVERAGE(OFFSET($H$3,0,0,'Données projet'!$E$16+1,1))</f>
        <v>214.31585175697521</v>
      </c>
      <c r="FK95" s="59">
        <f t="shared" si="102"/>
        <v>244.60383864821372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52.263903238509343</v>
      </c>
      <c r="FR95" s="21">
        <f>EXP(-LN(2)/25)*FR94+(1-EXP(-LN(2)/25))/(LN(2)/25)*Calculateur!FM95*Calculateur!FO95*VLOOKUP('Données projet'!$B$16,Paramètres!$A$1:$I$89,3,0)*0.475*44/12</f>
        <v>0</v>
      </c>
      <c r="FS95" s="21">
        <f>EXP(-LN(2)/2)*FS94+(1-EXP(-LN(2)/2))/(LN(2)/2)*FM95*FP95*VLOOKUP('Données projet'!$B$16,Paramètres!$A$1:$I$89,3,0)*0.475*44/12</f>
        <v>0</v>
      </c>
      <c r="FT95" s="22">
        <f t="shared" si="78"/>
        <v>52.263903238509343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-5.6843418860808015E-14</v>
      </c>
      <c r="GA95" s="17">
        <f>FZ95*VLOOKUP('Données projet'!$B$17,Paramètres!$A$1:$I$89,3,0)*VLOOKUP('Données projet'!$B$17,Paramètres!$A$1:$I$89,5,0)</f>
        <v>-4.5224624045658861E-14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308.33954512886351</v>
      </c>
      <c r="GF95" s="59">
        <f t="shared" si="104"/>
        <v>408.79075392716277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72.367271961753247</v>
      </c>
      <c r="GM95" s="21">
        <f>EXP(-LN(2)/25)*GM94+(1-EXP(-LN(2)/25))/(LN(2)/25)*Calculateur!GH95*Calculateur!GJ95*VLOOKUP('Données projet'!$B$17,Paramètres!$A$1:$I$89,3,0)*0.475*44/12</f>
        <v>0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72.367271961753247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342.84342155097613</v>
      </c>
      <c r="T96" s="59">
        <f t="shared" si="88"/>
        <v>565.68976940602215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66.870162887403879</v>
      </c>
      <c r="AA96" s="21">
        <f>EXP(-LN(2)/25)*AA95+(1-EXP(-LN(2)/25))/(LN(2)/25)*Calculateur!V96*Calculateur!X96*VLOOKUP('Données projet'!$B$9,Paramètres!$A$1:$I$89,3,0)*0.475*44/12</f>
        <v>23.343406929860524</v>
      </c>
      <c r="AB96" s="21">
        <f>EXP(-LN(2)/2)*AB95+(1-EXP(-LN(2)/2))/(LN(2)/2)*V96*Y96*VLOOKUP('Données projet'!$B$9,Paramètres!$A$1:$I$89,3,0)*0.475*44/12</f>
        <v>2.46703321816401E-6</v>
      </c>
      <c r="AC96" s="22">
        <f t="shared" si="57"/>
        <v>90.213572284297612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320.33056209214476</v>
      </c>
      <c r="AO96" s="59">
        <f t="shared" si="90"/>
        <v>299.27200854723446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47.167089399279959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47.167089399279959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256.85706398254547</v>
      </c>
      <c r="BJ96" s="59">
        <f t="shared" si="92"/>
        <v>363.68094621014734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76.172445458693076</v>
      </c>
      <c r="BQ96" s="21">
        <f>EXP(-LN(2)/25)*BQ95+(1-EXP(-LN(2)/25))/(LN(2)/25)*Calculateur!BL96*Calculateur!BN96*VLOOKUP('Données projet'!$B$11,Paramètres!$A$1:$I$89,3,0)*0.475*44/12</f>
        <v>21.608684671589504</v>
      </c>
      <c r="BR96" s="21">
        <f>EXP(-LN(2)/2)*BR95+(1-EXP(-LN(2)/2))/(LN(2)/2)*BL96*BO96*VLOOKUP('Données projet'!$B$11,Paramètres!$A$1:$I$89,3,0)*0.475*44/12</f>
        <v>2.3351405782319704E-4</v>
      </c>
      <c r="BS96" s="22">
        <f t="shared" si="63"/>
        <v>97.781363644340402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>
        <f>VLOOKUP(A96,'Données projet'!$A$113:$I$133,2,0)</f>
        <v>305</v>
      </c>
      <c r="BW96" s="12">
        <f>VLOOKUP(A96,'Données projet'!$A$113:$I$133,9,0)</f>
        <v>7.5555555555555554</v>
      </c>
      <c r="BX96" s="12">
        <f t="array" ref="BX96">INDEX(BW:BW,MIN(IF(ISNUMBER(BW96:BW292),ROW(BW96:BW292),"")))</f>
        <v>7.5555555555555554</v>
      </c>
      <c r="BY96" s="12">
        <f>IF('Données projet'!$A$114&gt;35,BY95+BX96-CG95,IF(A96&lt;'Données projet'!$A$114,$BV$205^A96,IF(A96='Données projet'!$A$114,'Données projet'!$B$114,BY95+BX96-CG95)))</f>
        <v>304.99999999999994</v>
      </c>
      <c r="BZ96" s="13">
        <f>BY96*VLOOKUP('Données projet'!$B$12,Paramètres!$A$1:$I$89,3,0)*VLOOKUP('Données projet'!$B$12,Paramètres!$A$1:$I$89,5,0)</f>
        <v>275.96399999999994</v>
      </c>
      <c r="CA96" s="13">
        <f t="shared" si="93"/>
        <v>66.113366665488911</v>
      </c>
      <c r="CB96" s="20">
        <f t="shared" si="64"/>
        <v>595.7847469423931</v>
      </c>
      <c r="CC96" s="59">
        <f t="shared" si="65"/>
        <v>871.11291261422912</v>
      </c>
      <c r="CD96" s="59">
        <f ca="1">AVERAGE(OFFSET($CC$3,0,0,'Données projet'!$E$12+1,1))-AVERAGE(OFFSET($H$3,0,0,'Données projet'!$E$12+1,1))</f>
        <v>357.68828740212223</v>
      </c>
      <c r="CE96" s="59">
        <f t="shared" si="94"/>
        <v>236.76626845829483</v>
      </c>
      <c r="CF96" s="15">
        <f>IF(ISNA(VLOOKUP(A96,'Données projet'!$A$113:$I$133,3,0)),0,VLOOKUP(A96,'Données projet'!$A$113:$I$133,3,0))</f>
        <v>7</v>
      </c>
      <c r="CG96" s="15">
        <f>IF(ISNA(VLOOKUP(A96,'Données projet'!$A$113:$I$133,4,0)),0,VLOOKUP(A96,'Données projet'!$A$113:$I$133,4,0))</f>
        <v>35</v>
      </c>
      <c r="CH96" s="16">
        <f>IF(ISNA(VLOOKUP(A96,'Données projet'!$A$113:$I$133,5,0)),0%,VLOOKUP(A96,'Données projet'!$A$113:$I$133,5,0)*VLOOKUP('Données projet'!$B$12,Paramètres!$A$1:$I$89,7,0))</f>
        <v>0.215</v>
      </c>
      <c r="CI96" s="16">
        <f>IF(ISNA(VLOOKUP(A96,'Données projet'!$A$113:$I$133,6,0)),0%,VLOOKUP(A96,'Données projet'!$A$113:$I$133,6,0)*VLOOKUP('Données projet'!$B$12,Paramètres!$A$1:$I$89,7,0))</f>
        <v>0.17200000000000001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26.47266275988046</v>
      </c>
      <c r="CL96" s="21">
        <f>EXP(-LN(2)/25)*CL95+(1-EXP(-LN(2)/25))/(LN(2)/25)*Calculateur!CG96*Calculateur!CI96*VLOOKUP('Données projet'!$B$12,Paramètres!$A$1:$I$89,3,0)*0.475*44/12</f>
        <v>23.169655573538513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49.64231833341897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257.00000000000006</v>
      </c>
      <c r="CU96" s="17">
        <f>CT96*VLOOKUP('Données projet'!$B$13,Paramètres!$A$1:$I$89,3,0)*VLOOKUP('Données projet'!$B$13,Paramètres!$A$1:$I$89,5,0)</f>
        <v>168.38640000000004</v>
      </c>
      <c r="CV96" s="13">
        <f t="shared" si="95"/>
        <v>42.728430513203243</v>
      </c>
      <c r="CW96" s="20">
        <f t="shared" si="67"/>
        <v>367.69166314382898</v>
      </c>
      <c r="CX96" s="59">
        <f t="shared" si="68"/>
        <v>643.01982881566494</v>
      </c>
      <c r="CY96" s="59">
        <f ca="1">AVERAGE(OFFSET($CX$3,0,0,'Données projet'!$E$13+1,1))-AVERAGE(OFFSET($H$3,0,0,'Données projet'!$E$13+1,1))</f>
        <v>220.18342986563667</v>
      </c>
      <c r="CZ96" s="59">
        <f t="shared" si="96"/>
        <v>347.84382145531163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3.3895387528670459E-9</v>
      </c>
      <c r="DI96" s="22">
        <f t="shared" si="69"/>
        <v>3.3895387528670459E-9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>
        <f>VLOOKUP(A96,'Données projet'!$A$165:$I$185,2,0)</f>
        <v>305</v>
      </c>
      <c r="DM96" s="12">
        <f>VLOOKUP(A96,'Données projet'!$A$165:$I$185,9,0)</f>
        <v>7.5555555555555554</v>
      </c>
      <c r="DN96" s="12">
        <f t="array" ref="DN96">INDEX(DM:DM,MIN(IF(ISNUMBER(DM96:DM292),ROW(DM96:DM292),"")))</f>
        <v>7.5555555555555554</v>
      </c>
      <c r="DO96" s="12">
        <f>IF('Données projet'!$A$166&gt;35,DO95+DN96-DW95,IF(A96&lt;'Données projet'!$A$166,$DL$205^A96,IF(A96='Données projet'!$A$166,'Données projet'!$B$166,DO95+DN96-DW95)))</f>
        <v>304.99999999999994</v>
      </c>
      <c r="DP96" s="17">
        <f>DO96*VLOOKUP('Données projet'!$B$14,Paramètres!$A$1:$I$89,3,0)*VLOOKUP('Données projet'!$B$14,Paramètres!$A$1:$I$89,5,0)</f>
        <v>309.27</v>
      </c>
      <c r="DQ96" s="13">
        <f t="shared" si="97"/>
        <v>73.116356204711096</v>
      </c>
      <c r="DR96" s="20">
        <f t="shared" si="70"/>
        <v>665.9895703898718</v>
      </c>
      <c r="DS96" s="59">
        <f t="shared" si="71"/>
        <v>941.31773606170782</v>
      </c>
      <c r="DT96" s="59">
        <f ca="1">AVERAGE(OFFSET($DS$3,0,0,'Données projet'!$E$14+1,1))-AVERAGE(OFFSET($H$3,0,0,'Données projet'!$E$14+1,1))</f>
        <v>392.49465607243178</v>
      </c>
      <c r="DU96" s="59">
        <f t="shared" si="98"/>
        <v>258.031856676031</v>
      </c>
      <c r="DV96" s="15">
        <f>IF(ISNA(VLOOKUP(A96,'Données projet'!$A$165:$I$185,3,0)),0,VLOOKUP(A96,'Données projet'!$A$165:$I$185,3,0))</f>
        <v>7</v>
      </c>
      <c r="DW96" s="15">
        <f>IF(ISNA(VLOOKUP(A96,'Données projet'!$A$165:$I$185,4,0)),0,VLOOKUP(A96,'Données projet'!$A$165:$I$185,4,0))</f>
        <v>35</v>
      </c>
      <c r="DX96" s="16">
        <f>IF(ISNA(VLOOKUP(A96,'Données projet'!$A$165:$I$185,5,0)),0%,VLOOKUP(A96,'Données projet'!$A$165:$I$185,5,0)*VLOOKUP('Données projet'!$B$14,Paramètres!$A$1:$I$89,7,0))</f>
        <v>0.215</v>
      </c>
      <c r="DY96" s="16">
        <f>IF(ISNA(VLOOKUP(A96,'Données projet'!$A$165:$I$185,6,0)),0%,VLOOKUP(A96,'Données projet'!$A$165:$I$185,6,0)*VLOOKUP('Données projet'!$B$14,Paramètres!$A$1:$I$89,7,0))</f>
        <v>0.17200000000000001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29.667639299866032</v>
      </c>
      <c r="EB96" s="21">
        <f>EXP(-LN(2)/25)*EB95+(1-EXP(-LN(2)/25))/(LN(2)/25)*Calculateur!DW96*Calculateur!DY96*VLOOKUP('Données projet'!$B$14,Paramètres!$A$1:$I$89,3,0)*0.475*44/12</f>
        <v>25.965993315172469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55.633632615038501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294.24530606293143</v>
      </c>
      <c r="EP96" s="59">
        <f t="shared" si="100"/>
        <v>275.88160405468193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110.33225683307766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110.33225683307766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1.1368683772161603E-13</v>
      </c>
      <c r="FF96" s="17">
        <f>FE96*VLOOKUP('Données projet'!$B$16,Paramètres!$A$1:$I$89,3,0)*VLOOKUP('Données projet'!$B$16,Paramètres!$A$1:$I$89,5,0)</f>
        <v>8.3355189417488869E-14</v>
      </c>
      <c r="FG96" s="13">
        <f t="shared" si="101"/>
        <v>1.2790518435140618E-12</v>
      </c>
      <c r="FH96" s="20">
        <f t="shared" si="76"/>
        <v>2.3728589156891171E-12</v>
      </c>
      <c r="FI96" s="59">
        <f t="shared" si="77"/>
        <v>275.32816567183835</v>
      </c>
      <c r="FJ96" s="59">
        <f ca="1">AVERAGE(OFFSET($FI$3,0,0,'Données projet'!$E$16+1,1))-AVERAGE(OFFSET($H$3,0,0,'Données projet'!$E$16+1,1))</f>
        <v>214.31585175697521</v>
      </c>
      <c r="FK96" s="59">
        <f t="shared" si="102"/>
        <v>244.60383864821372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51.239039973835474</v>
      </c>
      <c r="FR96" s="21">
        <f>EXP(-LN(2)/25)*FR95+(1-EXP(-LN(2)/25))/(LN(2)/25)*Calculateur!FM96*Calculateur!FO96*VLOOKUP('Données projet'!$B$16,Paramètres!$A$1:$I$89,3,0)*0.475*44/12</f>
        <v>0</v>
      </c>
      <c r="FS96" s="21">
        <f>EXP(-LN(2)/2)*FS95+(1-EXP(-LN(2)/2))/(LN(2)/2)*FM96*FP96*VLOOKUP('Données projet'!$B$16,Paramètres!$A$1:$I$89,3,0)*0.475*44/12</f>
        <v>0</v>
      </c>
      <c r="FT96" s="22">
        <f t="shared" si="78"/>
        <v>51.239039973835474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-5.6843418860808015E-14</v>
      </c>
      <c r="GA96" s="17">
        <f>FZ96*VLOOKUP('Données projet'!$B$17,Paramètres!$A$1:$I$89,3,0)*VLOOKUP('Données projet'!$B$17,Paramètres!$A$1:$I$89,5,0)</f>
        <v>-4.5224624045658861E-14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308.33954512886351</v>
      </c>
      <c r="GF96" s="59">
        <f t="shared" si="104"/>
        <v>408.79075392716277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70.948193898260726</v>
      </c>
      <c r="GM96" s="21">
        <f>EXP(-LN(2)/25)*GM95+(1-EXP(-LN(2)/25))/(LN(2)/25)*Calculateur!GH96*Calculateur!GJ96*VLOOKUP('Données projet'!$B$17,Paramètres!$A$1:$I$89,3,0)*0.475*44/12</f>
        <v>0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70.948193898260726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342.84342155097613</v>
      </c>
      <c r="T97" s="59">
        <f t="shared" si="88"/>
        <v>565.68976940602215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65.558879779953898</v>
      </c>
      <c r="AA97" s="21">
        <f>EXP(-LN(2)/25)*AA96+(1-EXP(-LN(2)/25))/(LN(2)/25)*Calculateur!V97*Calculateur!X97*VLOOKUP('Données projet'!$B$9,Paramètres!$A$1:$I$89,3,0)*0.475*44/12</f>
        <v>22.705080239787069</v>
      </c>
      <c r="AB97" s="21">
        <f>EXP(-LN(2)/2)*AB96+(1-EXP(-LN(2)/2))/(LN(2)/2)*V97*Y97*VLOOKUP('Données projet'!$B$9,Paramètres!$A$1:$I$89,3,0)*0.475*44/12</f>
        <v>1.7444559179762428E-6</v>
      </c>
      <c r="AC97" s="22">
        <f t="shared" si="57"/>
        <v>88.263961764196878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320.33056209214476</v>
      </c>
      <c r="AO97" s="59">
        <f t="shared" si="90"/>
        <v>299.27200854723446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45.877302859247216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45.877302859247216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256.85706398254547</v>
      </c>
      <c r="BJ97" s="59">
        <f t="shared" si="92"/>
        <v>363.68094621014734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74.678750263852237</v>
      </c>
      <c r="BQ97" s="21">
        <f>EXP(-LN(2)/25)*BQ96+(1-EXP(-LN(2)/25))/(LN(2)/25)*Calculateur!BL97*Calculateur!BN97*VLOOKUP('Données projet'!$B$11,Paramètres!$A$1:$I$89,3,0)*0.475*44/12</f>
        <v>21.017794052893549</v>
      </c>
      <c r="BR97" s="21">
        <f>EXP(-LN(2)/2)*BR96+(1-EXP(-LN(2)/2))/(LN(2)/2)*BL97*BO97*VLOOKUP('Données projet'!$B$11,Paramètres!$A$1:$I$89,3,0)*0.475*44/12</f>
        <v>1.6511937378917019E-4</v>
      </c>
      <c r="BS97" s="22">
        <f t="shared" si="63"/>
        <v>95.696709436119576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7.3</v>
      </c>
      <c r="BY97" s="12">
        <f>IF('Données projet'!$A$114&gt;35,BY96+BX97-CG96,IF(A97&lt;'Données projet'!$A$114,$BV$205^A97,IF(A97='Données projet'!$A$114,'Données projet'!$B$114,BY96+BX97-CG96)))</f>
        <v>277.29999999999995</v>
      </c>
      <c r="BZ97" s="13">
        <f>BY97*VLOOKUP('Données projet'!$B$12,Paramètres!$A$1:$I$89,3,0)*VLOOKUP('Données projet'!$B$12,Paramètres!$A$1:$I$89,5,0)</f>
        <v>250.90103999999997</v>
      </c>
      <c r="CA97" s="13">
        <f t="shared" si="93"/>
        <v>60.778844588911753</v>
      </c>
      <c r="CB97" s="20">
        <f t="shared" si="64"/>
        <v>542.84246565902129</v>
      </c>
      <c r="CC97" s="59">
        <f t="shared" si="65"/>
        <v>818.48298073625983</v>
      </c>
      <c r="CD97" s="59">
        <f ca="1">AVERAGE(OFFSET($CC$3,0,0,'Données projet'!$E$12+1,1))-AVERAGE(OFFSET($H$3,0,0,'Données projet'!$E$12+1,1))</f>
        <v>357.68828740212223</v>
      </c>
      <c r="CE97" s="59">
        <f t="shared" si="94"/>
        <v>236.76626845829483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25.95354998988913</v>
      </c>
      <c r="CL97" s="21">
        <f>EXP(-LN(2)/25)*CL96+(1-EXP(-LN(2)/25))/(LN(2)/25)*Calculateur!CG97*Calculateur!CI97*VLOOKUP('Données projet'!$B$12,Paramètres!$A$1:$I$89,3,0)*0.475*44/12</f>
        <v>22.536080123440872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48.489630113330001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257.00000000000006</v>
      </c>
      <c r="CU97" s="17">
        <f>CT97*VLOOKUP('Données projet'!$B$13,Paramètres!$A$1:$I$89,3,0)*VLOOKUP('Données projet'!$B$13,Paramètres!$A$1:$I$89,5,0)</f>
        <v>168.38640000000004</v>
      </c>
      <c r="CV97" s="13">
        <f t="shared" si="95"/>
        <v>42.728430513203243</v>
      </c>
      <c r="CW97" s="20">
        <f t="shared" si="67"/>
        <v>367.69166314382898</v>
      </c>
      <c r="CX97" s="59">
        <f t="shared" si="68"/>
        <v>643.33217822106747</v>
      </c>
      <c r="CY97" s="59">
        <f ca="1">AVERAGE(OFFSET($CX$3,0,0,'Données projet'!$E$13+1,1))-AVERAGE(OFFSET($H$3,0,0,'Données projet'!$E$13+1,1))</f>
        <v>220.18342986563667</v>
      </c>
      <c r="CZ97" s="59">
        <f t="shared" si="96"/>
        <v>347.84382145531163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2.3967658372468814E-9</v>
      </c>
      <c r="DI97" s="22">
        <f t="shared" si="69"/>
        <v>2.3967658372468814E-9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7.3</v>
      </c>
      <c r="DO97" s="12">
        <f>IF('Données projet'!$A$166&gt;35,DO96+DN97-DW96,IF(A97&lt;'Données projet'!$A$166,$DL$205^A97,IF(A97='Données projet'!$A$166,'Données projet'!$B$166,DO96+DN97-DW96)))</f>
        <v>277.29999999999995</v>
      </c>
      <c r="DP97" s="17">
        <f>DO97*VLOOKUP('Données projet'!$B$14,Paramètres!$A$1:$I$89,3,0)*VLOOKUP('Données projet'!$B$14,Paramètres!$A$1:$I$89,5,0)</f>
        <v>281.18219999999997</v>
      </c>
      <c r="DQ97" s="13">
        <f t="shared" si="97"/>
        <v>67.216780430474927</v>
      </c>
      <c r="DR97" s="20">
        <f t="shared" si="70"/>
        <v>606.79489091641051</v>
      </c>
      <c r="DS97" s="59">
        <f t="shared" si="71"/>
        <v>882.43540599364906</v>
      </c>
      <c r="DT97" s="59">
        <f ca="1">AVERAGE(OFFSET($DS$3,0,0,'Données projet'!$E$14+1,1))-AVERAGE(OFFSET($H$3,0,0,'Données projet'!$E$14+1,1))</f>
        <v>392.49465607243178</v>
      </c>
      <c r="DU97" s="59">
        <f t="shared" si="98"/>
        <v>258.031856676031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29.085874988668852</v>
      </c>
      <c r="EB97" s="21">
        <f>EXP(-LN(2)/25)*EB96+(1-EXP(-LN(2)/25))/(LN(2)/25)*Calculateur!DW97*Calculateur!DY97*VLOOKUP('Données projet'!$B$14,Paramètres!$A$1:$I$89,3,0)*0.475*44/12</f>
        <v>25.255951862476834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54.341826851145683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294.24530606293143</v>
      </c>
      <c r="EP97" s="59">
        <f t="shared" si="100"/>
        <v>275.88160405468193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108.16870857261274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108.16870857261274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1.1368683772161603E-13</v>
      </c>
      <c r="FF97" s="17">
        <f>FE97*VLOOKUP('Données projet'!$B$16,Paramètres!$A$1:$I$89,3,0)*VLOOKUP('Données projet'!$B$16,Paramètres!$A$1:$I$89,5,0)</f>
        <v>8.3355189417488869E-14</v>
      </c>
      <c r="FG97" s="13">
        <f t="shared" si="101"/>
        <v>1.2790518435140618E-12</v>
      </c>
      <c r="FH97" s="20">
        <f t="shared" si="76"/>
        <v>2.3728589156891171E-12</v>
      </c>
      <c r="FI97" s="59">
        <f t="shared" si="77"/>
        <v>275.64051507724088</v>
      </c>
      <c r="FJ97" s="59">
        <f ca="1">AVERAGE(OFFSET($FI$3,0,0,'Données projet'!$E$16+1,1))-AVERAGE(OFFSET($H$3,0,0,'Données projet'!$E$16+1,1))</f>
        <v>214.31585175697521</v>
      </c>
      <c r="FK97" s="59">
        <f t="shared" si="102"/>
        <v>244.60383864821372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50.234273652676997</v>
      </c>
      <c r="FR97" s="21">
        <f>EXP(-LN(2)/25)*FR96+(1-EXP(-LN(2)/25))/(LN(2)/25)*Calculateur!FM97*Calculateur!FO97*VLOOKUP('Données projet'!$B$16,Paramètres!$A$1:$I$89,3,0)*0.475*44/12</f>
        <v>0</v>
      </c>
      <c r="FS97" s="21">
        <f>EXP(-LN(2)/2)*FS96+(1-EXP(-LN(2)/2))/(LN(2)/2)*FM97*FP97*VLOOKUP('Données projet'!$B$16,Paramètres!$A$1:$I$89,3,0)*0.475*44/12</f>
        <v>0</v>
      </c>
      <c r="FT97" s="22">
        <f t="shared" si="78"/>
        <v>50.234273652676997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-5.6843418860808015E-14</v>
      </c>
      <c r="GA97" s="17">
        <f>FZ97*VLOOKUP('Données projet'!$B$17,Paramètres!$A$1:$I$89,3,0)*VLOOKUP('Données projet'!$B$17,Paramètres!$A$1:$I$89,5,0)</f>
        <v>-4.5224624045658861E-14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308.33954512886351</v>
      </c>
      <c r="GF97" s="59">
        <f t="shared" si="104"/>
        <v>408.79075392716277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69.556943090041145</v>
      </c>
      <c r="GM97" s="21">
        <f>EXP(-LN(2)/25)*GM96+(1-EXP(-LN(2)/25))/(LN(2)/25)*Calculateur!GH97*Calculateur!GJ97*VLOOKUP('Données projet'!$B$17,Paramètres!$A$1:$I$89,3,0)*0.475*44/12</f>
        <v>0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69.556943090041145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342.84342155097613</v>
      </c>
      <c r="T98" s="59">
        <f t="shared" si="88"/>
        <v>565.68976940602215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64.273310134437281</v>
      </c>
      <c r="AA98" s="21">
        <f>EXP(-LN(2)/25)*AA97+(1-EXP(-LN(2)/25))/(LN(2)/25)*Calculateur!V98*Calculateur!X98*VLOOKUP('Données projet'!$B$9,Paramètres!$A$1:$I$89,3,0)*0.475*44/12</f>
        <v>22.084208626621816</v>
      </c>
      <c r="AB98" s="21">
        <f>EXP(-LN(2)/2)*AB97+(1-EXP(-LN(2)/2))/(LN(2)/2)*V98*Y98*VLOOKUP('Données projet'!$B$9,Paramètres!$A$1:$I$89,3,0)*0.475*44/12</f>
        <v>1.233516609082005E-6</v>
      </c>
      <c r="AC98" s="22">
        <f t="shared" si="57"/>
        <v>86.357519994575711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320.33056209214476</v>
      </c>
      <c r="AO98" s="59">
        <f t="shared" si="90"/>
        <v>299.27200854723446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44.622785599978599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44.622785599978599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256.85706398254547</v>
      </c>
      <c r="BJ98" s="59">
        <f t="shared" si="92"/>
        <v>363.68094621014734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73.214345520718112</v>
      </c>
      <c r="BQ98" s="21">
        <f>EXP(-LN(2)/25)*BQ97+(1-EXP(-LN(2)/25))/(LN(2)/25)*Calculateur!BL98*Calculateur!BN98*VLOOKUP('Données projet'!$B$11,Paramètres!$A$1:$I$89,3,0)*0.475*44/12</f>
        <v>20.443061369239423</v>
      </c>
      <c r="BR98" s="21">
        <f>EXP(-LN(2)/2)*BR97+(1-EXP(-LN(2)/2))/(LN(2)/2)*BL98*BO98*VLOOKUP('Données projet'!$B$11,Paramètres!$A$1:$I$89,3,0)*0.475*44/12</f>
        <v>1.1675702891159852E-4</v>
      </c>
      <c r="BS98" s="22">
        <f t="shared" si="63"/>
        <v>93.657523646986448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7.3</v>
      </c>
      <c r="BY98" s="12">
        <f>IF('Données projet'!$A$114&gt;35,BY97+BX98-CG97,IF(A98&lt;'Données projet'!$A$114,$BV$205^A98,IF(A98='Données projet'!$A$114,'Données projet'!$B$114,BY97+BX98-CG97)))</f>
        <v>284.59999999999997</v>
      </c>
      <c r="BZ98" s="13">
        <f>BY98*VLOOKUP('Données projet'!$B$12,Paramètres!$A$1:$I$89,3,0)*VLOOKUP('Données projet'!$B$12,Paramètres!$A$1:$I$89,5,0)</f>
        <v>257.50607999999994</v>
      </c>
      <c r="CA98" s="13">
        <f t="shared" si="93"/>
        <v>62.190477159330463</v>
      </c>
      <c r="CB98" s="20">
        <f t="shared" si="64"/>
        <v>556.80483705250037</v>
      </c>
      <c r="CC98" s="59">
        <f t="shared" si="65"/>
        <v>832.75228297126637</v>
      </c>
      <c r="CD98" s="59">
        <f ca="1">AVERAGE(OFFSET($CC$3,0,0,'Données projet'!$E$12+1,1))-AVERAGE(OFFSET($H$3,0,0,'Données projet'!$E$12+1,1))</f>
        <v>357.68828740212223</v>
      </c>
      <c r="CE98" s="59">
        <f t="shared" si="94"/>
        <v>236.76626845829483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25.444616704689803</v>
      </c>
      <c r="CL98" s="21">
        <f>EXP(-LN(2)/25)*CL97+(1-EXP(-LN(2)/25))/(LN(2)/25)*Calculateur!CG98*Calculateur!CI98*VLOOKUP('Données projet'!$B$12,Paramètres!$A$1:$I$89,3,0)*0.475*44/12</f>
        <v>21.919829827344433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47.364446532034236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257.00000000000006</v>
      </c>
      <c r="CU98" s="17">
        <f>CT98*VLOOKUP('Données projet'!$B$13,Paramètres!$A$1:$I$89,3,0)*VLOOKUP('Données projet'!$B$13,Paramètres!$A$1:$I$89,5,0)</f>
        <v>168.38640000000004</v>
      </c>
      <c r="CV98" s="13">
        <f t="shared" si="95"/>
        <v>42.728430513203243</v>
      </c>
      <c r="CW98" s="20">
        <f t="shared" si="67"/>
        <v>367.69166314382898</v>
      </c>
      <c r="CX98" s="59">
        <f t="shared" si="68"/>
        <v>643.63910906259491</v>
      </c>
      <c r="CY98" s="59">
        <f ca="1">AVERAGE(OFFSET($CX$3,0,0,'Données projet'!$E$13+1,1))-AVERAGE(OFFSET($H$3,0,0,'Données projet'!$E$13+1,1))</f>
        <v>220.18342986563667</v>
      </c>
      <c r="CZ98" s="59">
        <f t="shared" si="96"/>
        <v>347.84382145531163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1.694769376433523E-9</v>
      </c>
      <c r="DI98" s="22">
        <f t="shared" si="69"/>
        <v>1.694769376433523E-9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7.3</v>
      </c>
      <c r="DO98" s="12">
        <f>IF('Données projet'!$A$166&gt;35,DO97+DN98-DW97,IF(A98&lt;'Données projet'!$A$166,$DL$205^A98,IF(A98='Données projet'!$A$166,'Données projet'!$B$166,DO97+DN98-DW97)))</f>
        <v>284.59999999999997</v>
      </c>
      <c r="DP98" s="17">
        <f>DO98*VLOOKUP('Données projet'!$B$14,Paramètres!$A$1:$I$89,3,0)*VLOOKUP('Données projet'!$B$14,Paramètres!$A$1:$I$89,5,0)</f>
        <v>288.58439999999996</v>
      </c>
      <c r="DQ98" s="13">
        <f t="shared" si="97"/>
        <v>68.777938711388614</v>
      </c>
      <c r="DR98" s="20">
        <f t="shared" si="70"/>
        <v>622.4060732556685</v>
      </c>
      <c r="DS98" s="59">
        <f t="shared" si="71"/>
        <v>898.3535191744345</v>
      </c>
      <c r="DT98" s="59">
        <f ca="1">AVERAGE(OFFSET($DS$3,0,0,'Données projet'!$E$14+1,1))-AVERAGE(OFFSET($H$3,0,0,'Données projet'!$E$14+1,1))</f>
        <v>392.49465607243178</v>
      </c>
      <c r="DU98" s="59">
        <f t="shared" si="98"/>
        <v>258.031856676031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28.515518720773056</v>
      </c>
      <c r="EB98" s="21">
        <f>EXP(-LN(2)/25)*EB97+(1-EXP(-LN(2)/25))/(LN(2)/25)*Calculateur!DW98*Calculateur!DY98*VLOOKUP('Données projet'!$B$14,Paramètres!$A$1:$I$89,3,0)*0.475*44/12</f>
        <v>24.565326530644619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53.080845251417671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294.24530606293143</v>
      </c>
      <c r="EP98" s="59">
        <f t="shared" si="100"/>
        <v>275.88160405468193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106.04758617390141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106.04758617390141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1.1368683772161603E-13</v>
      </c>
      <c r="FF98" s="17">
        <f>FE98*VLOOKUP('Données projet'!$B$16,Paramètres!$A$1:$I$89,3,0)*VLOOKUP('Données projet'!$B$16,Paramètres!$A$1:$I$89,5,0)</f>
        <v>8.3355189417488869E-14</v>
      </c>
      <c r="FG98" s="13">
        <f t="shared" si="101"/>
        <v>1.2790518435140618E-12</v>
      </c>
      <c r="FH98" s="20">
        <f t="shared" si="76"/>
        <v>2.3728589156891171E-12</v>
      </c>
      <c r="FI98" s="59">
        <f t="shared" si="77"/>
        <v>275.94744591876832</v>
      </c>
      <c r="FJ98" s="59">
        <f ca="1">AVERAGE(OFFSET($FI$3,0,0,'Données projet'!$E$16+1,1))-AVERAGE(OFFSET($H$3,0,0,'Données projet'!$E$16+1,1))</f>
        <v>214.31585175697521</v>
      </c>
      <c r="FK98" s="59">
        <f t="shared" si="102"/>
        <v>244.60383864821372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49.24921018622949</v>
      </c>
      <c r="FR98" s="21">
        <f>EXP(-LN(2)/25)*FR97+(1-EXP(-LN(2)/25))/(LN(2)/25)*Calculateur!FM98*Calculateur!FO98*VLOOKUP('Données projet'!$B$16,Paramètres!$A$1:$I$89,3,0)*0.475*44/12</f>
        <v>0</v>
      </c>
      <c r="FS98" s="21">
        <f>EXP(-LN(2)/2)*FS97+(1-EXP(-LN(2)/2))/(LN(2)/2)*FM98*FP98*VLOOKUP('Données projet'!$B$16,Paramètres!$A$1:$I$89,3,0)*0.475*44/12</f>
        <v>0</v>
      </c>
      <c r="FT98" s="22">
        <f t="shared" si="78"/>
        <v>49.24921018622949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-5.6843418860808015E-14</v>
      </c>
      <c r="GA98" s="17">
        <f>FZ98*VLOOKUP('Données projet'!$B$17,Paramètres!$A$1:$I$89,3,0)*VLOOKUP('Données projet'!$B$17,Paramètres!$A$1:$I$89,5,0)</f>
        <v>-4.5224624045658861E-14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308.33954512886351</v>
      </c>
      <c r="GF98" s="59">
        <f t="shared" si="104"/>
        <v>408.79075392716277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68.192973861591554</v>
      </c>
      <c r="GM98" s="21">
        <f>EXP(-LN(2)/25)*GM97+(1-EXP(-LN(2)/25))/(LN(2)/25)*Calculateur!GH98*Calculateur!GJ98*VLOOKUP('Données projet'!$B$17,Paramètres!$A$1:$I$89,3,0)*0.475*44/12</f>
        <v>0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68.192973861591554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342.84342155097613</v>
      </c>
      <c r="T99" s="59">
        <f t="shared" si="88"/>
        <v>565.68976940602215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63.012949725549191</v>
      </c>
      <c r="AA99" s="21">
        <f>EXP(-LN(2)/25)*AA98+(1-EXP(-LN(2)/25))/(LN(2)/25)*Calculateur!V99*Calculateur!X99*VLOOKUP('Données projet'!$B$9,Paramètres!$A$1:$I$89,3,0)*0.475*44/12</f>
        <v>21.480314780368786</v>
      </c>
      <c r="AB99" s="21">
        <f>EXP(-LN(2)/2)*AB98+(1-EXP(-LN(2)/2))/(LN(2)/2)*V99*Y99*VLOOKUP('Données projet'!$B$9,Paramètres!$A$1:$I$89,3,0)*0.475*44/12</f>
        <v>8.722279589881214E-7</v>
      </c>
      <c r="AC99" s="22">
        <f t="shared" si="57"/>
        <v>84.493265378145935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320.33056209214476</v>
      </c>
      <c r="AO99" s="59">
        <f t="shared" si="90"/>
        <v>299.27200854723446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43.402573181136873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43.402573181136873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256.85706398254547</v>
      </c>
      <c r="BJ99" s="59">
        <f t="shared" si="92"/>
        <v>363.68094621014734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71.778656861398147</v>
      </c>
      <c r="BQ99" s="21">
        <f>EXP(-LN(2)/25)*BQ98+(1-EXP(-LN(2)/25))/(LN(2)/25)*Calculateur!BL99*Calculateur!BN99*VLOOKUP('Données projet'!$B$11,Paramètres!$A$1:$I$89,3,0)*0.475*44/12</f>
        <v>19.884044781043698</v>
      </c>
      <c r="BR99" s="21">
        <f>EXP(-LN(2)/2)*BR98+(1-EXP(-LN(2)/2))/(LN(2)/2)*BL99*BO99*VLOOKUP('Données projet'!$B$11,Paramètres!$A$1:$I$89,3,0)*0.475*44/12</f>
        <v>8.2559686894585096E-5</v>
      </c>
      <c r="BS99" s="22">
        <f t="shared" si="63"/>
        <v>91.662784202128734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7.3</v>
      </c>
      <c r="BY99" s="12">
        <f>IF('Données projet'!$A$114&gt;35,BY98+BX99-CG98,IF(A99&lt;'Données projet'!$A$114,$BV$205^A99,IF(A99='Données projet'!$A$114,'Données projet'!$B$114,BY98+BX99-CG98)))</f>
        <v>291.89999999999998</v>
      </c>
      <c r="BZ99" s="13">
        <f>BY99*VLOOKUP('Données projet'!$B$12,Paramètres!$A$1:$I$89,3,0)*VLOOKUP('Données projet'!$B$12,Paramètres!$A$1:$I$89,5,0)</f>
        <v>264.11111999999997</v>
      </c>
      <c r="CA99" s="13">
        <f t="shared" si="93"/>
        <v>63.59790086687066</v>
      </c>
      <c r="CB99" s="20">
        <f t="shared" si="64"/>
        <v>570.75987800979965</v>
      </c>
      <c r="CC99" s="59">
        <f t="shared" si="65"/>
        <v>847.00893020618707</v>
      </c>
      <c r="CD99" s="59">
        <f ca="1">AVERAGE(OFFSET($CC$3,0,0,'Données projet'!$E$12+1,1))-AVERAGE(OFFSET($H$3,0,0,'Données projet'!$E$12+1,1))</f>
        <v>357.68828740212223</v>
      </c>
      <c r="CE99" s="59">
        <f t="shared" si="94"/>
        <v>236.76626845829483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24.945663290794585</v>
      </c>
      <c r="CL99" s="21">
        <f>EXP(-LN(2)/25)*CL98+(1-EXP(-LN(2)/25))/(LN(2)/25)*Calculateur!CG99*Calculateur!CI99*VLOOKUP('Données projet'!$B$12,Paramètres!$A$1:$I$89,3,0)*0.475*44/12</f>
        <v>21.320430928001947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46.266094218796532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257.00000000000006</v>
      </c>
      <c r="CU99" s="17">
        <f>CT99*VLOOKUP('Données projet'!$B$13,Paramètres!$A$1:$I$89,3,0)*VLOOKUP('Données projet'!$B$13,Paramètres!$A$1:$I$89,5,0)</f>
        <v>168.38640000000004</v>
      </c>
      <c r="CV99" s="13">
        <f t="shared" si="95"/>
        <v>42.728430513203243</v>
      </c>
      <c r="CW99" s="20">
        <f t="shared" si="67"/>
        <v>367.69166314382898</v>
      </c>
      <c r="CX99" s="59">
        <f t="shared" si="68"/>
        <v>643.94071534021646</v>
      </c>
      <c r="CY99" s="59">
        <f ca="1">AVERAGE(OFFSET($CX$3,0,0,'Données projet'!$E$13+1,1))-AVERAGE(OFFSET($H$3,0,0,'Données projet'!$E$13+1,1))</f>
        <v>220.18342986563667</v>
      </c>
      <c r="CZ99" s="59">
        <f t="shared" si="96"/>
        <v>347.84382145531163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1.1983829186234407E-9</v>
      </c>
      <c r="DI99" s="22">
        <f t="shared" si="69"/>
        <v>1.1983829186234407E-9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7.3</v>
      </c>
      <c r="DO99" s="12">
        <f>IF('Données projet'!$A$166&gt;35,DO98+DN99-DW98,IF(A99&lt;'Données projet'!$A$166,$DL$205^A99,IF(A99='Données projet'!$A$166,'Données projet'!$B$166,DO98+DN99-DW98)))</f>
        <v>291.89999999999998</v>
      </c>
      <c r="DP99" s="17">
        <f>DO99*VLOOKUP('Données projet'!$B$14,Paramètres!$A$1:$I$89,3,0)*VLOOKUP('Données projet'!$B$14,Paramètres!$A$1:$I$89,5,0)</f>
        <v>295.98660000000001</v>
      </c>
      <c r="DQ99" s="13">
        <f t="shared" si="97"/>
        <v>70.334442310004732</v>
      </c>
      <c r="DR99" s="20">
        <f t="shared" si="70"/>
        <v>638.00914868992481</v>
      </c>
      <c r="DS99" s="59">
        <f t="shared" si="71"/>
        <v>914.25820088631224</v>
      </c>
      <c r="DT99" s="59">
        <f ca="1">AVERAGE(OFFSET($DS$3,0,0,'Données projet'!$E$14+1,1))-AVERAGE(OFFSET($H$3,0,0,'Données projet'!$E$14+1,1))</f>
        <v>392.49465607243178</v>
      </c>
      <c r="DU99" s="59">
        <f t="shared" si="98"/>
        <v>258.031856676031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27.956346791407725</v>
      </c>
      <c r="EB99" s="21">
        <f>EXP(-LN(2)/25)*EB98+(1-EXP(-LN(2)/25))/(LN(2)/25)*Calculateur!DW99*Calculateur!DY99*VLOOKUP('Données projet'!$B$14,Paramètres!$A$1:$I$89,3,0)*0.475*44/12</f>
        <v>23.893586384829764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51.849933176237485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294.24530606293143</v>
      </c>
      <c r="EP99" s="59">
        <f t="shared" si="100"/>
        <v>275.88160405468193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103.96805769167189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103.96805769167189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1.1368683772161603E-13</v>
      </c>
      <c r="FF99" s="17">
        <f>FE99*VLOOKUP('Données projet'!$B$16,Paramètres!$A$1:$I$89,3,0)*VLOOKUP('Données projet'!$B$16,Paramètres!$A$1:$I$89,5,0)</f>
        <v>8.3355189417488869E-14</v>
      </c>
      <c r="FG99" s="13">
        <f t="shared" si="101"/>
        <v>1.2790518435140618E-12</v>
      </c>
      <c r="FH99" s="20">
        <f t="shared" si="76"/>
        <v>2.3728589156891171E-12</v>
      </c>
      <c r="FI99" s="59">
        <f t="shared" si="77"/>
        <v>276.24905219638981</v>
      </c>
      <c r="FJ99" s="59">
        <f ca="1">AVERAGE(OFFSET($FI$3,0,0,'Données projet'!$E$16+1,1))-AVERAGE(OFFSET($H$3,0,0,'Données projet'!$E$16+1,1))</f>
        <v>214.31585175697521</v>
      </c>
      <c r="FK99" s="59">
        <f t="shared" si="102"/>
        <v>244.60383864821372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48.283463213529636</v>
      </c>
      <c r="FR99" s="21">
        <f>EXP(-LN(2)/25)*FR98+(1-EXP(-LN(2)/25))/(LN(2)/25)*Calculateur!FM99*Calculateur!FO99*VLOOKUP('Données projet'!$B$16,Paramètres!$A$1:$I$89,3,0)*0.475*44/12</f>
        <v>0</v>
      </c>
      <c r="FS99" s="21">
        <f>EXP(-LN(2)/2)*FS98+(1-EXP(-LN(2)/2))/(LN(2)/2)*FM99*FP99*VLOOKUP('Données projet'!$B$16,Paramètres!$A$1:$I$89,3,0)*0.475*44/12</f>
        <v>0</v>
      </c>
      <c r="FT99" s="22">
        <f t="shared" si="78"/>
        <v>48.283463213529636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-5.6843418860808015E-14</v>
      </c>
      <c r="GA99" s="17">
        <f>FZ99*VLOOKUP('Données projet'!$B$17,Paramètres!$A$1:$I$89,3,0)*VLOOKUP('Données projet'!$B$17,Paramètres!$A$1:$I$89,5,0)</f>
        <v>-4.5224624045658861E-14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308.33954512886351</v>
      </c>
      <c r="GF99" s="59">
        <f t="shared" si="104"/>
        <v>408.79075392716277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66.855751237772765</v>
      </c>
      <c r="GM99" s="21">
        <f>EXP(-LN(2)/25)*GM98+(1-EXP(-LN(2)/25))/(LN(2)/25)*Calculateur!GH99*Calculateur!GJ99*VLOOKUP('Données projet'!$B$17,Paramètres!$A$1:$I$89,3,0)*0.475*44/12</f>
        <v>0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66.855751237772765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342.84342155097613</v>
      </c>
      <c r="T100" s="59">
        <f t="shared" si="88"/>
        <v>565.68976940602215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61.777304215535452</v>
      </c>
      <c r="AA100" s="21">
        <f>EXP(-LN(2)/25)*AA99+(1-EXP(-LN(2)/25))/(LN(2)/25)*Calculateur!V100*Calculateur!X100*VLOOKUP('Données projet'!$B$9,Paramètres!$A$1:$I$89,3,0)*0.475*44/12</f>
        <v>20.892934443098941</v>
      </c>
      <c r="AB100" s="21">
        <f>EXP(-LN(2)/2)*AB99+(1-EXP(-LN(2)/2))/(LN(2)/2)*V100*Y100*VLOOKUP('Données projet'!$B$9,Paramètres!$A$1:$I$89,3,0)*0.475*44/12</f>
        <v>6.167583045410025E-7</v>
      </c>
      <c r="AC100" s="22">
        <f t="shared" si="57"/>
        <v>82.670239275392689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320.33056209214476</v>
      </c>
      <c r="AO100" s="59">
        <f t="shared" si="90"/>
        <v>299.27200854723446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42.215727535056558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42.215727535056558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256.85706398254547</v>
      </c>
      <c r="BJ100" s="59">
        <f t="shared" si="92"/>
        <v>363.68094621014734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70.371121181003829</v>
      </c>
      <c r="BQ100" s="21">
        <f>EXP(-LN(2)/25)*BQ99+(1-EXP(-LN(2)/25))/(LN(2)/25)*Calculateur!BL100*Calculateur!BN100*VLOOKUP('Données projet'!$B$11,Paramètres!$A$1:$I$89,3,0)*0.475*44/12</f>
        <v>19.340314530849589</v>
      </c>
      <c r="BR100" s="21">
        <f>EXP(-LN(2)/2)*BR99+(1-EXP(-LN(2)/2))/(LN(2)/2)*BL100*BO100*VLOOKUP('Données projet'!$B$11,Paramètres!$A$1:$I$89,3,0)*0.475*44/12</f>
        <v>5.8378514455799259E-5</v>
      </c>
      <c r="BS100" s="22">
        <f t="shared" si="63"/>
        <v>89.711494090367879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7.3</v>
      </c>
      <c r="BY100" s="12">
        <f>IF('Données projet'!$A$114&gt;35,BY99+BX100-CG99,IF(A100&lt;'Données projet'!$A$114,$BV$205^A100,IF(A100='Données projet'!$A$114,'Données projet'!$B$114,BY99+BX100-CG99)))</f>
        <v>299.2</v>
      </c>
      <c r="BZ100" s="13">
        <f>BY100*VLOOKUP('Données projet'!$B$12,Paramètres!$A$1:$I$89,3,0)*VLOOKUP('Données projet'!$B$12,Paramètres!$A$1:$I$89,5,0)</f>
        <v>270.71615999999995</v>
      </c>
      <c r="CA100" s="13">
        <f t="shared" si="93"/>
        <v>65.001233075018177</v>
      </c>
      <c r="CB100" s="20">
        <f t="shared" si="64"/>
        <v>584.70779293898988</v>
      </c>
      <c r="CC100" s="59">
        <f t="shared" si="65"/>
        <v>861.25321921837269</v>
      </c>
      <c r="CD100" s="59">
        <f ca="1">AVERAGE(OFFSET($CC$3,0,0,'Données projet'!$E$12+1,1))-AVERAGE(OFFSET($H$3,0,0,'Données projet'!$E$12+1,1))</f>
        <v>357.68828740212223</v>
      </c>
      <c r="CE100" s="59">
        <f t="shared" si="94"/>
        <v>236.76626845829483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24.456494049014317</v>
      </c>
      <c r="CL100" s="21">
        <f>EXP(-LN(2)/25)*CL99+(1-EXP(-LN(2)/25))/(LN(2)/25)*Calculateur!CG100*Calculateur!CI100*VLOOKUP('Données projet'!$B$12,Paramètres!$A$1:$I$89,3,0)*0.475*44/12</f>
        <v>20.737422623082999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45.193916672097316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257.00000000000006</v>
      </c>
      <c r="CU100" s="17">
        <f>CT100*VLOOKUP('Données projet'!$B$13,Paramètres!$A$1:$I$89,3,0)*VLOOKUP('Données projet'!$B$13,Paramètres!$A$1:$I$89,5,0)</f>
        <v>168.38640000000004</v>
      </c>
      <c r="CV100" s="13">
        <f t="shared" si="95"/>
        <v>42.728430513203243</v>
      </c>
      <c r="CW100" s="20">
        <f t="shared" si="67"/>
        <v>367.69166314382898</v>
      </c>
      <c r="CX100" s="59">
        <f t="shared" si="68"/>
        <v>644.23708942321173</v>
      </c>
      <c r="CY100" s="59">
        <f ca="1">AVERAGE(OFFSET($CX$3,0,0,'Données projet'!$E$13+1,1))-AVERAGE(OFFSET($H$3,0,0,'Données projet'!$E$13+1,1))</f>
        <v>220.18342986563667</v>
      </c>
      <c r="CZ100" s="59">
        <f t="shared" si="96"/>
        <v>347.84382145531163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8.4738468821676148E-10</v>
      </c>
      <c r="DI100" s="22">
        <f t="shared" si="69"/>
        <v>8.4738468821676148E-10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7.3</v>
      </c>
      <c r="DO100" s="12">
        <f>IF('Données projet'!$A$166&gt;35,DO99+DN100-DW99,IF(A100&lt;'Données projet'!$A$166,$DL$205^A100,IF(A100='Données projet'!$A$166,'Données projet'!$B$166,DO99+DN100-DW99)))</f>
        <v>299.2</v>
      </c>
      <c r="DP100" s="17">
        <f>DO100*VLOOKUP('Données projet'!$B$14,Paramètres!$A$1:$I$89,3,0)*VLOOKUP('Données projet'!$B$14,Paramètres!$A$1:$I$89,5,0)</f>
        <v>303.3888</v>
      </c>
      <c r="DQ100" s="13">
        <f t="shared" si="97"/>
        <v>71.886421021414407</v>
      </c>
      <c r="DR100" s="20">
        <f t="shared" si="70"/>
        <v>653.60434327896337</v>
      </c>
      <c r="DS100" s="59">
        <f t="shared" si="71"/>
        <v>930.14976955834618</v>
      </c>
      <c r="DT100" s="59">
        <f ca="1">AVERAGE(OFFSET($DS$3,0,0,'Données projet'!$E$14+1,1))-AVERAGE(OFFSET($H$3,0,0,'Données projet'!$E$14+1,1))</f>
        <v>392.49465607243178</v>
      </c>
      <c r="DU100" s="59">
        <f t="shared" si="98"/>
        <v>258.031856676031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27.408139882516046</v>
      </c>
      <c r="EB100" s="21">
        <f>EXP(-LN(2)/25)*EB99+(1-EXP(-LN(2)/25))/(LN(2)/25)*Calculateur!DW100*Calculateur!DY100*VLOOKUP('Données projet'!$B$14,Paramètres!$A$1:$I$89,3,0)*0.475*44/12</f>
        <v>23.240215008627494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50.648354891143541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294.24530606293143</v>
      </c>
      <c r="EP100" s="59">
        <f t="shared" si="100"/>
        <v>275.88160405468193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101.92930749459175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101.92930749459175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1.1368683772161603E-13</v>
      </c>
      <c r="FF100" s="17">
        <f>FE100*VLOOKUP('Données projet'!$B$16,Paramètres!$A$1:$I$89,3,0)*VLOOKUP('Données projet'!$B$16,Paramètres!$A$1:$I$89,5,0)</f>
        <v>8.3355189417488869E-14</v>
      </c>
      <c r="FG100" s="13">
        <f t="shared" si="101"/>
        <v>1.2790518435140618E-12</v>
      </c>
      <c r="FH100" s="20">
        <f t="shared" si="76"/>
        <v>2.3728589156891171E-12</v>
      </c>
      <c r="FI100" s="59">
        <f t="shared" si="77"/>
        <v>276.5454262793852</v>
      </c>
      <c r="FJ100" s="59">
        <f ca="1">AVERAGE(OFFSET($FI$3,0,0,'Données projet'!$E$16+1,1))-AVERAGE(OFFSET($H$3,0,0,'Données projet'!$E$16+1,1))</f>
        <v>214.31585175697521</v>
      </c>
      <c r="FK100" s="59">
        <f t="shared" si="102"/>
        <v>244.60383864821372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47.336653949916936</v>
      </c>
      <c r="FR100" s="21">
        <f>EXP(-LN(2)/25)*FR99+(1-EXP(-LN(2)/25))/(LN(2)/25)*Calculateur!FM100*Calculateur!FO100*VLOOKUP('Données projet'!$B$16,Paramètres!$A$1:$I$89,3,0)*0.475*44/12</f>
        <v>0</v>
      </c>
      <c r="FS100" s="21">
        <f>EXP(-LN(2)/2)*FS99+(1-EXP(-LN(2)/2))/(LN(2)/2)*FM100*FP100*VLOOKUP('Données projet'!$B$16,Paramètres!$A$1:$I$89,3,0)*0.475*44/12</f>
        <v>0</v>
      </c>
      <c r="FT100" s="22">
        <f t="shared" si="78"/>
        <v>47.336653949916936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-5.6843418860808015E-14</v>
      </c>
      <c r="GA100" s="17">
        <f>FZ100*VLOOKUP('Données projet'!$B$17,Paramètres!$A$1:$I$89,3,0)*VLOOKUP('Données projet'!$B$17,Paramètres!$A$1:$I$89,5,0)</f>
        <v>-4.5224624045658861E-14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308.33954512886351</v>
      </c>
      <c r="GF100" s="59">
        <f t="shared" si="104"/>
        <v>408.79075392716277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65.5447507339818</v>
      </c>
      <c r="GM100" s="21">
        <f>EXP(-LN(2)/25)*GM99+(1-EXP(-LN(2)/25))/(LN(2)/25)*Calculateur!GH100*Calculateur!GJ100*VLOOKUP('Données projet'!$B$17,Paramètres!$A$1:$I$89,3,0)*0.475*44/12</f>
        <v>0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65.5447507339818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342.84342155097613</v>
      </c>
      <c r="T101" s="59">
        <f t="shared" si="88"/>
        <v>565.68976940602215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60.565888960303738</v>
      </c>
      <c r="AA101" s="21">
        <f>EXP(-LN(2)/25)*AA100+(1-EXP(-LN(2)/25))/(LN(2)/25)*Calculateur!V101*Calculateur!X101*VLOOKUP('Données projet'!$B$9,Paramètres!$A$1:$I$89,3,0)*0.475*44/12</f>
        <v>20.321616052040728</v>
      </c>
      <c r="AB101" s="21">
        <f>EXP(-LN(2)/2)*AB100+(1-EXP(-LN(2)/2))/(LN(2)/2)*V101*Y101*VLOOKUP('Données projet'!$B$9,Paramètres!$A$1:$I$89,3,0)*0.475*44/12</f>
        <v>4.361139794940607E-7</v>
      </c>
      <c r="AC101" s="22">
        <f t="shared" si="57"/>
        <v>80.887505448458441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320.33056209214476</v>
      </c>
      <c r="AO101" s="59">
        <f t="shared" si="90"/>
        <v>299.27200854723446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41.061336245581813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41.061336245581813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256.85706398254547</v>
      </c>
      <c r="BJ101" s="59">
        <f t="shared" si="92"/>
        <v>363.68094621014734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68.991186416790057</v>
      </c>
      <c r="BQ101" s="21">
        <f>EXP(-LN(2)/25)*BQ100+(1-EXP(-LN(2)/25))/(LN(2)/25)*Calculateur!BL101*Calculateur!BN101*VLOOKUP('Données projet'!$B$11,Paramètres!$A$1:$I$89,3,0)*0.475*44/12</f>
        <v>18.81145261294057</v>
      </c>
      <c r="BR101" s="21">
        <f>EXP(-LN(2)/2)*BR100+(1-EXP(-LN(2)/2))/(LN(2)/2)*BL101*BO101*VLOOKUP('Données projet'!$B$11,Paramètres!$A$1:$I$89,3,0)*0.475*44/12</f>
        <v>4.1279843447292548E-5</v>
      </c>
      <c r="BS101" s="22">
        <f t="shared" si="63"/>
        <v>87.802680309574072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7.3</v>
      </c>
      <c r="BY101" s="12">
        <f>IF('Données projet'!$A$114&gt;35,BY100+BX101-CG100,IF(A101&lt;'Données projet'!$A$114,$BV$205^A101,IF(A101='Données projet'!$A$114,'Données projet'!$B$114,BY100+BX101-CG100)))</f>
        <v>306.5</v>
      </c>
      <c r="BZ101" s="13">
        <f>BY101*VLOOKUP('Données projet'!$B$12,Paramètres!$A$1:$I$89,3,0)*VLOOKUP('Données projet'!$B$12,Paramètres!$A$1:$I$89,5,0)</f>
        <v>277.32119999999998</v>
      </c>
      <c r="CA101" s="13">
        <f t="shared" si="93"/>
        <v>66.400585093776115</v>
      </c>
      <c r="CB101" s="20">
        <f t="shared" si="64"/>
        <v>598.64877570499334</v>
      </c>
      <c r="CC101" s="59">
        <f t="shared" si="65"/>
        <v>875.48543463962471</v>
      </c>
      <c r="CD101" s="59">
        <f ca="1">AVERAGE(OFFSET($CC$3,0,0,'Données projet'!$E$12+1,1))-AVERAGE(OFFSET($H$3,0,0,'Données projet'!$E$12+1,1))</f>
        <v>357.68828740212223</v>
      </c>
      <c r="CE101" s="59">
        <f t="shared" si="94"/>
        <v>236.76626845829483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23.976917117701586</v>
      </c>
      <c r="CL101" s="21">
        <f>EXP(-LN(2)/25)*CL100+(1-EXP(-LN(2)/25))/(LN(2)/25)*Calculateur!CG101*Calculateur!CI101*VLOOKUP('Données projet'!$B$12,Paramètres!$A$1:$I$89,3,0)*0.475*44/12</f>
        <v>20.170356710921133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44.147273828622716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257.00000000000006</v>
      </c>
      <c r="CU101" s="17">
        <f>CT101*VLOOKUP('Données projet'!$B$13,Paramètres!$A$1:$I$89,3,0)*VLOOKUP('Données projet'!$B$13,Paramètres!$A$1:$I$89,5,0)</f>
        <v>168.38640000000004</v>
      </c>
      <c r="CV101" s="13">
        <f t="shared" si="95"/>
        <v>42.728430513203243</v>
      </c>
      <c r="CW101" s="20">
        <f t="shared" si="67"/>
        <v>367.69166314382898</v>
      </c>
      <c r="CX101" s="59">
        <f t="shared" si="68"/>
        <v>644.52832207846041</v>
      </c>
      <c r="CY101" s="59">
        <f ca="1">AVERAGE(OFFSET($CX$3,0,0,'Données projet'!$E$13+1,1))-AVERAGE(OFFSET($H$3,0,0,'Données projet'!$E$13+1,1))</f>
        <v>220.18342986563667</v>
      </c>
      <c r="CZ101" s="59">
        <f t="shared" si="96"/>
        <v>347.84382145531163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5.9919145931172035E-10</v>
      </c>
      <c r="DI101" s="22">
        <f t="shared" si="69"/>
        <v>5.9919145931172035E-10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7.3</v>
      </c>
      <c r="DO101" s="12">
        <f>IF('Données projet'!$A$166&gt;35,DO100+DN101-DW100,IF(A101&lt;'Données projet'!$A$166,$DL$205^A101,IF(A101='Données projet'!$A$166,'Données projet'!$B$166,DO100+DN101-DW100)))</f>
        <v>306.5</v>
      </c>
      <c r="DP101" s="17">
        <f>DO101*VLOOKUP('Données projet'!$B$14,Paramètres!$A$1:$I$89,3,0)*VLOOKUP('Données projet'!$B$14,Paramètres!$A$1:$I$89,5,0)</f>
        <v>310.791</v>
      </c>
      <c r="DQ101" s="13">
        <f t="shared" si="97"/>
        <v>73.433997946016788</v>
      </c>
      <c r="DR101" s="20">
        <f t="shared" si="70"/>
        <v>669.19187142264593</v>
      </c>
      <c r="DS101" s="59">
        <f t="shared" si="71"/>
        <v>946.0285303572773</v>
      </c>
      <c r="DT101" s="59">
        <f ca="1">AVERAGE(OFFSET($DS$3,0,0,'Données projet'!$E$14+1,1))-AVERAGE(OFFSET($H$3,0,0,'Données projet'!$E$14+1,1))</f>
        <v>392.49465607243178</v>
      </c>
      <c r="DU101" s="59">
        <f t="shared" si="98"/>
        <v>258.031856676031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26.870682976734539</v>
      </c>
      <c r="EB101" s="21">
        <f>EXP(-LN(2)/25)*EB100+(1-EXP(-LN(2)/25))/(LN(2)/25)*Calculateur!DW101*Calculateur!DY101*VLOOKUP('Données projet'!$B$14,Paramètres!$A$1:$I$89,3,0)*0.475*44/12</f>
        <v>22.604710107066783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49.475393083801322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294.24530606293143</v>
      </c>
      <c r="EP101" s="59">
        <f t="shared" si="100"/>
        <v>275.88160405468193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99.930535945361527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99.930535945361527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1.1368683772161603E-13</v>
      </c>
      <c r="FF101" s="17">
        <f>FE101*VLOOKUP('Données projet'!$B$16,Paramètres!$A$1:$I$89,3,0)*VLOOKUP('Données projet'!$B$16,Paramètres!$A$1:$I$89,5,0)</f>
        <v>8.3355189417488869E-14</v>
      </c>
      <c r="FG101" s="13">
        <f t="shared" si="101"/>
        <v>1.2790518435140618E-12</v>
      </c>
      <c r="FH101" s="20">
        <f t="shared" si="76"/>
        <v>2.3728589156891171E-12</v>
      </c>
      <c r="FI101" s="59">
        <f t="shared" si="77"/>
        <v>276.83665893463376</v>
      </c>
      <c r="FJ101" s="59">
        <f ca="1">AVERAGE(OFFSET($FI$3,0,0,'Données projet'!$E$16+1,1))-AVERAGE(OFFSET($H$3,0,0,'Données projet'!$E$16+1,1))</f>
        <v>214.31585175697521</v>
      </c>
      <c r="FK101" s="59">
        <f t="shared" si="102"/>
        <v>244.60383864821372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46.408411038467051</v>
      </c>
      <c r="FR101" s="21">
        <f>EXP(-LN(2)/25)*FR100+(1-EXP(-LN(2)/25))/(LN(2)/25)*Calculateur!FM101*Calculateur!FO101*VLOOKUP('Données projet'!$B$16,Paramètres!$A$1:$I$89,3,0)*0.475*44/12</f>
        <v>0</v>
      </c>
      <c r="FS101" s="21">
        <f>EXP(-LN(2)/2)*FS100+(1-EXP(-LN(2)/2))/(LN(2)/2)*FM101*FP101*VLOOKUP('Données projet'!$B$16,Paramètres!$A$1:$I$89,3,0)*0.475*44/12</f>
        <v>0</v>
      </c>
      <c r="FT101" s="22">
        <f t="shared" si="78"/>
        <v>46.408411038467051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-5.6843418860808015E-14</v>
      </c>
      <c r="GA101" s="17">
        <f>FZ101*VLOOKUP('Données projet'!$B$17,Paramètres!$A$1:$I$89,3,0)*VLOOKUP('Données projet'!$B$17,Paramètres!$A$1:$I$89,5,0)</f>
        <v>-4.5224624045658861E-14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308.33954512886351</v>
      </c>
      <c r="GF101" s="59">
        <f t="shared" si="104"/>
        <v>408.79075392716277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64.259458150438832</v>
      </c>
      <c r="GM101" s="21">
        <f>EXP(-LN(2)/25)*GM100+(1-EXP(-LN(2)/25))/(LN(2)/25)*Calculateur!GH101*Calculateur!GJ101*VLOOKUP('Données projet'!$B$17,Paramètres!$A$1:$I$89,3,0)*0.475*44/12</f>
        <v>0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64.259458150438832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342.84342155097613</v>
      </c>
      <c r="T102" s="59">
        <f t="shared" si="88"/>
        <v>565.68976940602215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59.378228819336776</v>
      </c>
      <c r="AA102" s="21">
        <f>EXP(-LN(2)/25)*AA101+(1-EXP(-LN(2)/25))/(LN(2)/25)*Calculateur!V102*Calculateur!X102*VLOOKUP('Données projet'!$B$9,Paramètres!$A$1:$I$89,3,0)*0.475*44/12</f>
        <v>19.765920392430331</v>
      </c>
      <c r="AB102" s="21">
        <f>EXP(-LN(2)/2)*AB101+(1-EXP(-LN(2)/2))/(LN(2)/2)*V102*Y102*VLOOKUP('Données projet'!$B$9,Paramètres!$A$1:$I$89,3,0)*0.475*44/12</f>
        <v>3.0837915227050125E-7</v>
      </c>
      <c r="AC102" s="22">
        <f t="shared" si="57"/>
        <v>79.144149520146271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320.33056209214476</v>
      </c>
      <c r="AO102" s="59">
        <f t="shared" si="90"/>
        <v>299.27200854723446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39.93851184662455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39.93851184662455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256.85706398254547</v>
      </c>
      <c r="BJ102" s="59">
        <f t="shared" si="92"/>
        <v>363.68094621014734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67.638311331625417</v>
      </c>
      <c r="BQ102" s="21">
        <f>EXP(-LN(2)/25)*BQ101+(1-EXP(-LN(2)/25))/(LN(2)/25)*Calculateur!BL102*Calculateur!BN102*VLOOKUP('Données projet'!$B$11,Paramètres!$A$1:$I$89,3,0)*0.475*44/12</f>
        <v>18.29705245198841</v>
      </c>
      <c r="BR102" s="21">
        <f>EXP(-LN(2)/2)*BR101+(1-EXP(-LN(2)/2))/(LN(2)/2)*BL102*BO102*VLOOKUP('Données projet'!$B$11,Paramètres!$A$1:$I$89,3,0)*0.475*44/12</f>
        <v>2.918925722789963E-5</v>
      </c>
      <c r="BS102" s="22">
        <f t="shared" si="63"/>
        <v>85.935392972871057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7.3</v>
      </c>
      <c r="BY102" s="12">
        <f>IF('Données projet'!$A$114&gt;35,BY101+BX102-CG101,IF(A102&lt;'Données projet'!$A$114,$BV$205^A102,IF(A102='Données projet'!$A$114,'Données projet'!$B$114,BY101+BX102-CG101)))</f>
        <v>313.8</v>
      </c>
      <c r="BZ102" s="13">
        <f>BY102*VLOOKUP('Données projet'!$B$12,Paramètres!$A$1:$I$89,3,0)*VLOOKUP('Données projet'!$B$12,Paramètres!$A$1:$I$89,5,0)</f>
        <v>283.92624000000001</v>
      </c>
      <c r="CA102" s="13">
        <f t="shared" si="93"/>
        <v>67.796062628528361</v>
      </c>
      <c r="CB102" s="20">
        <f t="shared" si="64"/>
        <v>612.5830104113536</v>
      </c>
      <c r="CC102" s="59">
        <f t="shared" si="65"/>
        <v>889.70584976576379</v>
      </c>
      <c r="CD102" s="59">
        <f ca="1">AVERAGE(OFFSET($CC$3,0,0,'Données projet'!$E$12+1,1))-AVERAGE(OFFSET($H$3,0,0,'Données projet'!$E$12+1,1))</f>
        <v>357.68828740212223</v>
      </c>
      <c r="CE102" s="59">
        <f t="shared" si="94"/>
        <v>236.76626845829483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23.506744397498853</v>
      </c>
      <c r="CL102" s="21">
        <f>EXP(-LN(2)/25)*CL101+(1-EXP(-LN(2)/25))/(LN(2)/25)*Calculateur!CG102*Calculateur!CI102*VLOOKUP('Données projet'!$B$12,Paramètres!$A$1:$I$89,3,0)*0.475*44/12</f>
        <v>19.618797245948034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43.125541643446887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257.00000000000006</v>
      </c>
      <c r="CU102" s="17">
        <f>CT102*VLOOKUP('Données projet'!$B$13,Paramètres!$A$1:$I$89,3,0)*VLOOKUP('Données projet'!$B$13,Paramètres!$A$1:$I$89,5,0)</f>
        <v>168.38640000000004</v>
      </c>
      <c r="CV102" s="13">
        <f t="shared" si="95"/>
        <v>42.728430513203243</v>
      </c>
      <c r="CW102" s="20">
        <f t="shared" si="67"/>
        <v>367.69166314382898</v>
      </c>
      <c r="CX102" s="59">
        <f t="shared" si="68"/>
        <v>644.81450249823911</v>
      </c>
      <c r="CY102" s="59">
        <f ca="1">AVERAGE(OFFSET($CX$3,0,0,'Données projet'!$E$13+1,1))-AVERAGE(OFFSET($H$3,0,0,'Données projet'!$E$13+1,1))</f>
        <v>220.18342986563667</v>
      </c>
      <c r="CZ102" s="59">
        <f t="shared" si="96"/>
        <v>347.84382145531163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4.2369234410838074E-10</v>
      </c>
      <c r="DI102" s="22">
        <f t="shared" si="69"/>
        <v>4.2369234410838074E-10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7.3</v>
      </c>
      <c r="DO102" s="12">
        <f>IF('Données projet'!$A$166&gt;35,DO101+DN102-DW101,IF(A102&lt;'Données projet'!$A$166,$DL$205^A102,IF(A102='Données projet'!$A$166,'Données projet'!$B$166,DO101+DN102-DW101)))</f>
        <v>313.8</v>
      </c>
      <c r="DP102" s="17">
        <f>DO102*VLOOKUP('Données projet'!$B$14,Paramètres!$A$1:$I$89,3,0)*VLOOKUP('Données projet'!$B$14,Paramètres!$A$1:$I$89,5,0)</f>
        <v>318.19320000000005</v>
      </c>
      <c r="DQ102" s="13">
        <f t="shared" si="97"/>
        <v>74.977289985928564</v>
      </c>
      <c r="DR102" s="20">
        <f t="shared" si="70"/>
        <v>684.77193672549231</v>
      </c>
      <c r="DS102" s="59">
        <f t="shared" si="71"/>
        <v>961.89477607990239</v>
      </c>
      <c r="DT102" s="59">
        <f ca="1">AVERAGE(OFFSET($DS$3,0,0,'Données projet'!$E$14+1,1))-AVERAGE(OFFSET($H$3,0,0,'Données projet'!$E$14+1,1))</f>
        <v>392.49465607243178</v>
      </c>
      <c r="DU102" s="59">
        <f t="shared" si="98"/>
        <v>258.031856676031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26.343765273059063</v>
      </c>
      <c r="EB102" s="21">
        <f>EXP(-LN(2)/25)*EB101+(1-EXP(-LN(2)/25))/(LN(2)/25)*Calculateur!DW102*Calculateur!DY102*VLOOKUP('Données projet'!$B$14,Paramètres!$A$1:$I$89,3,0)*0.475*44/12</f>
        <v>21.986583120459002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48.330348393518065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294.24530606293143</v>
      </c>
      <c r="EP102" s="59">
        <f t="shared" si="100"/>
        <v>275.88160405468193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97.97095908708144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97.97095908708144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1.1368683772161603E-13</v>
      </c>
      <c r="FF102" s="17">
        <f>FE102*VLOOKUP('Données projet'!$B$16,Paramètres!$A$1:$I$89,3,0)*VLOOKUP('Données projet'!$B$16,Paramètres!$A$1:$I$89,5,0)</f>
        <v>8.3355189417488869E-14</v>
      </c>
      <c r="FG102" s="13">
        <f t="shared" si="101"/>
        <v>1.2790518435140618E-12</v>
      </c>
      <c r="FH102" s="20">
        <f t="shared" si="76"/>
        <v>2.3728589156891171E-12</v>
      </c>
      <c r="FI102" s="59">
        <f t="shared" si="77"/>
        <v>277.12283935441252</v>
      </c>
      <c r="FJ102" s="59">
        <f ca="1">AVERAGE(OFFSET($FI$3,0,0,'Données projet'!$E$16+1,1))-AVERAGE(OFFSET($H$3,0,0,'Données projet'!$E$16+1,1))</f>
        <v>214.31585175697521</v>
      </c>
      <c r="FK102" s="59">
        <f t="shared" si="102"/>
        <v>244.60383864821372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45.498370404338424</v>
      </c>
      <c r="FR102" s="21">
        <f>EXP(-LN(2)/25)*FR101+(1-EXP(-LN(2)/25))/(LN(2)/25)*Calculateur!FM102*Calculateur!FO102*VLOOKUP('Données projet'!$B$16,Paramètres!$A$1:$I$89,3,0)*0.475*44/12</f>
        <v>0</v>
      </c>
      <c r="FS102" s="21">
        <f>EXP(-LN(2)/2)*FS101+(1-EXP(-LN(2)/2))/(LN(2)/2)*FM102*FP102*VLOOKUP('Données projet'!$B$16,Paramètres!$A$1:$I$89,3,0)*0.475*44/12</f>
        <v>0</v>
      </c>
      <c r="FT102" s="22">
        <f t="shared" si="78"/>
        <v>45.498370404338424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-5.6843418860808015E-14</v>
      </c>
      <c r="GA102" s="17">
        <f>FZ102*VLOOKUP('Données projet'!$B$17,Paramètres!$A$1:$I$89,3,0)*VLOOKUP('Données projet'!$B$17,Paramètres!$A$1:$I$89,5,0)</f>
        <v>-4.5224624045658861E-14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308.33954512886351</v>
      </c>
      <c r="GF102" s="59">
        <f t="shared" si="104"/>
        <v>408.79075392716277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62.99936937050807</v>
      </c>
      <c r="GM102" s="21">
        <f>EXP(-LN(2)/25)*GM101+(1-EXP(-LN(2)/25))/(LN(2)/25)*Calculateur!GH102*Calculateur!GJ102*VLOOKUP('Données projet'!$B$17,Paramètres!$A$1:$I$89,3,0)*0.475*44/12</f>
        <v>0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62.99936937050807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342.84342155097613</v>
      </c>
      <c r="T103" s="59">
        <f t="shared" si="88"/>
        <v>565.68976940602215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58.213857969333013</v>
      </c>
      <c r="AA103" s="21">
        <f>EXP(-LN(2)/25)*AA102+(1-EXP(-LN(2)/25))/(LN(2)/25)*Calculateur!V103*Calculateur!X103*VLOOKUP('Données projet'!$B$9,Paramètres!$A$1:$I$89,3,0)*0.475*44/12</f>
        <v>19.225420259854747</v>
      </c>
      <c r="AB103" s="21">
        <f>EXP(-LN(2)/2)*AB102+(1-EXP(-LN(2)/2))/(LN(2)/2)*V103*Y103*VLOOKUP('Données projet'!$B$9,Paramètres!$A$1:$I$89,3,0)*0.475*44/12</f>
        <v>2.1805698974703035E-7</v>
      </c>
      <c r="AC103" s="22">
        <f t="shared" si="57"/>
        <v>77.43927844724476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320.33056209214476</v>
      </c>
      <c r="AO103" s="59">
        <f t="shared" si="90"/>
        <v>299.27200854723446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38.846391139903545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38.846391139903545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256.85706398254547</v>
      </c>
      <c r="BJ103" s="59">
        <f t="shared" si="92"/>
        <v>363.68094621014734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66.311965301708526</v>
      </c>
      <c r="BQ103" s="21">
        <f>EXP(-LN(2)/25)*BQ102+(1-EXP(-LN(2)/25))/(LN(2)/25)*Calculateur!BL103*Calculateur!BN103*VLOOKUP('Données projet'!$B$11,Paramètres!$A$1:$I$89,3,0)*0.475*44/12</f>
        <v>17.796718590488616</v>
      </c>
      <c r="BR103" s="21">
        <f>EXP(-LN(2)/2)*BR102+(1-EXP(-LN(2)/2))/(LN(2)/2)*BL103*BO103*VLOOKUP('Données projet'!$B$11,Paramètres!$A$1:$I$89,3,0)*0.475*44/12</f>
        <v>2.0639921723646274E-5</v>
      </c>
      <c r="BS103" s="22">
        <f t="shared" si="63"/>
        <v>84.108704532118878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7.3</v>
      </c>
      <c r="BY103" s="12">
        <f>IF('Données projet'!$A$114&gt;35,BY102+BX103-CG102,IF(A103&lt;'Données projet'!$A$114,$BV$205^A103,IF(A103='Données projet'!$A$114,'Données projet'!$B$114,BY102+BX103-CG102)))</f>
        <v>321.10000000000002</v>
      </c>
      <c r="BZ103" s="13">
        <f>BY103*VLOOKUP('Données projet'!$B$12,Paramètres!$A$1:$I$89,3,0)*VLOOKUP('Données projet'!$B$12,Paramètres!$A$1:$I$89,5,0)</f>
        <v>290.53127999999998</v>
      </c>
      <c r="CA103" s="13">
        <f t="shared" si="93"/>
        <v>69.187766185958054</v>
      </c>
      <c r="CB103" s="20">
        <f t="shared" si="64"/>
        <v>626.51067210721021</v>
      </c>
      <c r="CC103" s="59">
        <f t="shared" si="65"/>
        <v>903.91472729091947</v>
      </c>
      <c r="CD103" s="59">
        <f ca="1">AVERAGE(OFFSET($CC$3,0,0,'Données projet'!$E$12+1,1))-AVERAGE(OFFSET($H$3,0,0,'Données projet'!$E$12+1,1))</f>
        <v>357.68828740212223</v>
      </c>
      <c r="CE103" s="59">
        <f t="shared" si="94"/>
        <v>236.76626845829483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23.045791477562254</v>
      </c>
      <c r="CL103" s="21">
        <f>EXP(-LN(2)/25)*CL102+(1-EXP(-LN(2)/25))/(LN(2)/25)*Calculateur!CG103*Calculateur!CI103*VLOOKUP('Données projet'!$B$12,Paramètres!$A$1:$I$89,3,0)*0.475*44/12</f>
        <v>19.082320203549877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42.128111681112131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257.00000000000006</v>
      </c>
      <c r="CU103" s="17">
        <f>CT103*VLOOKUP('Données projet'!$B$13,Paramètres!$A$1:$I$89,3,0)*VLOOKUP('Données projet'!$B$13,Paramètres!$A$1:$I$89,5,0)</f>
        <v>168.38640000000004</v>
      </c>
      <c r="CV103" s="13">
        <f t="shared" si="95"/>
        <v>42.728430513203243</v>
      </c>
      <c r="CW103" s="20">
        <f t="shared" si="67"/>
        <v>367.69166314382898</v>
      </c>
      <c r="CX103" s="59">
        <f t="shared" si="68"/>
        <v>645.09571832753818</v>
      </c>
      <c r="CY103" s="59">
        <f ca="1">AVERAGE(OFFSET($CX$3,0,0,'Données projet'!$E$13+1,1))-AVERAGE(OFFSET($H$3,0,0,'Données projet'!$E$13+1,1))</f>
        <v>220.18342986563667</v>
      </c>
      <c r="CZ103" s="59">
        <f t="shared" si="96"/>
        <v>347.84382145531163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2.9959572965586017E-10</v>
      </c>
      <c r="DI103" s="22">
        <f t="shared" si="69"/>
        <v>2.9959572965586017E-10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7.3</v>
      </c>
      <c r="DO103" s="12">
        <f>IF('Données projet'!$A$166&gt;35,DO102+DN103-DW102,IF(A103&lt;'Données projet'!$A$166,$DL$205^A103,IF(A103='Données projet'!$A$166,'Données projet'!$B$166,DO102+DN103-DW102)))</f>
        <v>321.10000000000002</v>
      </c>
      <c r="DP103" s="17">
        <f>DO103*VLOOKUP('Données projet'!$B$14,Paramètres!$A$1:$I$89,3,0)*VLOOKUP('Données projet'!$B$14,Paramètres!$A$1:$I$89,5,0)</f>
        <v>325.59540000000004</v>
      </c>
      <c r="DQ103" s="13">
        <f t="shared" si="97"/>
        <v>76.516408293898593</v>
      </c>
      <c r="DR103" s="20">
        <f t="shared" si="70"/>
        <v>700.34473277854011</v>
      </c>
      <c r="DS103" s="59">
        <f t="shared" si="71"/>
        <v>977.74878796224925</v>
      </c>
      <c r="DT103" s="59">
        <f ca="1">AVERAGE(OFFSET($DS$3,0,0,'Données projet'!$E$14+1,1))-AVERAGE(OFFSET($H$3,0,0,'Données projet'!$E$14+1,1))</f>
        <v>392.49465607243178</v>
      </c>
      <c r="DU103" s="59">
        <f t="shared" si="98"/>
        <v>258.031856676031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25.827180104164597</v>
      </c>
      <c r="EB103" s="21">
        <f>EXP(-LN(2)/25)*EB102+(1-EXP(-LN(2)/25))/(LN(2)/25)*Calculateur!DW103*Calculateur!DY103*VLOOKUP('Données projet'!$B$14,Paramètres!$A$1:$I$89,3,0)*0.475*44/12</f>
        <v>21.385358848805897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47.21253895297049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294.24530606293143</v>
      </c>
      <c r="EP103" s="59">
        <f t="shared" si="100"/>
        <v>275.88160405468193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96.049808335768361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96.049808335768361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1.1368683772161603E-13</v>
      </c>
      <c r="FF103" s="17">
        <f>FE103*VLOOKUP('Données projet'!$B$16,Paramètres!$A$1:$I$89,3,0)*VLOOKUP('Données projet'!$B$16,Paramètres!$A$1:$I$89,5,0)</f>
        <v>8.3355189417488869E-14</v>
      </c>
      <c r="FG103" s="13">
        <f t="shared" si="101"/>
        <v>1.2790518435140618E-12</v>
      </c>
      <c r="FH103" s="20">
        <f t="shared" si="76"/>
        <v>2.3728589156891171E-12</v>
      </c>
      <c r="FI103" s="59">
        <f t="shared" si="77"/>
        <v>277.40405518371159</v>
      </c>
      <c r="FJ103" s="59">
        <f ca="1">AVERAGE(OFFSET($FI$3,0,0,'Données projet'!$E$16+1,1))-AVERAGE(OFFSET($H$3,0,0,'Données projet'!$E$16+1,1))</f>
        <v>214.31585175697521</v>
      </c>
      <c r="FK103" s="59">
        <f t="shared" si="102"/>
        <v>244.60383864821372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44.606175111975084</v>
      </c>
      <c r="FR103" s="21">
        <f>EXP(-LN(2)/25)*FR102+(1-EXP(-LN(2)/25))/(LN(2)/25)*Calculateur!FM103*Calculateur!FO103*VLOOKUP('Données projet'!$B$16,Paramètres!$A$1:$I$89,3,0)*0.475*44/12</f>
        <v>0</v>
      </c>
      <c r="FS103" s="21">
        <f>EXP(-LN(2)/2)*FS102+(1-EXP(-LN(2)/2))/(LN(2)/2)*FM103*FP103*VLOOKUP('Données projet'!$B$16,Paramètres!$A$1:$I$89,3,0)*0.475*44/12</f>
        <v>0</v>
      </c>
      <c r="FT103" s="22">
        <f t="shared" si="78"/>
        <v>44.606175111975084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-5.6843418860808015E-14</v>
      </c>
      <c r="GA103" s="17">
        <f>FZ103*VLOOKUP('Données projet'!$B$17,Paramètres!$A$1:$I$89,3,0)*VLOOKUP('Données projet'!$B$17,Paramètres!$A$1:$I$89,5,0)</f>
        <v>-4.5224624045658861E-14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308.33954512886351</v>
      </c>
      <c r="GF103" s="59">
        <f t="shared" si="104"/>
        <v>408.79075392716277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61.763990162973485</v>
      </c>
      <c r="GM103" s="21">
        <f>EXP(-LN(2)/25)*GM102+(1-EXP(-LN(2)/25))/(LN(2)/25)*Calculateur!GH103*Calculateur!GJ103*VLOOKUP('Données projet'!$B$17,Paramètres!$A$1:$I$89,3,0)*0.475*44/12</f>
        <v>0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61.763990162973485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342.84342155097613</v>
      </c>
      <c r="T104" s="59">
        <f t="shared" si="88"/>
        <v>565.68976940602215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57.072319721501735</v>
      </c>
      <c r="AA104" s="21">
        <f>EXP(-LN(2)/25)*AA103+(1-EXP(-LN(2)/25))/(LN(2)/25)*Calculateur!V104*Calculateur!X104*VLOOKUP('Données projet'!$B$9,Paramètres!$A$1:$I$89,3,0)*0.475*44/12</f>
        <v>18.699700131828109</v>
      </c>
      <c r="AB104" s="21">
        <f>EXP(-LN(2)/2)*AB103+(1-EXP(-LN(2)/2))/(LN(2)/2)*V104*Y104*VLOOKUP('Données projet'!$B$9,Paramètres!$A$1:$I$89,3,0)*0.475*44/12</f>
        <v>1.5418957613525062E-7</v>
      </c>
      <c r="AC104" s="22">
        <f t="shared" si="57"/>
        <v>75.77202000751943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320.33056209214476</v>
      </c>
      <c r="AO104" s="59">
        <f t="shared" si="90"/>
        <v>299.27200854723446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37.784134531339959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37.784134531339959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256.85706398254547</v>
      </c>
      <c r="BJ104" s="59">
        <f t="shared" si="92"/>
        <v>363.68094621014734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65.011628108447113</v>
      </c>
      <c r="BQ104" s="21">
        <f>EXP(-LN(2)/25)*BQ103+(1-EXP(-LN(2)/25))/(LN(2)/25)*Calculateur!BL104*Calculateur!BN104*VLOOKUP('Données projet'!$B$11,Paramètres!$A$1:$I$89,3,0)*0.475*44/12</f>
        <v>17.310066384742949</v>
      </c>
      <c r="BR104" s="21">
        <f>EXP(-LN(2)/2)*BR103+(1-EXP(-LN(2)/2))/(LN(2)/2)*BL104*BO104*VLOOKUP('Données projet'!$B$11,Paramètres!$A$1:$I$89,3,0)*0.475*44/12</f>
        <v>1.4594628613949815E-5</v>
      </c>
      <c r="BS104" s="22">
        <f t="shared" si="63"/>
        <v>82.321709087818675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7.3</v>
      </c>
      <c r="BY104" s="12">
        <f>IF('Données projet'!$A$114&gt;35,BY103+BX104-CG103,IF(A104&lt;'Données projet'!$A$114,$BV$205^A104,IF(A104='Données projet'!$A$114,'Données projet'!$B$114,BY103+BX104-CG103)))</f>
        <v>328.40000000000003</v>
      </c>
      <c r="BZ104" s="13">
        <f>BY104*VLOOKUP('Données projet'!$B$12,Paramètres!$A$1:$I$89,3,0)*VLOOKUP('Données projet'!$B$12,Paramètres!$A$1:$I$89,5,0)</f>
        <v>297.13632000000001</v>
      </c>
      <c r="CA104" s="13">
        <f t="shared" si="93"/>
        <v>70.575791442012573</v>
      </c>
      <c r="CB104" s="20">
        <f t="shared" si="64"/>
        <v>640.43192742817189</v>
      </c>
      <c r="CC104" s="59">
        <f t="shared" si="65"/>
        <v>918.11231997524624</v>
      </c>
      <c r="CD104" s="59">
        <f ca="1">AVERAGE(OFFSET($CC$3,0,0,'Données projet'!$E$12+1,1))-AVERAGE(OFFSET($H$3,0,0,'Données projet'!$E$12+1,1))</f>
        <v>357.68828740212223</v>
      </c>
      <c r="CE104" s="59">
        <f t="shared" si="94"/>
        <v>236.76626845829483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22.593877563232091</v>
      </c>
      <c r="CL104" s="21">
        <f>EXP(-LN(2)/25)*CL103+(1-EXP(-LN(2)/25))/(LN(2)/25)*Calculateur!CG104*Calculateur!CI104*VLOOKUP('Données projet'!$B$12,Paramètres!$A$1:$I$89,3,0)*0.475*44/12</f>
        <v>18.560513154088198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41.15439071732029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257.00000000000006</v>
      </c>
      <c r="CU104" s="17">
        <f>CT104*VLOOKUP('Données projet'!$B$13,Paramètres!$A$1:$I$89,3,0)*VLOOKUP('Données projet'!$B$13,Paramètres!$A$1:$I$89,5,0)</f>
        <v>168.38640000000004</v>
      </c>
      <c r="CV104" s="13">
        <f t="shared" si="95"/>
        <v>42.728430513203243</v>
      </c>
      <c r="CW104" s="20">
        <f t="shared" si="67"/>
        <v>367.69166314382898</v>
      </c>
      <c r="CX104" s="59">
        <f t="shared" si="68"/>
        <v>645.37205569090338</v>
      </c>
      <c r="CY104" s="59">
        <f ca="1">AVERAGE(OFFSET($CX$3,0,0,'Données projet'!$E$13+1,1))-AVERAGE(OFFSET($H$3,0,0,'Données projet'!$E$13+1,1))</f>
        <v>220.18342986563667</v>
      </c>
      <c r="CZ104" s="59">
        <f t="shared" si="96"/>
        <v>347.84382145531163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2.1184617205419037E-10</v>
      </c>
      <c r="DI104" s="22">
        <f t="shared" si="69"/>
        <v>2.1184617205419037E-10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7.3</v>
      </c>
      <c r="DO104" s="12">
        <f>IF('Données projet'!$A$166&gt;35,DO103+DN104-DW103,IF(A104&lt;'Données projet'!$A$166,$DL$205^A104,IF(A104='Données projet'!$A$166,'Données projet'!$B$166,DO103+DN104-DW103)))</f>
        <v>328.40000000000003</v>
      </c>
      <c r="DP104" s="17">
        <f>DO104*VLOOKUP('Données projet'!$B$14,Paramètres!$A$1:$I$89,3,0)*VLOOKUP('Données projet'!$B$14,Paramètres!$A$1:$I$89,5,0)</f>
        <v>332.99760000000009</v>
      </c>
      <c r="DQ104" s="13">
        <f t="shared" si="97"/>
        <v>78.051458680249482</v>
      </c>
      <c r="DR104" s="20">
        <f t="shared" si="70"/>
        <v>715.91044386810142</v>
      </c>
      <c r="DS104" s="59">
        <f t="shared" si="71"/>
        <v>993.59083641517577</v>
      </c>
      <c r="DT104" s="59">
        <f ca="1">AVERAGE(OFFSET($DS$3,0,0,'Données projet'!$E$14+1,1))-AVERAGE(OFFSET($H$3,0,0,'Données projet'!$E$14+1,1))</f>
        <v>392.49465607243178</v>
      </c>
      <c r="DU104" s="59">
        <f t="shared" si="98"/>
        <v>258.031856676031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25.32072485534631</v>
      </c>
      <c r="EB104" s="21">
        <f>EXP(-LN(2)/25)*EB103+(1-EXP(-LN(2)/25))/(LN(2)/25)*Calculateur!DW104*Calculateur!DY104*VLOOKUP('Données projet'!$B$14,Paramètres!$A$1:$I$89,3,0)*0.475*44/12</f>
        <v>20.800575086478155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46.121299941824461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294.24530606293143</v>
      </c>
      <c r="EP104" s="59">
        <f t="shared" si="100"/>
        <v>275.88160405468193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94.166330178902285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94.166330178902285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1.1368683772161603E-13</v>
      </c>
      <c r="FF104" s="17">
        <f>FE104*VLOOKUP('Données projet'!$B$16,Paramètres!$A$1:$I$89,3,0)*VLOOKUP('Données projet'!$B$16,Paramètres!$A$1:$I$89,5,0)</f>
        <v>8.3355189417488869E-14</v>
      </c>
      <c r="FG104" s="13">
        <f t="shared" si="101"/>
        <v>1.2790518435140618E-12</v>
      </c>
      <c r="FH104" s="20">
        <f t="shared" si="76"/>
        <v>2.3728589156891171E-12</v>
      </c>
      <c r="FI104" s="59">
        <f t="shared" si="77"/>
        <v>277.68039254707679</v>
      </c>
      <c r="FJ104" s="59">
        <f ca="1">AVERAGE(OFFSET($FI$3,0,0,'Données projet'!$E$16+1,1))-AVERAGE(OFFSET($H$3,0,0,'Données projet'!$E$16+1,1))</f>
        <v>214.31585175697521</v>
      </c>
      <c r="FK104" s="59">
        <f t="shared" si="102"/>
        <v>244.60383864821372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43.731475225109598</v>
      </c>
      <c r="FR104" s="21">
        <f>EXP(-LN(2)/25)*FR103+(1-EXP(-LN(2)/25))/(LN(2)/25)*Calculateur!FM104*Calculateur!FO104*VLOOKUP('Données projet'!$B$16,Paramètres!$A$1:$I$89,3,0)*0.475*44/12</f>
        <v>0</v>
      </c>
      <c r="FS104" s="21">
        <f>EXP(-LN(2)/2)*FS103+(1-EXP(-LN(2)/2))/(LN(2)/2)*FM104*FP104*VLOOKUP('Données projet'!$B$16,Paramètres!$A$1:$I$89,3,0)*0.475*44/12</f>
        <v>0</v>
      </c>
      <c r="FT104" s="22">
        <f t="shared" si="78"/>
        <v>43.731475225109598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-5.6843418860808015E-14</v>
      </c>
      <c r="GA104" s="17">
        <f>FZ104*VLOOKUP('Données projet'!$B$17,Paramètres!$A$1:$I$89,3,0)*VLOOKUP('Données projet'!$B$17,Paramètres!$A$1:$I$89,5,0)</f>
        <v>-4.5224624045658861E-14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308.33954512886351</v>
      </c>
      <c r="GF104" s="59">
        <f t="shared" si="104"/>
        <v>408.79075392716277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60.552835988191745</v>
      </c>
      <c r="GM104" s="21">
        <f>EXP(-LN(2)/25)*GM103+(1-EXP(-LN(2)/25))/(LN(2)/25)*Calculateur!GH104*Calculateur!GJ104*VLOOKUP('Données projet'!$B$17,Paramètres!$A$1:$I$89,3,0)*0.475*44/12</f>
        <v>0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60.552835988191745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342.84342155097613</v>
      </c>
      <c r="T105" s="59">
        <f t="shared" si="88"/>
        <v>565.68976940602215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55.953166342440845</v>
      </c>
      <c r="AA105" s="21">
        <f>EXP(-LN(2)/25)*AA104+(1-EXP(-LN(2)/25))/(LN(2)/25)*Calculateur!V105*Calculateur!X105*VLOOKUP('Données projet'!$B$9,Paramètres!$A$1:$I$89,3,0)*0.475*44/12</f>
        <v>18.188355848348777</v>
      </c>
      <c r="AB105" s="21">
        <f>EXP(-LN(2)/2)*AB104+(1-EXP(-LN(2)/2))/(LN(2)/2)*V105*Y105*VLOOKUP('Données projet'!$B$9,Paramètres!$A$1:$I$89,3,0)*0.475*44/12</f>
        <v>1.0902849487351517E-7</v>
      </c>
      <c r="AC105" s="22">
        <f t="shared" si="57"/>
        <v>74.141522299818121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320.33056209214476</v>
      </c>
      <c r="AO105" s="59">
        <f t="shared" si="90"/>
        <v>299.27200854723446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36.750925385599189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36.750925385599189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256.85706398254547</v>
      </c>
      <c r="BJ105" s="59">
        <f t="shared" si="92"/>
        <v>363.68094621014734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63.736789734418181</v>
      </c>
      <c r="BQ105" s="21">
        <f>EXP(-LN(2)/25)*BQ104+(1-EXP(-LN(2)/25))/(LN(2)/25)*Calculateur!BL105*Calculateur!BN105*VLOOKUP('Données projet'!$B$11,Paramètres!$A$1:$I$89,3,0)*0.475*44/12</f>
        <v>16.836721709155324</v>
      </c>
      <c r="BR105" s="21">
        <f>EXP(-LN(2)/2)*BR104+(1-EXP(-LN(2)/2))/(LN(2)/2)*BL105*BO105*VLOOKUP('Données projet'!$B$11,Paramètres!$A$1:$I$89,3,0)*0.475*44/12</f>
        <v>1.0319960861823137E-5</v>
      </c>
      <c r="BS105" s="22">
        <f t="shared" si="63"/>
        <v>80.573521763534373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7.3</v>
      </c>
      <c r="BY105" s="12">
        <f>IF('Données projet'!$A$114&gt;35,BY104+BX105-CG104,IF(A105&lt;'Données projet'!$A$114,$BV$205^A105,IF(A105='Données projet'!$A$114,'Données projet'!$B$114,BY104+BX105-CG104)))</f>
        <v>335.70000000000005</v>
      </c>
      <c r="BZ105" s="13">
        <f>BY105*VLOOKUP('Données projet'!$B$12,Paramètres!$A$1:$I$89,3,0)*VLOOKUP('Données projet'!$B$12,Paramètres!$A$1:$I$89,5,0)</f>
        <v>303.74136000000004</v>
      </c>
      <c r="CA105" s="13">
        <f t="shared" si="93"/>
        <v>71.960229576228045</v>
      </c>
      <c r="CB105" s="20">
        <f t="shared" si="64"/>
        <v>654.34693517859716</v>
      </c>
      <c r="CC105" s="59">
        <f t="shared" si="65"/>
        <v>932.29887125358005</v>
      </c>
      <c r="CD105" s="59">
        <f ca="1">AVERAGE(OFFSET($CC$3,0,0,'Données projet'!$E$12+1,1))-AVERAGE(OFFSET($H$3,0,0,'Données projet'!$E$12+1,1))</f>
        <v>357.68828740212223</v>
      </c>
      <c r="CE105" s="59">
        <f t="shared" si="94"/>
        <v>236.76626845829483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22.150825405121672</v>
      </c>
      <c r="CL105" s="21">
        <f>EXP(-LN(2)/25)*CL104+(1-EXP(-LN(2)/25))/(LN(2)/25)*Calculateur!CG105*Calculateur!CI105*VLOOKUP('Données projet'!$B$12,Paramètres!$A$1:$I$89,3,0)*0.475*44/12</f>
        <v>18.052974945834691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40.203800350956364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257.00000000000006</v>
      </c>
      <c r="CU105" s="17">
        <f>CT105*VLOOKUP('Données projet'!$B$13,Paramètres!$A$1:$I$89,3,0)*VLOOKUP('Données projet'!$B$13,Paramètres!$A$1:$I$89,5,0)</f>
        <v>168.38640000000004</v>
      </c>
      <c r="CV105" s="13">
        <f t="shared" si="95"/>
        <v>42.728430513203243</v>
      </c>
      <c r="CW105" s="20">
        <f t="shared" si="67"/>
        <v>367.69166314382898</v>
      </c>
      <c r="CX105" s="59">
        <f t="shared" si="68"/>
        <v>645.64359921881191</v>
      </c>
      <c r="CY105" s="59">
        <f ca="1">AVERAGE(OFFSET($CX$3,0,0,'Données projet'!$E$13+1,1))-AVERAGE(OFFSET($H$3,0,0,'Données projet'!$E$13+1,1))</f>
        <v>220.18342986563667</v>
      </c>
      <c r="CZ105" s="59">
        <f t="shared" si="96"/>
        <v>347.84382145531163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1.4979786482793009E-10</v>
      </c>
      <c r="DI105" s="22">
        <f t="shared" si="69"/>
        <v>1.4979786482793009E-10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7.3</v>
      </c>
      <c r="DO105" s="12">
        <f>IF('Données projet'!$A$166&gt;35,DO104+DN105-DW104,IF(A105&lt;'Données projet'!$A$166,$DL$205^A105,IF(A105='Données projet'!$A$166,'Données projet'!$B$166,DO104+DN105-DW104)))</f>
        <v>335.70000000000005</v>
      </c>
      <c r="DP105" s="17">
        <f>DO105*VLOOKUP('Données projet'!$B$14,Paramètres!$A$1:$I$89,3,0)*VLOOKUP('Données projet'!$B$14,Paramètres!$A$1:$I$89,5,0)</f>
        <v>340.39980000000008</v>
      </c>
      <c r="DQ105" s="13">
        <f t="shared" si="97"/>
        <v>79.582541982614856</v>
      </c>
      <c r="DR105" s="20">
        <f t="shared" si="70"/>
        <v>731.46924561972082</v>
      </c>
      <c r="DS105" s="59">
        <f t="shared" si="71"/>
        <v>1009.4211816947038</v>
      </c>
      <c r="DT105" s="59">
        <f ca="1">AVERAGE(OFFSET($DS$3,0,0,'Données projet'!$E$14+1,1))-AVERAGE(OFFSET($H$3,0,0,'Données projet'!$E$14+1,1))</f>
        <v>392.49465607243178</v>
      </c>
      <c r="DU105" s="59">
        <f t="shared" si="98"/>
        <v>258.031856676031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24.82420088505015</v>
      </c>
      <c r="EB105" s="21">
        <f>EXP(-LN(2)/25)*EB104+(1-EXP(-LN(2)/25))/(LN(2)/25)*Calculateur!DW105*Calculateur!DY105*VLOOKUP('Données projet'!$B$14,Paramètres!$A$1:$I$89,3,0)*0.475*44/12</f>
        <v>20.231782266883705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45.055983151933859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294.24530606293143</v>
      </c>
      <c r="EP105" s="59">
        <f t="shared" si="100"/>
        <v>275.88160405468193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92.319785879884108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92.319785879884108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1.1368683772161603E-13</v>
      </c>
      <c r="FF105" s="17">
        <f>FE105*VLOOKUP('Données projet'!$B$16,Paramètres!$A$1:$I$89,3,0)*VLOOKUP('Données projet'!$B$16,Paramètres!$A$1:$I$89,5,0)</f>
        <v>8.3355189417488869E-14</v>
      </c>
      <c r="FG105" s="13">
        <f t="shared" si="101"/>
        <v>1.2790518435140618E-12</v>
      </c>
      <c r="FH105" s="20">
        <f t="shared" si="76"/>
        <v>2.3728589156891171E-12</v>
      </c>
      <c r="FI105" s="59">
        <f t="shared" si="77"/>
        <v>277.95193607498533</v>
      </c>
      <c r="FJ105" s="59">
        <f ca="1">AVERAGE(OFFSET($FI$3,0,0,'Données projet'!$E$16+1,1))-AVERAGE(OFFSET($H$3,0,0,'Données projet'!$E$16+1,1))</f>
        <v>214.31585175697521</v>
      </c>
      <c r="FK105" s="59">
        <f t="shared" si="102"/>
        <v>244.60383864821372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42.873927669511289</v>
      </c>
      <c r="FR105" s="21">
        <f>EXP(-LN(2)/25)*FR104+(1-EXP(-LN(2)/25))/(LN(2)/25)*Calculateur!FM105*Calculateur!FO105*VLOOKUP('Données projet'!$B$16,Paramètres!$A$1:$I$89,3,0)*0.475*44/12</f>
        <v>0</v>
      </c>
      <c r="FS105" s="21">
        <f>EXP(-LN(2)/2)*FS104+(1-EXP(-LN(2)/2))/(LN(2)/2)*FM105*FP105*VLOOKUP('Données projet'!$B$16,Paramètres!$A$1:$I$89,3,0)*0.475*44/12</f>
        <v>0</v>
      </c>
      <c r="FT105" s="22">
        <f t="shared" si="78"/>
        <v>42.873927669511289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-5.6843418860808015E-14</v>
      </c>
      <c r="GA105" s="17">
        <f>FZ105*VLOOKUP('Données projet'!$B$17,Paramètres!$A$1:$I$89,3,0)*VLOOKUP('Données projet'!$B$17,Paramètres!$A$1:$I$89,5,0)</f>
        <v>-4.5224624045658861E-14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308.33954512886351</v>
      </c>
      <c r="GF105" s="59">
        <f t="shared" si="104"/>
        <v>408.79075392716277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59.365431808046367</v>
      </c>
      <c r="GM105" s="21">
        <f>EXP(-LN(2)/25)*GM104+(1-EXP(-LN(2)/25))/(LN(2)/25)*Calculateur!GH105*Calculateur!GJ105*VLOOKUP('Données projet'!$B$17,Paramètres!$A$1:$I$89,3,0)*0.475*44/12</f>
        <v>0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59.365431808046367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342.84342155097613</v>
      </c>
      <c r="T106" s="59">
        <f t="shared" si="88"/>
        <v>565.68976940602215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54.855958878527183</v>
      </c>
      <c r="AA106" s="21">
        <f>EXP(-LN(2)/25)*AA105+(1-EXP(-LN(2)/25))/(LN(2)/25)*Calculateur!V106*Calculateur!X106*VLOOKUP('Données projet'!$B$9,Paramètres!$A$1:$I$89,3,0)*0.475*44/12</f>
        <v>17.690994301191616</v>
      </c>
      <c r="AB106" s="21">
        <f>EXP(-LN(2)/2)*AB105+(1-EXP(-LN(2)/2))/(LN(2)/2)*V106*Y106*VLOOKUP('Données projet'!$B$9,Paramètres!$A$1:$I$89,3,0)*0.475*44/12</f>
        <v>7.7094788067625312E-8</v>
      </c>
      <c r="AC106" s="22">
        <f t="shared" si="57"/>
        <v>72.54695325681358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320.33056209214476</v>
      </c>
      <c r="AO106" s="59">
        <f t="shared" si="90"/>
        <v>299.27200854723446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35.74596939828281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35.74596939828281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256.85706398254547</v>
      </c>
      <c r="BJ106" s="59">
        <f t="shared" si="92"/>
        <v>363.68094621014734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62.486950163329332</v>
      </c>
      <c r="BQ106" s="21">
        <f>EXP(-LN(2)/25)*BQ105+(1-EXP(-LN(2)/25))/(LN(2)/25)*Calculateur!BL106*Calculateur!BN106*VLOOKUP('Données projet'!$B$11,Paramètres!$A$1:$I$89,3,0)*0.475*44/12</f>
        <v>16.376320668613758</v>
      </c>
      <c r="BR106" s="21">
        <f>EXP(-LN(2)/2)*BR105+(1-EXP(-LN(2)/2))/(LN(2)/2)*BL106*BO106*VLOOKUP('Données projet'!$B$11,Paramètres!$A$1:$I$89,3,0)*0.475*44/12</f>
        <v>7.2973143069749074E-6</v>
      </c>
      <c r="BS106" s="22">
        <f t="shared" si="63"/>
        <v>78.863278129257395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>
        <f>VLOOKUP(A106,'Données projet'!$A$113:$I$133,2,0)</f>
        <v>343</v>
      </c>
      <c r="BW106" s="12">
        <f>VLOOKUP(A106,'Données projet'!$A$113:$I$133,9,0)</f>
        <v>7.3</v>
      </c>
      <c r="BX106" s="12">
        <f t="array" ref="BX106">INDEX(BW:BW,MIN(IF(ISNUMBER(BW106:BW302),ROW(BW106:BW302),"")))</f>
        <v>7.3</v>
      </c>
      <c r="BY106" s="12">
        <f>IF('Données projet'!$A$114&gt;35,BY105+BX106-CG105,IF(A106&lt;'Données projet'!$A$114,$BV$205^A106,IF(A106='Données projet'!$A$114,'Données projet'!$B$114,BY105+BX106-CG105)))</f>
        <v>343.00000000000006</v>
      </c>
      <c r="BZ106" s="13">
        <f>BY106*VLOOKUP('Données projet'!$B$12,Paramètres!$A$1:$I$89,3,0)*VLOOKUP('Données projet'!$B$12,Paramètres!$A$1:$I$89,5,0)</f>
        <v>310.34640000000007</v>
      </c>
      <c r="CA106" s="13">
        <f t="shared" si="93"/>
        <v>73.341167576153055</v>
      </c>
      <c r="CB106" s="20">
        <f t="shared" si="64"/>
        <v>668.25584686180002</v>
      </c>
      <c r="CC106" s="59">
        <f t="shared" si="65"/>
        <v>946.47461579156266</v>
      </c>
      <c r="CD106" s="59">
        <f ca="1">AVERAGE(OFFSET($CC$3,0,0,'Données projet'!$E$12+1,1))-AVERAGE(OFFSET($H$3,0,0,'Données projet'!$E$12+1,1))</f>
        <v>357.68828740212223</v>
      </c>
      <c r="CE106" s="59">
        <f t="shared" si="94"/>
        <v>236.76626845829483</v>
      </c>
      <c r="CF106" s="15">
        <f>IF(ISNA(VLOOKUP(A106,'Données projet'!$A$113:$I$133,3,0)),0,VLOOKUP(A106,'Données projet'!$A$113:$I$133,3,0))</f>
        <v>8</v>
      </c>
      <c r="CG106" s="15">
        <f>IF(ISNA(VLOOKUP(A106,'Données projet'!$A$113:$I$133,4,0)),0,VLOOKUP(A106,'Données projet'!$A$113:$I$133,4,0))</f>
        <v>343</v>
      </c>
      <c r="CH106" s="16">
        <f>IF(ISNA(VLOOKUP(A106,'Données projet'!$A$113:$I$133,5,0)),0%,VLOOKUP(A106,'Données projet'!$A$113:$I$133,5,0)*VLOOKUP('Données projet'!$B$12,Paramètres!$A$1:$I$89,7,0))</f>
        <v>0.215</v>
      </c>
      <c r="CI106" s="16">
        <f>IF(ISNA(VLOOKUP(A106,'Données projet'!$A$113:$I$133,6,0)),0%,VLOOKUP(A106,'Données projet'!$A$113:$I$133,6,0)*VLOOKUP('Données projet'!$B$12,Paramètres!$A$1:$I$89,7,0))</f>
        <v>0.17200000000000001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95.47839303745387</v>
      </c>
      <c r="CL106" s="21">
        <f>EXP(-LN(2)/25)*CL105+(1-EXP(-LN(2)/25))/(LN(2)/25)*Calculateur!CG106*Calculateur!CI106*VLOOKUP('Données projet'!$B$12,Paramètres!$A$1:$I$89,3,0)*0.475*44/12</f>
        <v>76.336517778040331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171.81491081549422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257.00000000000006</v>
      </c>
      <c r="CU106" s="17">
        <f>CT106*VLOOKUP('Données projet'!$B$13,Paramètres!$A$1:$I$89,3,0)*VLOOKUP('Données projet'!$B$13,Paramètres!$A$1:$I$89,5,0)</f>
        <v>168.38640000000004</v>
      </c>
      <c r="CV106" s="13">
        <f t="shared" si="95"/>
        <v>42.728430513203243</v>
      </c>
      <c r="CW106" s="20">
        <f t="shared" si="67"/>
        <v>367.69166314382898</v>
      </c>
      <c r="CX106" s="59">
        <f t="shared" si="68"/>
        <v>645.91043207359166</v>
      </c>
      <c r="CY106" s="59">
        <f ca="1">AVERAGE(OFFSET($CX$3,0,0,'Données projet'!$E$13+1,1))-AVERAGE(OFFSET($H$3,0,0,'Données projet'!$E$13+1,1))</f>
        <v>220.18342986563667</v>
      </c>
      <c r="CZ106" s="59">
        <f t="shared" si="96"/>
        <v>347.84382145531163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1.0592308602709519E-10</v>
      </c>
      <c r="DI106" s="22">
        <f t="shared" si="69"/>
        <v>1.0592308602709519E-10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>
        <f>VLOOKUP(A106,'Données projet'!$A$165:$I$185,2,0)</f>
        <v>343</v>
      </c>
      <c r="DM106" s="12">
        <f>VLOOKUP(A106,'Données projet'!$A$165:$I$185,9,0)</f>
        <v>7.3</v>
      </c>
      <c r="DN106" s="12">
        <f t="array" ref="DN106">INDEX(DM:DM,MIN(IF(ISNUMBER(DM106:DM302),ROW(DM106:DM302),"")))</f>
        <v>7.3</v>
      </c>
      <c r="DO106" s="12">
        <f>IF('Données projet'!$A$166&gt;35,DO105+DN106-DW105,IF(A106&lt;'Données projet'!$A$166,$DL$205^A106,IF(A106='Données projet'!$A$166,'Données projet'!$B$166,DO105+DN106-DW105)))</f>
        <v>343.00000000000006</v>
      </c>
      <c r="DP106" s="17">
        <f>DO106*VLOOKUP('Données projet'!$B$14,Paramètres!$A$1:$I$89,3,0)*VLOOKUP('Données projet'!$B$14,Paramètres!$A$1:$I$89,5,0)</f>
        <v>347.80200000000008</v>
      </c>
      <c r="DQ106" s="13">
        <f t="shared" si="97"/>
        <v>81.109754402608573</v>
      </c>
      <c r="DR106" s="20">
        <f t="shared" si="70"/>
        <v>747.02130558454337</v>
      </c>
      <c r="DS106" s="59">
        <f t="shared" si="71"/>
        <v>1025.2400745143061</v>
      </c>
      <c r="DT106" s="59">
        <f ca="1">AVERAGE(OFFSET($DS$3,0,0,'Données projet'!$E$14+1,1))-AVERAGE(OFFSET($H$3,0,0,'Données projet'!$E$14+1,1))</f>
        <v>392.49465607243178</v>
      </c>
      <c r="DU106" s="59">
        <f t="shared" si="98"/>
        <v>258.031856676031</v>
      </c>
      <c r="DV106" s="15">
        <f>IF(ISNA(VLOOKUP(A106,'Données projet'!$A$165:$I$185,3,0)),0,VLOOKUP(A106,'Données projet'!$A$165:$I$185,3,0))</f>
        <v>8</v>
      </c>
      <c r="DW106" s="15">
        <f>IF(ISNA(VLOOKUP(A106,'Données projet'!$A$165:$I$185,4,0)),0,VLOOKUP(A106,'Données projet'!$A$165:$I$185,4,0))</f>
        <v>343</v>
      </c>
      <c r="DX106" s="16">
        <f>IF(ISNA(VLOOKUP(A106,'Données projet'!$A$165:$I$185,5,0)),0%,VLOOKUP(A106,'Données projet'!$A$165:$I$185,5,0)*VLOOKUP('Données projet'!$B$14,Paramètres!$A$1:$I$89,7,0))</f>
        <v>0.215</v>
      </c>
      <c r="DY106" s="16">
        <f>IF(ISNA(VLOOKUP(A106,'Données projet'!$A$165:$I$185,6,0)),0%,VLOOKUP(A106,'Données projet'!$A$165:$I$185,6,0)*VLOOKUP('Données projet'!$B$14,Paramètres!$A$1:$I$89,7,0))</f>
        <v>0.17200000000000001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107.00164736956039</v>
      </c>
      <c r="EB106" s="21">
        <f>EXP(-LN(2)/25)*EB105+(1-EXP(-LN(2)/25))/(LN(2)/25)*Calculateur!DW106*Calculateur!DY106*VLOOKUP('Données projet'!$B$14,Paramètres!$A$1:$I$89,3,0)*0.475*44/12</f>
        <v>85.549545785734878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192.55119315529527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294.24530606293143</v>
      </c>
      <c r="EP106" s="59">
        <f t="shared" si="100"/>
        <v>275.88160405468193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90.509451188288864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90.509451188288864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1.1368683772161603E-13</v>
      </c>
      <c r="FF106" s="17">
        <f>FE106*VLOOKUP('Données projet'!$B$16,Paramètres!$A$1:$I$89,3,0)*VLOOKUP('Données projet'!$B$16,Paramètres!$A$1:$I$89,5,0)</f>
        <v>8.3355189417488869E-14</v>
      </c>
      <c r="FG106" s="13">
        <f t="shared" si="101"/>
        <v>1.2790518435140618E-12</v>
      </c>
      <c r="FH106" s="20">
        <f t="shared" si="76"/>
        <v>2.3728589156891171E-12</v>
      </c>
      <c r="FI106" s="59">
        <f t="shared" si="77"/>
        <v>278.21876892976508</v>
      </c>
      <c r="FJ106" s="59">
        <f ca="1">AVERAGE(OFFSET($FI$3,0,0,'Données projet'!$E$16+1,1))-AVERAGE(OFFSET($H$3,0,0,'Données projet'!$E$16+1,1))</f>
        <v>214.31585175697521</v>
      </c>
      <c r="FK106" s="59">
        <f t="shared" si="102"/>
        <v>244.60383864821372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42.033196098425904</v>
      </c>
      <c r="FR106" s="21">
        <f>EXP(-LN(2)/25)*FR105+(1-EXP(-LN(2)/25))/(LN(2)/25)*Calculateur!FM106*Calculateur!FO106*VLOOKUP('Données projet'!$B$16,Paramètres!$A$1:$I$89,3,0)*0.475*44/12</f>
        <v>0</v>
      </c>
      <c r="FS106" s="21">
        <f>EXP(-LN(2)/2)*FS105+(1-EXP(-LN(2)/2))/(LN(2)/2)*FM106*FP106*VLOOKUP('Données projet'!$B$16,Paramètres!$A$1:$I$89,3,0)*0.475*44/12</f>
        <v>0</v>
      </c>
      <c r="FT106" s="22">
        <f t="shared" si="78"/>
        <v>42.033196098425904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-5.6843418860808015E-14</v>
      </c>
      <c r="GA106" s="17">
        <f>FZ106*VLOOKUP('Données projet'!$B$17,Paramètres!$A$1:$I$89,3,0)*VLOOKUP('Données projet'!$B$17,Paramètres!$A$1:$I$89,5,0)</f>
        <v>-4.5224624045658861E-14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308.33954512886351</v>
      </c>
      <c r="GF106" s="59">
        <f t="shared" si="104"/>
        <v>408.79075392716277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58.201311899628607</v>
      </c>
      <c r="GM106" s="21">
        <f>EXP(-LN(2)/25)*GM105+(1-EXP(-LN(2)/25))/(LN(2)/25)*Calculateur!GH106*Calculateur!GJ106*VLOOKUP('Données projet'!$B$17,Paramètres!$A$1:$I$89,3,0)*0.475*44/12</f>
        <v>0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58.201311899628607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342.84342155097613</v>
      </c>
      <c r="T107" s="59">
        <f t="shared" si="88"/>
        <v>565.68976940602215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53.780266983750394</v>
      </c>
      <c r="AA107" s="21">
        <f>EXP(-LN(2)/25)*AA106+(1-EXP(-LN(2)/25))/(LN(2)/25)*Calculateur!V107*Calculateur!X107*VLOOKUP('Données projet'!$B$9,Paramètres!$A$1:$I$89,3,0)*0.475*44/12</f>
        <v>17.207233131696572</v>
      </c>
      <c r="AB107" s="21">
        <f>EXP(-LN(2)/2)*AB106+(1-EXP(-LN(2)/2))/(LN(2)/2)*V107*Y107*VLOOKUP('Données projet'!$B$9,Paramètres!$A$1:$I$89,3,0)*0.475*44/12</f>
        <v>5.4514247436757587E-8</v>
      </c>
      <c r="AC107" s="22">
        <f t="shared" si="57"/>
        <v>70.987500169961208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320.33056209214476</v>
      </c>
      <c r="AO107" s="59">
        <f t="shared" si="90"/>
        <v>299.27200854723446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34.768493985287932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34.768493985287932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256.85706398254547</v>
      </c>
      <c r="BJ107" s="59">
        <f t="shared" si="92"/>
        <v>363.68094621014734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61.261619183902674</v>
      </c>
      <c r="BQ107" s="21">
        <f>EXP(-LN(2)/25)*BQ106+(1-EXP(-LN(2)/25))/(LN(2)/25)*Calculateur!BL107*Calculateur!BN107*VLOOKUP('Données projet'!$B$11,Paramètres!$A$1:$I$89,3,0)*0.475*44/12</f>
        <v>15.928509318737239</v>
      </c>
      <c r="BR107" s="21">
        <f>EXP(-LN(2)/2)*BR106+(1-EXP(-LN(2)/2))/(LN(2)/2)*BL107*BO107*VLOOKUP('Données projet'!$B$11,Paramètres!$A$1:$I$89,3,0)*0.475*44/12</f>
        <v>5.1599804309115685E-6</v>
      </c>
      <c r="BS107" s="22">
        <f t="shared" si="63"/>
        <v>77.19013366262034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5.6843418860808015E-14</v>
      </c>
      <c r="BZ107" s="13">
        <f>BY107*VLOOKUP('Données projet'!$B$12,Paramètres!$A$1:$I$89,3,0)*VLOOKUP('Données projet'!$B$12,Paramètres!$A$1:$I$89,5,0)</f>
        <v>5.1431925385259088E-14</v>
      </c>
      <c r="CA107" s="13">
        <f t="shared" si="93"/>
        <v>8.3482866290946129E-13</v>
      </c>
      <c r="CB107" s="20">
        <f t="shared" si="64"/>
        <v>1.5435705246133045E-12</v>
      </c>
      <c r="CC107" s="59">
        <f t="shared" si="65"/>
        <v>278.48097283106245</v>
      </c>
      <c r="CD107" s="59">
        <f ca="1">AVERAGE(OFFSET($CC$3,0,0,'Données projet'!$E$12+1,1))-AVERAGE(OFFSET($H$3,0,0,'Données projet'!$E$12+1,1))</f>
        <v>357.68828740212223</v>
      </c>
      <c r="CE107" s="59">
        <f t="shared" si="94"/>
        <v>236.76626845829483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93.606119986058815</v>
      </c>
      <c r="CL107" s="21">
        <f>EXP(-LN(2)/25)*CL106+(1-EXP(-LN(2)/25))/(LN(2)/25)*Calculateur!CG107*Calculateur!CI107*VLOOKUP('Données projet'!$B$12,Paramètres!$A$1:$I$89,3,0)*0.475*44/12</f>
        <v>74.249091685036817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167.85521167109562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257.00000000000006</v>
      </c>
      <c r="CU107" s="17">
        <f>CT107*VLOOKUP('Données projet'!$B$13,Paramètres!$A$1:$I$89,3,0)*VLOOKUP('Données projet'!$B$13,Paramètres!$A$1:$I$89,5,0)</f>
        <v>168.38640000000004</v>
      </c>
      <c r="CV107" s="13">
        <f t="shared" si="95"/>
        <v>42.728430513203243</v>
      </c>
      <c r="CW107" s="20">
        <f t="shared" si="67"/>
        <v>367.69166314382898</v>
      </c>
      <c r="CX107" s="59">
        <f t="shared" si="68"/>
        <v>646.17263597488989</v>
      </c>
      <c r="CY107" s="59">
        <f ca="1">AVERAGE(OFFSET($CX$3,0,0,'Données projet'!$E$13+1,1))-AVERAGE(OFFSET($H$3,0,0,'Données projet'!$E$13+1,1))</f>
        <v>220.18342986563667</v>
      </c>
      <c r="CZ107" s="59">
        <f t="shared" si="96"/>
        <v>347.84382145531163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7.4898932413965043E-11</v>
      </c>
      <c r="DI107" s="22">
        <f t="shared" si="69"/>
        <v>7.4898932413965043E-11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5.7639226724859328E-14</v>
      </c>
      <c r="DQ107" s="13">
        <f t="shared" si="97"/>
        <v>9.2325701996134334E-13</v>
      </c>
      <c r="DR107" s="20">
        <f t="shared" si="70"/>
        <v>1.708394296311803E-12</v>
      </c>
      <c r="DS107" s="59">
        <f t="shared" si="71"/>
        <v>278.48097283106262</v>
      </c>
      <c r="DT107" s="59">
        <f ca="1">AVERAGE(OFFSET($DS$3,0,0,'Données projet'!$E$14+1,1))-AVERAGE(OFFSET($H$3,0,0,'Données projet'!$E$14+1,1))</f>
        <v>392.49465607243178</v>
      </c>
      <c r="DU107" s="59">
        <f t="shared" si="98"/>
        <v>258.031856676031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104.90341032920387</v>
      </c>
      <c r="EB107" s="21">
        <f>EXP(-LN(2)/25)*EB106+(1-EXP(-LN(2)/25))/(LN(2)/25)*Calculateur!DW107*Calculateur!DY107*VLOOKUP('Données projet'!$B$14,Paramètres!$A$1:$I$89,3,0)*0.475*44/12</f>
        <v>83.210188957368871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188.11359928657274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294.24530606293143</v>
      </c>
      <c r="EP107" s="59">
        <f t="shared" si="100"/>
        <v>275.88160405468193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88.734616055800672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88.734616055800672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1.1368683772161603E-13</v>
      </c>
      <c r="FF107" s="17">
        <f>FE107*VLOOKUP('Données projet'!$B$16,Paramètres!$A$1:$I$89,3,0)*VLOOKUP('Données projet'!$B$16,Paramètres!$A$1:$I$89,5,0)</f>
        <v>8.3355189417488869E-14</v>
      </c>
      <c r="FG107" s="13">
        <f t="shared" si="101"/>
        <v>1.2790518435140618E-12</v>
      </c>
      <c r="FH107" s="20">
        <f t="shared" si="76"/>
        <v>2.3728589156891171E-12</v>
      </c>
      <c r="FI107" s="59">
        <f t="shared" si="77"/>
        <v>278.4809728310633</v>
      </c>
      <c r="FJ107" s="59">
        <f ca="1">AVERAGE(OFFSET($FI$3,0,0,'Données projet'!$E$16+1,1))-AVERAGE(OFFSET($H$3,0,0,'Données projet'!$E$16+1,1))</f>
        <v>214.31585175697521</v>
      </c>
      <c r="FK107" s="59">
        <f t="shared" si="102"/>
        <v>244.60383864821372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41.208950760653877</v>
      </c>
      <c r="FR107" s="21">
        <f>EXP(-LN(2)/25)*FR106+(1-EXP(-LN(2)/25))/(LN(2)/25)*Calculateur!FM107*Calculateur!FO107*VLOOKUP('Données projet'!$B$16,Paramètres!$A$1:$I$89,3,0)*0.475*44/12</f>
        <v>0</v>
      </c>
      <c r="FS107" s="21">
        <f>EXP(-LN(2)/2)*FS106+(1-EXP(-LN(2)/2))/(LN(2)/2)*FM107*FP107*VLOOKUP('Données projet'!$B$16,Paramètres!$A$1:$I$89,3,0)*0.475*44/12</f>
        <v>0</v>
      </c>
      <c r="FT107" s="22">
        <f t="shared" si="78"/>
        <v>41.208950760653877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-5.6843418860808015E-14</v>
      </c>
      <c r="GA107" s="17">
        <f>FZ107*VLOOKUP('Données projet'!$B$17,Paramètres!$A$1:$I$89,3,0)*VLOOKUP('Données projet'!$B$17,Paramètres!$A$1:$I$89,5,0)</f>
        <v>-4.5224624045658861E-14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308.33954512886351</v>
      </c>
      <c r="GF107" s="59">
        <f t="shared" si="104"/>
        <v>408.79075392716277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57.060019672571883</v>
      </c>
      <c r="GM107" s="21">
        <f>EXP(-LN(2)/25)*GM106+(1-EXP(-LN(2)/25))/(LN(2)/25)*Calculateur!GH107*Calculateur!GJ107*VLOOKUP('Données projet'!$B$17,Paramètres!$A$1:$I$89,3,0)*0.475*44/12</f>
        <v>0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57.060019672571883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342.84342155097613</v>
      </c>
      <c r="T108" s="59">
        <f t="shared" si="88"/>
        <v>565.68976940602215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52.725668750922907</v>
      </c>
      <c r="AA108" s="21">
        <f>EXP(-LN(2)/25)*AA107+(1-EXP(-LN(2)/25))/(LN(2)/25)*Calculateur!V108*Calculateur!X108*VLOOKUP('Données projet'!$B$9,Paramètres!$A$1:$I$89,3,0)*0.475*44/12</f>
        <v>16.736700436821266</v>
      </c>
      <c r="AB108" s="21">
        <f>EXP(-LN(2)/2)*AB107+(1-EXP(-LN(2)/2))/(LN(2)/2)*V108*Y108*VLOOKUP('Données projet'!$B$9,Paramètres!$A$1:$I$89,3,0)*0.475*44/12</f>
        <v>3.8547394033812656E-8</v>
      </c>
      <c r="AC108" s="22">
        <f t="shared" si="57"/>
        <v>69.462369226291571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320.33056209214476</v>
      </c>
      <c r="AO108" s="59">
        <f t="shared" si="90"/>
        <v>299.27200854723446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33.8177476888646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33.8177476888646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256.85706398254547</v>
      </c>
      <c r="BJ108" s="59">
        <f t="shared" si="92"/>
        <v>363.68094621014734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60.060316197604472</v>
      </c>
      <c r="BQ108" s="21">
        <f>EXP(-LN(2)/25)*BQ107+(1-EXP(-LN(2)/25))/(LN(2)/25)*Calculateur!BL108*Calculateur!BN108*VLOOKUP('Données projet'!$B$11,Paramètres!$A$1:$I$89,3,0)*0.475*44/12</f>
        <v>15.492943393772469</v>
      </c>
      <c r="BR108" s="21">
        <f>EXP(-LN(2)/2)*BR107+(1-EXP(-LN(2)/2))/(LN(2)/2)*BL108*BO108*VLOOKUP('Données projet'!$B$11,Paramètres!$A$1:$I$89,3,0)*0.475*44/12</f>
        <v>3.6486571534874537E-6</v>
      </c>
      <c r="BS108" s="22">
        <f t="shared" si="63"/>
        <v>75.553263240034099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5.6843418860808015E-14</v>
      </c>
      <c r="BZ108" s="13">
        <f>BY108*VLOOKUP('Données projet'!$B$12,Paramètres!$A$1:$I$89,3,0)*VLOOKUP('Données projet'!$B$12,Paramètres!$A$1:$I$89,5,0)</f>
        <v>5.1431925385259088E-14</v>
      </c>
      <c r="CA108" s="13">
        <f t="shared" si="93"/>
        <v>8.3482866290946129E-13</v>
      </c>
      <c r="CB108" s="20">
        <f t="shared" si="64"/>
        <v>1.5435705246133045E-12</v>
      </c>
      <c r="CC108" s="59">
        <f t="shared" si="65"/>
        <v>278.7386280808733</v>
      </c>
      <c r="CD108" s="59">
        <f ca="1">AVERAGE(OFFSET($CC$3,0,0,'Données projet'!$E$12+1,1))-AVERAGE(OFFSET($H$3,0,0,'Données projet'!$E$12+1,1))</f>
        <v>357.68828740212223</v>
      </c>
      <c r="CE108" s="59">
        <f t="shared" si="94"/>
        <v>236.76626845829483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91.770561067227817</v>
      </c>
      <c r="CL108" s="21">
        <f>EXP(-LN(2)/25)*CL107+(1-EXP(-LN(2)/25))/(LN(2)/25)*Calculateur!CG108*Calculateur!CI108*VLOOKUP('Données projet'!$B$12,Paramètres!$A$1:$I$89,3,0)*0.475*44/12</f>
        <v>72.218746368319458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163.98930743554729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257.00000000000006</v>
      </c>
      <c r="CU108" s="17">
        <f>CT108*VLOOKUP('Données projet'!$B$13,Paramètres!$A$1:$I$89,3,0)*VLOOKUP('Données projet'!$B$13,Paramètres!$A$1:$I$89,5,0)</f>
        <v>168.38640000000004</v>
      </c>
      <c r="CV108" s="13">
        <f t="shared" si="95"/>
        <v>42.728430513203243</v>
      </c>
      <c r="CW108" s="20">
        <f t="shared" si="67"/>
        <v>367.69166314382898</v>
      </c>
      <c r="CX108" s="59">
        <f t="shared" si="68"/>
        <v>646.4302912247008</v>
      </c>
      <c r="CY108" s="59">
        <f ca="1">AVERAGE(OFFSET($CX$3,0,0,'Données projet'!$E$13+1,1))-AVERAGE(OFFSET($H$3,0,0,'Données projet'!$E$13+1,1))</f>
        <v>220.18342986563667</v>
      </c>
      <c r="CZ108" s="59">
        <f t="shared" si="96"/>
        <v>347.84382145531163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5.2961543013547593E-11</v>
      </c>
      <c r="DI108" s="22">
        <f t="shared" si="69"/>
        <v>5.2961543013547593E-11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5.7639226724859328E-14</v>
      </c>
      <c r="DQ108" s="13">
        <f t="shared" si="97"/>
        <v>9.2325701996134334E-13</v>
      </c>
      <c r="DR108" s="20">
        <f t="shared" si="70"/>
        <v>1.708394296311803E-12</v>
      </c>
      <c r="DS108" s="59">
        <f t="shared" si="71"/>
        <v>278.73862808087347</v>
      </c>
      <c r="DT108" s="59">
        <f ca="1">AVERAGE(OFFSET($DS$3,0,0,'Données projet'!$E$14+1,1))-AVERAGE(OFFSET($H$3,0,0,'Données projet'!$E$14+1,1))</f>
        <v>392.49465607243178</v>
      </c>
      <c r="DU108" s="59">
        <f t="shared" si="98"/>
        <v>258.031856676031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102.8463184374105</v>
      </c>
      <c r="EB108" s="21">
        <f>EXP(-LN(2)/25)*EB107+(1-EXP(-LN(2)/25))/(LN(2)/25)*Calculateur!DW108*Calculateur!DY108*VLOOKUP('Données projet'!$B$14,Paramètres!$A$1:$I$89,3,0)*0.475*44/12</f>
        <v>80.934801964495961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183.78112040190646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294.24530606293143</v>
      </c>
      <c r="EP108" s="59">
        <f t="shared" si="100"/>
        <v>275.88160405468193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86.99458435771804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86.99458435771804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1.1368683772161603E-13</v>
      </c>
      <c r="FF108" s="17">
        <f>FE108*VLOOKUP('Données projet'!$B$16,Paramètres!$A$1:$I$89,3,0)*VLOOKUP('Données projet'!$B$16,Paramètres!$A$1:$I$89,5,0)</f>
        <v>8.3355189417488869E-14</v>
      </c>
      <c r="FG108" s="13">
        <f t="shared" si="101"/>
        <v>1.2790518435140618E-12</v>
      </c>
      <c r="FH108" s="20">
        <f t="shared" si="76"/>
        <v>2.3728589156891171E-12</v>
      </c>
      <c r="FI108" s="59">
        <f t="shared" si="77"/>
        <v>278.73862808087415</v>
      </c>
      <c r="FJ108" s="59">
        <f ca="1">AVERAGE(OFFSET($FI$3,0,0,'Données projet'!$E$16+1,1))-AVERAGE(OFFSET($H$3,0,0,'Données projet'!$E$16+1,1))</f>
        <v>214.31585175697521</v>
      </c>
      <c r="FK108" s="59">
        <f t="shared" si="102"/>
        <v>244.60383864821372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40.400868371215545</v>
      </c>
      <c r="FR108" s="21">
        <f>EXP(-LN(2)/25)*FR107+(1-EXP(-LN(2)/25))/(LN(2)/25)*Calculateur!FM108*Calculateur!FO108*VLOOKUP('Données projet'!$B$16,Paramètres!$A$1:$I$89,3,0)*0.475*44/12</f>
        <v>0</v>
      </c>
      <c r="FS108" s="21">
        <f>EXP(-LN(2)/2)*FS107+(1-EXP(-LN(2)/2))/(LN(2)/2)*FM108*FP108*VLOOKUP('Données projet'!$B$16,Paramètres!$A$1:$I$89,3,0)*0.475*44/12</f>
        <v>0</v>
      </c>
      <c r="FT108" s="22">
        <f t="shared" si="78"/>
        <v>40.400868371215545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-5.6843418860808015E-14</v>
      </c>
      <c r="GA108" s="17">
        <f>FZ108*VLOOKUP('Données projet'!$B$17,Paramètres!$A$1:$I$89,3,0)*VLOOKUP('Données projet'!$B$17,Paramètres!$A$1:$I$89,5,0)</f>
        <v>-4.5224624045658861E-14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308.33954512886351</v>
      </c>
      <c r="GF108" s="59">
        <f t="shared" si="104"/>
        <v>408.79075392716277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55.941107489968218</v>
      </c>
      <c r="GM108" s="21">
        <f>EXP(-LN(2)/25)*GM107+(1-EXP(-LN(2)/25))/(LN(2)/25)*Calculateur!GH108*Calculateur!GJ108*VLOOKUP('Données projet'!$B$17,Paramètres!$A$1:$I$89,3,0)*0.475*44/12</f>
        <v>0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55.941107489968218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342.84342155097613</v>
      </c>
      <c r="T109" s="59">
        <f t="shared" si="88"/>
        <v>565.68976940602215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51.691750546199764</v>
      </c>
      <c r="AA109" s="21">
        <f>EXP(-LN(2)/25)*AA108+(1-EXP(-LN(2)/25))/(LN(2)/25)*Calculateur!V109*Calculateur!X109*VLOOKUP('Données projet'!$B$9,Paramètres!$A$1:$I$89,3,0)*0.475*44/12</f>
        <v>16.279034483231566</v>
      </c>
      <c r="AB109" s="21">
        <f>EXP(-LN(2)/2)*AB108+(1-EXP(-LN(2)/2))/(LN(2)/2)*V109*Y109*VLOOKUP('Données projet'!$B$9,Paramètres!$A$1:$I$89,3,0)*0.475*44/12</f>
        <v>2.7257123718378794E-8</v>
      </c>
      <c r="AC109" s="22">
        <f t="shared" si="57"/>
        <v>67.970785056688456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320.33056209214476</v>
      </c>
      <c r="AO109" s="59">
        <f t="shared" si="90"/>
        <v>299.27200854723446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32.892999599914539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32.892999599914539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256.85706398254547</v>
      </c>
      <c r="BJ109" s="59">
        <f t="shared" si="92"/>
        <v>363.68094621014734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58.882570030145104</v>
      </c>
      <c r="BQ109" s="21">
        <f>EXP(-LN(2)/25)*BQ108+(1-EXP(-LN(2)/25))/(LN(2)/25)*Calculateur!BL109*Calculateur!BN109*VLOOKUP('Données projet'!$B$11,Paramètres!$A$1:$I$89,3,0)*0.475*44/12</f>
        <v>15.069288041931278</v>
      </c>
      <c r="BR109" s="21">
        <f>EXP(-LN(2)/2)*BR108+(1-EXP(-LN(2)/2))/(LN(2)/2)*BL109*BO109*VLOOKUP('Données projet'!$B$11,Paramètres!$A$1:$I$89,3,0)*0.475*44/12</f>
        <v>2.5799902154557842E-6</v>
      </c>
      <c r="BS109" s="22">
        <f t="shared" si="63"/>
        <v>73.951860652066586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5.6843418860808015E-14</v>
      </c>
      <c r="BZ109" s="13">
        <f>BY109*VLOOKUP('Données projet'!$B$12,Paramètres!$A$1:$I$89,3,0)*VLOOKUP('Données projet'!$B$12,Paramètres!$A$1:$I$89,5,0)</f>
        <v>5.1431925385259088E-14</v>
      </c>
      <c r="CA109" s="13">
        <f t="shared" si="93"/>
        <v>8.3482866290946129E-13</v>
      </c>
      <c r="CB109" s="20">
        <f t="shared" si="64"/>
        <v>1.5435705246133045E-12</v>
      </c>
      <c r="CC109" s="59">
        <f t="shared" si="65"/>
        <v>278.99181358813064</v>
      </c>
      <c r="CD109" s="59">
        <f ca="1">AVERAGE(OFFSET($CC$3,0,0,'Données projet'!$E$12+1,1))-AVERAGE(OFFSET($H$3,0,0,'Données projet'!$E$12+1,1))</f>
        <v>357.68828740212223</v>
      </c>
      <c r="CE109" s="59">
        <f t="shared" si="94"/>
        <v>236.76626845829483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89.970996339214707</v>
      </c>
      <c r="CL109" s="21">
        <f>EXP(-LN(2)/25)*CL108+(1-EXP(-LN(2)/25))/(LN(2)/25)*Calculateur!CG109*Calculateur!CI109*VLOOKUP('Données projet'!$B$12,Paramètres!$A$1:$I$89,3,0)*0.475*44/12</f>
        <v>70.243920951058954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160.21491729027366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257.00000000000006</v>
      </c>
      <c r="CU109" s="17">
        <f>CT109*VLOOKUP('Données projet'!$B$13,Paramètres!$A$1:$I$89,3,0)*VLOOKUP('Données projet'!$B$13,Paramètres!$A$1:$I$89,5,0)</f>
        <v>168.38640000000004</v>
      </c>
      <c r="CV109" s="13">
        <f t="shared" si="95"/>
        <v>42.728430513203243</v>
      </c>
      <c r="CW109" s="20">
        <f t="shared" si="67"/>
        <v>367.69166314382898</v>
      </c>
      <c r="CX109" s="59">
        <f t="shared" si="68"/>
        <v>646.68347673195808</v>
      </c>
      <c r="CY109" s="59">
        <f ca="1">AVERAGE(OFFSET($CX$3,0,0,'Données projet'!$E$13+1,1))-AVERAGE(OFFSET($H$3,0,0,'Données projet'!$E$13+1,1))</f>
        <v>220.18342986563667</v>
      </c>
      <c r="CZ109" s="59">
        <f t="shared" si="96"/>
        <v>347.84382145531163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3.7449466206982522E-11</v>
      </c>
      <c r="DI109" s="22">
        <f t="shared" si="69"/>
        <v>3.7449466206982522E-11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5.7639226724859328E-14</v>
      </c>
      <c r="DQ109" s="13">
        <f t="shared" si="97"/>
        <v>9.2325701996134334E-13</v>
      </c>
      <c r="DR109" s="20">
        <f t="shared" si="70"/>
        <v>1.708394296311803E-12</v>
      </c>
      <c r="DS109" s="59">
        <f t="shared" si="71"/>
        <v>278.99181358813081</v>
      </c>
      <c r="DT109" s="59">
        <f ca="1">AVERAGE(OFFSET($DS$3,0,0,'Données projet'!$E$14+1,1))-AVERAGE(OFFSET($H$3,0,0,'Données projet'!$E$14+1,1))</f>
        <v>392.49465607243178</v>
      </c>
      <c r="DU109" s="59">
        <f t="shared" si="98"/>
        <v>258.031856676031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100.82956486291305</v>
      </c>
      <c r="EB109" s="21">
        <f>EXP(-LN(2)/25)*EB108+(1-EXP(-LN(2)/25))/(LN(2)/25)*Calculateur!DW109*Calculateur!DY109*VLOOKUP('Données projet'!$B$14,Paramètres!$A$1:$I$89,3,0)*0.475*44/12</f>
        <v>78.72163554860056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179.55120041151361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294.24530606293143</v>
      </c>
      <c r="EP109" s="59">
        <f t="shared" si="100"/>
        <v>275.88160405468193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85.28867361992026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85.28867361992026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1.1368683772161603E-13</v>
      </c>
      <c r="FF109" s="17">
        <f>FE109*VLOOKUP('Données projet'!$B$16,Paramètres!$A$1:$I$89,3,0)*VLOOKUP('Données projet'!$B$16,Paramètres!$A$1:$I$89,5,0)</f>
        <v>8.3355189417488869E-14</v>
      </c>
      <c r="FG109" s="13">
        <f t="shared" si="101"/>
        <v>1.2790518435140618E-12</v>
      </c>
      <c r="FH109" s="20">
        <f t="shared" si="76"/>
        <v>2.3728589156891171E-12</v>
      </c>
      <c r="FI109" s="59">
        <f t="shared" si="77"/>
        <v>278.99181358813149</v>
      </c>
      <c r="FJ109" s="59">
        <f ca="1">AVERAGE(OFFSET($FI$3,0,0,'Données projet'!$E$16+1,1))-AVERAGE(OFFSET($H$3,0,0,'Données projet'!$E$16+1,1))</f>
        <v>214.31585175697521</v>
      </c>
      <c r="FK109" s="59">
        <f t="shared" si="102"/>
        <v>244.60383864821372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39.60863198455251</v>
      </c>
      <c r="FR109" s="21">
        <f>EXP(-LN(2)/25)*FR108+(1-EXP(-LN(2)/25))/(LN(2)/25)*Calculateur!FM109*Calculateur!FO109*VLOOKUP('Données projet'!$B$16,Paramètres!$A$1:$I$89,3,0)*0.475*44/12</f>
        <v>0</v>
      </c>
      <c r="FS109" s="21">
        <f>EXP(-LN(2)/2)*FS108+(1-EXP(-LN(2)/2))/(LN(2)/2)*FM109*FP109*VLOOKUP('Données projet'!$B$16,Paramètres!$A$1:$I$89,3,0)*0.475*44/12</f>
        <v>0</v>
      </c>
      <c r="FT109" s="22">
        <f t="shared" si="78"/>
        <v>39.60863198455251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-5.6843418860808015E-14</v>
      </c>
      <c r="GA109" s="17">
        <f>FZ109*VLOOKUP('Données projet'!$B$17,Paramètres!$A$1:$I$89,3,0)*VLOOKUP('Données projet'!$B$17,Paramètres!$A$1:$I$89,5,0)</f>
        <v>-4.5224624045658861E-14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308.33954512886351</v>
      </c>
      <c r="GF109" s="59">
        <f t="shared" si="104"/>
        <v>408.79075392716277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54.844136492796373</v>
      </c>
      <c r="GM109" s="21">
        <f>EXP(-LN(2)/25)*GM108+(1-EXP(-LN(2)/25))/(LN(2)/25)*Calculateur!GH109*Calculateur!GJ109*VLOOKUP('Données projet'!$B$17,Paramètres!$A$1:$I$89,3,0)*0.475*44/12</f>
        <v>0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54.844136492796373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342.84342155097613</v>
      </c>
      <c r="T110" s="59">
        <f t="shared" si="88"/>
        <v>565.68976940602215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50.678106846843406</v>
      </c>
      <c r="AA110" s="21">
        <f>EXP(-LN(2)/25)*AA109+(1-EXP(-LN(2)/25))/(LN(2)/25)*Calculateur!V110*Calculateur!X110*VLOOKUP('Données projet'!$B$9,Paramètres!$A$1:$I$89,3,0)*0.475*44/12</f>
        <v>15.833883429210381</v>
      </c>
      <c r="AB110" s="21">
        <f>EXP(-LN(2)/2)*AB109+(1-EXP(-LN(2)/2))/(LN(2)/2)*V110*Y110*VLOOKUP('Données projet'!$B$9,Paramètres!$A$1:$I$89,3,0)*0.475*44/12</f>
        <v>1.9273697016906328E-8</v>
      </c>
      <c r="AC110" s="22">
        <f t="shared" si="57"/>
        <v>66.511990295327479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320.33056209214476</v>
      </c>
      <c r="AO110" s="59">
        <f t="shared" si="90"/>
        <v>299.27200854723446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31.993538796087204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31.993538796087204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256.85706398254547</v>
      </c>
      <c r="BJ110" s="59">
        <f t="shared" si="92"/>
        <v>363.68094621014734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57.727918746675385</v>
      </c>
      <c r="BQ110" s="21">
        <f>EXP(-LN(2)/25)*BQ109+(1-EXP(-LN(2)/25))/(LN(2)/25)*Calculateur!BL110*Calculateur!BN110*VLOOKUP('Données projet'!$B$11,Paramètres!$A$1:$I$89,3,0)*0.475*44/12</f>
        <v>14.657217567965251</v>
      </c>
      <c r="BR110" s="21">
        <f>EXP(-LN(2)/2)*BR109+(1-EXP(-LN(2)/2))/(LN(2)/2)*BL110*BO110*VLOOKUP('Données projet'!$B$11,Paramètres!$A$1:$I$89,3,0)*0.475*44/12</f>
        <v>1.8243285767437269E-6</v>
      </c>
      <c r="BS110" s="22">
        <f t="shared" si="63"/>
        <v>72.385138138969211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5.6843418860808015E-14</v>
      </c>
      <c r="BZ110" s="13">
        <f>BY110*VLOOKUP('Données projet'!$B$12,Paramètres!$A$1:$I$89,3,0)*VLOOKUP('Données projet'!$B$12,Paramètres!$A$1:$I$89,5,0)</f>
        <v>5.1431925385259088E-14</v>
      </c>
      <c r="CA110" s="13">
        <f t="shared" si="93"/>
        <v>8.3482866290946129E-13</v>
      </c>
      <c r="CB110" s="20">
        <f t="shared" si="64"/>
        <v>1.5435705246133045E-12</v>
      </c>
      <c r="CC110" s="59">
        <f t="shared" si="65"/>
        <v>279.24060689287518</v>
      </c>
      <c r="CD110" s="59">
        <f ca="1">AVERAGE(OFFSET($CC$3,0,0,'Données projet'!$E$12+1,1))-AVERAGE(OFFSET($H$3,0,0,'Données projet'!$E$12+1,1))</f>
        <v>357.68828740212223</v>
      </c>
      <c r="CE110" s="59">
        <f t="shared" si="94"/>
        <v>236.76626845829483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88.206719977891836</v>
      </c>
      <c r="CL110" s="21">
        <f>EXP(-LN(2)/25)*CL109+(1-EXP(-LN(2)/25))/(LN(2)/25)*Calculateur!CG110*Calculateur!CI110*VLOOKUP('Données projet'!$B$12,Paramètres!$A$1:$I$89,3,0)*0.475*44/12</f>
        <v>68.323097238684994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156.52981721657682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257.00000000000006</v>
      </c>
      <c r="CU110" s="17">
        <f>CT110*VLOOKUP('Données projet'!$B$13,Paramètres!$A$1:$I$89,3,0)*VLOOKUP('Données projet'!$B$13,Paramètres!$A$1:$I$89,5,0)</f>
        <v>168.38640000000004</v>
      </c>
      <c r="CV110" s="13">
        <f t="shared" si="95"/>
        <v>42.728430513203243</v>
      </c>
      <c r="CW110" s="20">
        <f t="shared" si="67"/>
        <v>367.69166314382898</v>
      </c>
      <c r="CX110" s="59">
        <f t="shared" si="68"/>
        <v>646.93227003670268</v>
      </c>
      <c r="CY110" s="59">
        <f ca="1">AVERAGE(OFFSET($CX$3,0,0,'Données projet'!$E$13+1,1))-AVERAGE(OFFSET($H$3,0,0,'Données projet'!$E$13+1,1))</f>
        <v>220.18342986563667</v>
      </c>
      <c r="CZ110" s="59">
        <f t="shared" si="96"/>
        <v>347.84382145531163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2.6480771506773796E-11</v>
      </c>
      <c r="DI110" s="22">
        <f t="shared" si="69"/>
        <v>2.6480771506773796E-11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5.7639226724859328E-14</v>
      </c>
      <c r="DQ110" s="13">
        <f t="shared" si="97"/>
        <v>9.2325701996134334E-13</v>
      </c>
      <c r="DR110" s="20">
        <f t="shared" si="70"/>
        <v>1.708394296311803E-12</v>
      </c>
      <c r="DS110" s="59">
        <f t="shared" si="71"/>
        <v>279.24060689287535</v>
      </c>
      <c r="DT110" s="59">
        <f ca="1">AVERAGE(OFFSET($DS$3,0,0,'Données projet'!$E$14+1,1))-AVERAGE(OFFSET($H$3,0,0,'Données projet'!$E$14+1,1))</f>
        <v>392.49465607243178</v>
      </c>
      <c r="DU110" s="59">
        <f t="shared" si="98"/>
        <v>258.031856676031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98.852358595913273</v>
      </c>
      <c r="EB110" s="21">
        <f>EXP(-LN(2)/25)*EB109+(1-EXP(-LN(2)/25))/(LN(2)/25)*Calculateur!DW110*Calculateur!DY110*VLOOKUP('Données projet'!$B$14,Paramètres!$A$1:$I$89,3,0)*0.475*44/12</f>
        <v>76.56898828473318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175.42134688064647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294.24530606293143</v>
      </c>
      <c r="EP110" s="59">
        <f t="shared" si="100"/>
        <v>275.88160405468193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83.616214751187883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83.616214751187883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1.1368683772161603E-13</v>
      </c>
      <c r="FF110" s="17">
        <f>FE110*VLOOKUP('Données projet'!$B$16,Paramètres!$A$1:$I$89,3,0)*VLOOKUP('Données projet'!$B$16,Paramètres!$A$1:$I$89,5,0)</f>
        <v>8.3355189417488869E-14</v>
      </c>
      <c r="FG110" s="13">
        <f t="shared" si="101"/>
        <v>1.2790518435140618E-12</v>
      </c>
      <c r="FH110" s="20">
        <f t="shared" si="76"/>
        <v>2.3728589156891171E-12</v>
      </c>
      <c r="FI110" s="59">
        <f t="shared" si="77"/>
        <v>279.24060689287603</v>
      </c>
      <c r="FJ110" s="59">
        <f ca="1">AVERAGE(OFFSET($FI$3,0,0,'Données projet'!$E$16+1,1))-AVERAGE(OFFSET($H$3,0,0,'Données projet'!$E$16+1,1))</f>
        <v>214.31585175697521</v>
      </c>
      <c r="FK110" s="59">
        <f t="shared" si="102"/>
        <v>244.60383864821372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38.831930870215452</v>
      </c>
      <c r="FR110" s="21">
        <f>EXP(-LN(2)/25)*FR109+(1-EXP(-LN(2)/25))/(LN(2)/25)*Calculateur!FM110*Calculateur!FO110*VLOOKUP('Données projet'!$B$16,Paramètres!$A$1:$I$89,3,0)*0.475*44/12</f>
        <v>0</v>
      </c>
      <c r="FS110" s="21">
        <f>EXP(-LN(2)/2)*FS109+(1-EXP(-LN(2)/2))/(LN(2)/2)*FM110*FP110*VLOOKUP('Données projet'!$B$16,Paramètres!$A$1:$I$89,3,0)*0.475*44/12</f>
        <v>0</v>
      </c>
      <c r="FT110" s="22">
        <f t="shared" si="78"/>
        <v>38.831930870215452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-5.6843418860808015E-14</v>
      </c>
      <c r="GA110" s="17">
        <f>FZ110*VLOOKUP('Données projet'!$B$17,Paramètres!$A$1:$I$89,3,0)*VLOOKUP('Données projet'!$B$17,Paramètres!$A$1:$I$89,5,0)</f>
        <v>-4.5224624045658861E-14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308.33954512886351</v>
      </c>
      <c r="GF110" s="59">
        <f t="shared" si="104"/>
        <v>408.79075392716277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53.768676427792826</v>
      </c>
      <c r="GM110" s="21">
        <f>EXP(-LN(2)/25)*GM109+(1-EXP(-LN(2)/25))/(LN(2)/25)*Calculateur!GH110*Calculateur!GJ110*VLOOKUP('Données projet'!$B$17,Paramètres!$A$1:$I$89,3,0)*0.475*44/12</f>
        <v>0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53.768676427792826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342.84342155097613</v>
      </c>
      <c r="T111" s="59">
        <f t="shared" si="88"/>
        <v>565.68976940602215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49.684340082169818</v>
      </c>
      <c r="AA111" s="21">
        <f>EXP(-LN(2)/25)*AA110+(1-EXP(-LN(2)/25))/(LN(2)/25)*Calculateur!V111*Calculateur!X111*VLOOKUP('Données projet'!$B$9,Paramètres!$A$1:$I$89,3,0)*0.475*44/12</f>
        <v>15.400905054170883</v>
      </c>
      <c r="AB111" s="21">
        <f>EXP(-LN(2)/2)*AB110+(1-EXP(-LN(2)/2))/(LN(2)/2)*V111*Y111*VLOOKUP('Données projet'!$B$9,Paramètres!$A$1:$I$89,3,0)*0.475*44/12</f>
        <v>1.3628561859189397E-8</v>
      </c>
      <c r="AC111" s="22">
        <f t="shared" si="57"/>
        <v>65.085245149969268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320.33056209214476</v>
      </c>
      <c r="AO111" s="59">
        <f t="shared" si="90"/>
        <v>299.27200854723446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31.118673795241115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31.118673795241115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256.85706398254547</v>
      </c>
      <c r="BJ111" s="59">
        <f t="shared" si="92"/>
        <v>363.68094621014734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56.595909470606763</v>
      </c>
      <c r="BQ111" s="21">
        <f>EXP(-LN(2)/25)*BQ110+(1-EXP(-LN(2)/25))/(LN(2)/25)*Calculateur!BL111*Calculateur!BN111*VLOOKUP('Données projet'!$B$11,Paramètres!$A$1:$I$89,3,0)*0.475*44/12</f>
        <v>14.256415182779669</v>
      </c>
      <c r="BR111" s="21">
        <f>EXP(-LN(2)/2)*BR110+(1-EXP(-LN(2)/2))/(LN(2)/2)*BL111*BO111*VLOOKUP('Données projet'!$B$11,Paramètres!$A$1:$I$89,3,0)*0.475*44/12</f>
        <v>1.2899951077278921E-6</v>
      </c>
      <c r="BS111" s="22">
        <f t="shared" si="63"/>
        <v>70.852325943381544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5.6843418860808015E-14</v>
      </c>
      <c r="BZ111" s="13">
        <f>BY111*VLOOKUP('Données projet'!$B$12,Paramètres!$A$1:$I$89,3,0)*VLOOKUP('Données projet'!$B$12,Paramètres!$A$1:$I$89,5,0)</f>
        <v>5.1431925385259088E-14</v>
      </c>
      <c r="CA111" s="13">
        <f t="shared" si="93"/>
        <v>8.3482866290946129E-13</v>
      </c>
      <c r="CB111" s="20">
        <f t="shared" si="64"/>
        <v>1.5435705246133045E-12</v>
      </c>
      <c r="CC111" s="59">
        <f t="shared" si="65"/>
        <v>279.48508419000086</v>
      </c>
      <c r="CD111" s="59">
        <f ca="1">AVERAGE(OFFSET($CC$3,0,0,'Données projet'!$E$12+1,1))-AVERAGE(OFFSET($H$3,0,0,'Données projet'!$E$12+1,1))</f>
        <v>357.68828740212223</v>
      </c>
      <c r="CE111" s="59">
        <f t="shared" si="94"/>
        <v>236.76626845829483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86.477039999912179</v>
      </c>
      <c r="CL111" s="21">
        <f>EXP(-LN(2)/25)*CL110+(1-EXP(-LN(2)/25))/(LN(2)/25)*Calculateur!CG111*Calculateur!CI111*VLOOKUP('Données projet'!$B$12,Paramètres!$A$1:$I$89,3,0)*0.475*44/12</f>
        <v>66.454798551737625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152.9318385516498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257.00000000000006</v>
      </c>
      <c r="CU111" s="17">
        <f>CT111*VLOOKUP('Données projet'!$B$13,Paramètres!$A$1:$I$89,3,0)*VLOOKUP('Données projet'!$B$13,Paramètres!$A$1:$I$89,5,0)</f>
        <v>168.38640000000004</v>
      </c>
      <c r="CV111" s="13">
        <f t="shared" si="95"/>
        <v>42.728430513203243</v>
      </c>
      <c r="CW111" s="20">
        <f t="shared" si="67"/>
        <v>367.69166314382898</v>
      </c>
      <c r="CX111" s="59">
        <f t="shared" si="68"/>
        <v>647.1767473338283</v>
      </c>
      <c r="CY111" s="59">
        <f ca="1">AVERAGE(OFFSET($CX$3,0,0,'Données projet'!$E$13+1,1))-AVERAGE(OFFSET($H$3,0,0,'Données projet'!$E$13+1,1))</f>
        <v>220.18342986563667</v>
      </c>
      <c r="CZ111" s="59">
        <f t="shared" si="96"/>
        <v>347.84382145531163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1.8724733103491261E-11</v>
      </c>
      <c r="DI111" s="22">
        <f t="shared" si="69"/>
        <v>1.8724733103491261E-11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5.7639226724859328E-14</v>
      </c>
      <c r="DQ111" s="13">
        <f t="shared" si="97"/>
        <v>9.2325701996134334E-13</v>
      </c>
      <c r="DR111" s="20">
        <f t="shared" si="70"/>
        <v>1.708394296311803E-12</v>
      </c>
      <c r="DS111" s="59">
        <f t="shared" si="71"/>
        <v>279.48508419000103</v>
      </c>
      <c r="DT111" s="59">
        <f ca="1">AVERAGE(OFFSET($DS$3,0,0,'Données projet'!$E$14+1,1))-AVERAGE(OFFSET($H$3,0,0,'Données projet'!$E$14+1,1))</f>
        <v>392.49465607243178</v>
      </c>
      <c r="DU111" s="59">
        <f t="shared" si="98"/>
        <v>258.031856676031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96.913924137832623</v>
      </c>
      <c r="EB111" s="21">
        <f>EXP(-LN(2)/25)*EB110+(1-EXP(-LN(2)/25))/(LN(2)/25)*Calculateur!DW111*Calculateur!DY111*VLOOKUP('Données projet'!$B$14,Paramètres!$A$1:$I$89,3,0)*0.475*44/12</f>
        <v>74.475205273499057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171.38912941133168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294.24530606293143</v>
      </c>
      <c r="EP111" s="59">
        <f t="shared" si="100"/>
        <v>275.88160405468193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81.976551780772169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81.976551780772169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1.1368683772161603E-13</v>
      </c>
      <c r="FF111" s="17">
        <f>FE111*VLOOKUP('Données projet'!$B$16,Paramètres!$A$1:$I$89,3,0)*VLOOKUP('Données projet'!$B$16,Paramètres!$A$1:$I$89,5,0)</f>
        <v>8.3355189417488869E-14</v>
      </c>
      <c r="FG111" s="13">
        <f t="shared" si="101"/>
        <v>1.2790518435140618E-12</v>
      </c>
      <c r="FH111" s="20">
        <f t="shared" si="76"/>
        <v>2.3728589156891171E-12</v>
      </c>
      <c r="FI111" s="59">
        <f t="shared" si="77"/>
        <v>279.48508419000171</v>
      </c>
      <c r="FJ111" s="59">
        <f ca="1">AVERAGE(OFFSET($FI$3,0,0,'Données projet'!$E$16+1,1))-AVERAGE(OFFSET($H$3,0,0,'Données projet'!$E$16+1,1))</f>
        <v>214.31585175697521</v>
      </c>
      <c r="FK111" s="59">
        <f t="shared" si="102"/>
        <v>244.60383864821372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38.070460390989645</v>
      </c>
      <c r="FR111" s="21">
        <f>EXP(-LN(2)/25)*FR110+(1-EXP(-LN(2)/25))/(LN(2)/25)*Calculateur!FM111*Calculateur!FO111*VLOOKUP('Données projet'!$B$16,Paramètres!$A$1:$I$89,3,0)*0.475*44/12</f>
        <v>0</v>
      </c>
      <c r="FS111" s="21">
        <f>EXP(-LN(2)/2)*FS110+(1-EXP(-LN(2)/2))/(LN(2)/2)*FM111*FP111*VLOOKUP('Données projet'!$B$16,Paramètres!$A$1:$I$89,3,0)*0.475*44/12</f>
        <v>0</v>
      </c>
      <c r="FT111" s="22">
        <f t="shared" si="78"/>
        <v>38.070460390989645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-5.6843418860808015E-14</v>
      </c>
      <c r="GA111" s="17">
        <f>FZ111*VLOOKUP('Données projet'!$B$17,Paramètres!$A$1:$I$89,3,0)*VLOOKUP('Données projet'!$B$17,Paramètres!$A$1:$I$89,5,0)</f>
        <v>-4.5224624045658861E-14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308.33954512886351</v>
      </c>
      <c r="GF111" s="59">
        <f t="shared" si="104"/>
        <v>408.79075392716277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52.71430547869813</v>
      </c>
      <c r="GM111" s="21">
        <f>EXP(-LN(2)/25)*GM110+(1-EXP(-LN(2)/25))/(LN(2)/25)*Calculateur!GH111*Calculateur!GJ111*VLOOKUP('Données projet'!$B$17,Paramètres!$A$1:$I$89,3,0)*0.475*44/12</f>
        <v>0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52.71430547869813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342.84342155097613</v>
      </c>
      <c r="T112" s="59">
        <f t="shared" si="88"/>
        <v>565.68976940602215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48.710060477613602</v>
      </c>
      <c r="AA112" s="21">
        <f>EXP(-LN(2)/25)*AA111+(1-EXP(-LN(2)/25))/(LN(2)/25)*Calculateur!V112*Calculateur!X112*VLOOKUP('Données projet'!$B$9,Paramètres!$A$1:$I$89,3,0)*0.475*44/12</f>
        <v>14.979766495566182</v>
      </c>
      <c r="AB112" s="21">
        <f>EXP(-LN(2)/2)*AB111+(1-EXP(-LN(2)/2))/(LN(2)/2)*V112*Y112*VLOOKUP('Données projet'!$B$9,Paramètres!$A$1:$I$89,3,0)*0.475*44/12</f>
        <v>9.636848508453164E-9</v>
      </c>
      <c r="AC112" s="22">
        <f t="shared" si="57"/>
        <v>63.689826982816633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320.33056209214476</v>
      </c>
      <c r="AO112" s="59">
        <f t="shared" si="90"/>
        <v>299.27200854723446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30.267732023850314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30.267732023850314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256.85706398254547</v>
      </c>
      <c r="BJ112" s="59">
        <f t="shared" si="92"/>
        <v>363.68094621014734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55.486098205984362</v>
      </c>
      <c r="BQ112" s="21">
        <f>EXP(-LN(2)/25)*BQ111+(1-EXP(-LN(2)/25))/(LN(2)/25)*Calculateur!BL112*Calculateur!BN112*VLOOKUP('Données projet'!$B$11,Paramètres!$A$1:$I$89,3,0)*0.475*44/12</f>
        <v>13.866572759894268</v>
      </c>
      <c r="BR112" s="21">
        <f>EXP(-LN(2)/2)*BR111+(1-EXP(-LN(2)/2))/(LN(2)/2)*BL112*BO112*VLOOKUP('Données projet'!$B$11,Paramètres!$A$1:$I$89,3,0)*0.475*44/12</f>
        <v>9.1216428837186343E-7</v>
      </c>
      <c r="BS112" s="22">
        <f t="shared" si="63"/>
        <v>69.352671878042912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5.6843418860808015E-14</v>
      </c>
      <c r="BZ112" s="13">
        <f>BY112*VLOOKUP('Données projet'!$B$12,Paramètres!$A$1:$I$89,3,0)*VLOOKUP('Données projet'!$B$12,Paramètres!$A$1:$I$89,5,0)</f>
        <v>5.1431925385259088E-14</v>
      </c>
      <c r="CA112" s="13">
        <f t="shared" si="93"/>
        <v>8.3482866290946129E-13</v>
      </c>
      <c r="CB112" s="20">
        <f t="shared" si="64"/>
        <v>1.5435705246133045E-12</v>
      </c>
      <c r="CC112" s="59">
        <f t="shared" si="65"/>
        <v>279.72532035259081</v>
      </c>
      <c r="CD112" s="59">
        <f ca="1">AVERAGE(OFFSET($CC$3,0,0,'Données projet'!$E$12+1,1))-AVERAGE(OFFSET($H$3,0,0,'Données projet'!$E$12+1,1))</f>
        <v>357.68828740212223</v>
      </c>
      <c r="CE112" s="59">
        <f t="shared" si="94"/>
        <v>236.76626845829483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84.781277991300087</v>
      </c>
      <c r="CL112" s="21">
        <f>EXP(-LN(2)/25)*CL111+(1-EXP(-LN(2)/25))/(LN(2)/25)*Calculateur!CG112*Calculateur!CI112*VLOOKUP('Données projet'!$B$12,Paramètres!$A$1:$I$89,3,0)*0.475*44/12</f>
        <v>64.637588590634394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149.41886658193448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257.00000000000006</v>
      </c>
      <c r="CU112" s="17">
        <f>CT112*VLOOKUP('Données projet'!$B$13,Paramètres!$A$1:$I$89,3,0)*VLOOKUP('Données projet'!$B$13,Paramètres!$A$1:$I$89,5,0)</f>
        <v>168.38640000000004</v>
      </c>
      <c r="CV112" s="13">
        <f t="shared" si="95"/>
        <v>42.728430513203243</v>
      </c>
      <c r="CW112" s="20">
        <f t="shared" si="67"/>
        <v>367.69166314382898</v>
      </c>
      <c r="CX112" s="59">
        <f t="shared" si="68"/>
        <v>647.4169834964182</v>
      </c>
      <c r="CY112" s="59">
        <f ca="1">AVERAGE(OFFSET($CX$3,0,0,'Données projet'!$E$13+1,1))-AVERAGE(OFFSET($H$3,0,0,'Données projet'!$E$13+1,1))</f>
        <v>220.18342986563667</v>
      </c>
      <c r="CZ112" s="59">
        <f t="shared" si="96"/>
        <v>347.84382145531163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1.3240385753386898E-11</v>
      </c>
      <c r="DI112" s="22">
        <f t="shared" si="69"/>
        <v>1.3240385753386898E-11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5.7639226724859328E-14</v>
      </c>
      <c r="DQ112" s="13">
        <f t="shared" si="97"/>
        <v>9.2325701996134334E-13</v>
      </c>
      <c r="DR112" s="20">
        <f t="shared" si="70"/>
        <v>1.708394296311803E-12</v>
      </c>
      <c r="DS112" s="59">
        <f t="shared" si="71"/>
        <v>279.72532035259098</v>
      </c>
      <c r="DT112" s="59">
        <f ca="1">AVERAGE(OFFSET($DS$3,0,0,'Données projet'!$E$14+1,1))-AVERAGE(OFFSET($H$3,0,0,'Données projet'!$E$14+1,1))</f>
        <v>392.49465607243178</v>
      </c>
      <c r="DU112" s="59">
        <f t="shared" si="98"/>
        <v>258.031856676031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95.013501197146653</v>
      </c>
      <c r="EB112" s="21">
        <f>EXP(-LN(2)/25)*EB111+(1-EXP(-LN(2)/25))/(LN(2)/25)*Calculateur!DW112*Calculateur!DY112*VLOOKUP('Données projet'!$B$14,Paramètres!$A$1:$I$89,3,0)*0.475*44/12</f>
        <v>72.438676868814397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167.45217806596105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294.24530606293143</v>
      </c>
      <c r="EP112" s="59">
        <f t="shared" si="100"/>
        <v>275.88160405468193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80.369041601110652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80.369041601110652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1.1368683772161603E-13</v>
      </c>
      <c r="FF112" s="17">
        <f>FE112*VLOOKUP('Données projet'!$B$16,Paramètres!$A$1:$I$89,3,0)*VLOOKUP('Données projet'!$B$16,Paramètres!$A$1:$I$89,5,0)</f>
        <v>8.3355189417488869E-14</v>
      </c>
      <c r="FG112" s="13">
        <f t="shared" si="101"/>
        <v>1.2790518435140618E-12</v>
      </c>
      <c r="FH112" s="20">
        <f t="shared" si="76"/>
        <v>2.3728589156891171E-12</v>
      </c>
      <c r="FI112" s="59">
        <f t="shared" si="77"/>
        <v>279.72532035259167</v>
      </c>
      <c r="FJ112" s="59">
        <f ca="1">AVERAGE(OFFSET($FI$3,0,0,'Données projet'!$E$16+1,1))-AVERAGE(OFFSET($H$3,0,0,'Données projet'!$E$16+1,1))</f>
        <v>214.31585175697521</v>
      </c>
      <c r="FK112" s="59">
        <f t="shared" si="102"/>
        <v>244.60383864821372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37.323921883410321</v>
      </c>
      <c r="FR112" s="21">
        <f>EXP(-LN(2)/25)*FR111+(1-EXP(-LN(2)/25))/(LN(2)/25)*Calculateur!FM112*Calculateur!FO112*VLOOKUP('Données projet'!$B$16,Paramètres!$A$1:$I$89,3,0)*0.475*44/12</f>
        <v>0</v>
      </c>
      <c r="FS112" s="21">
        <f>EXP(-LN(2)/2)*FS111+(1-EXP(-LN(2)/2))/(LN(2)/2)*FM112*FP112*VLOOKUP('Données projet'!$B$16,Paramètres!$A$1:$I$89,3,0)*0.475*44/12</f>
        <v>0</v>
      </c>
      <c r="FT112" s="22">
        <f t="shared" si="78"/>
        <v>37.323921883410321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-5.6843418860808015E-14</v>
      </c>
      <c r="GA112" s="17">
        <f>FZ112*VLOOKUP('Données projet'!$B$17,Paramètres!$A$1:$I$89,3,0)*VLOOKUP('Données projet'!$B$17,Paramètres!$A$1:$I$89,5,0)</f>
        <v>-4.5224624045658861E-14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308.33954512886351</v>
      </c>
      <c r="GF112" s="59">
        <f t="shared" si="104"/>
        <v>408.79075392716277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51.680610100812402</v>
      </c>
      <c r="GM112" s="21">
        <f>EXP(-LN(2)/25)*GM111+(1-EXP(-LN(2)/25))/(LN(2)/25)*Calculateur!GH112*Calculateur!GJ112*VLOOKUP('Données projet'!$B$17,Paramètres!$A$1:$I$89,3,0)*0.475*44/12</f>
        <v>0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51.680610100812402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342.84342155097613</v>
      </c>
      <c r="T113" s="59">
        <f t="shared" si="88"/>
        <v>565.68976940602215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47.754885901850855</v>
      </c>
      <c r="AA113" s="21">
        <f>EXP(-LN(2)/25)*AA112+(1-EXP(-LN(2)/25))/(LN(2)/25)*Calculateur!V113*Calculateur!X113*VLOOKUP('Données projet'!$B$9,Paramètres!$A$1:$I$89,3,0)*0.475*44/12</f>
        <v>14.570143992993241</v>
      </c>
      <c r="AB113" s="21">
        <f>EXP(-LN(2)/2)*AB112+(1-EXP(-LN(2)/2))/(LN(2)/2)*V113*Y113*VLOOKUP('Données projet'!$B$9,Paramètres!$A$1:$I$89,3,0)*0.475*44/12</f>
        <v>6.8142809295946984E-9</v>
      </c>
      <c r="AC113" s="22">
        <f t="shared" si="57"/>
        <v>62.325029901658375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320.33056209214476</v>
      </c>
      <c r="AO113" s="59">
        <f t="shared" si="90"/>
        <v>299.27200854723446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29.440059299947279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29.440059299947279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256.85706398254547</v>
      </c>
      <c r="BJ113" s="59">
        <f t="shared" si="92"/>
        <v>363.68094621014734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54.39804966334318</v>
      </c>
      <c r="BQ113" s="21">
        <f>EXP(-LN(2)/25)*BQ112+(1-EXP(-LN(2)/25))/(LN(2)/25)*Calculateur!BL113*Calculateur!BN113*VLOOKUP('Données projet'!$B$11,Paramètres!$A$1:$I$89,3,0)*0.475*44/12</f>
        <v>13.487390598563591</v>
      </c>
      <c r="BR113" s="21">
        <f>EXP(-LN(2)/2)*BR112+(1-EXP(-LN(2)/2))/(LN(2)/2)*BL113*BO113*VLOOKUP('Données projet'!$B$11,Paramètres!$A$1:$I$89,3,0)*0.475*44/12</f>
        <v>6.4499755386394606E-7</v>
      </c>
      <c r="BS113" s="22">
        <f t="shared" si="63"/>
        <v>67.885440906904321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5.6843418860808015E-14</v>
      </c>
      <c r="BZ113" s="13">
        <f>BY113*VLOOKUP('Données projet'!$B$12,Paramètres!$A$1:$I$89,3,0)*VLOOKUP('Données projet'!$B$12,Paramètres!$A$1:$I$89,5,0)</f>
        <v>5.1431925385259088E-14</v>
      </c>
      <c r="CA113" s="13">
        <f t="shared" si="93"/>
        <v>8.3482866290946129E-13</v>
      </c>
      <c r="CB113" s="20">
        <f t="shared" si="64"/>
        <v>1.5435705246133045E-12</v>
      </c>
      <c r="CC113" s="59">
        <f t="shared" si="65"/>
        <v>279.96138895484739</v>
      </c>
      <c r="CD113" s="59">
        <f ca="1">AVERAGE(OFFSET($CC$3,0,0,'Données projet'!$E$12+1,1))-AVERAGE(OFFSET($H$3,0,0,'Données projet'!$E$12+1,1))</f>
        <v>357.68828740212223</v>
      </c>
      <c r="CE113" s="59">
        <f t="shared" si="94"/>
        <v>236.76626845829483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83.118768841364187</v>
      </c>
      <c r="CL113" s="21">
        <f>EXP(-LN(2)/25)*CL112+(1-EXP(-LN(2)/25))/(LN(2)/25)*Calculateur!CG113*Calculateur!CI113*VLOOKUP('Données projet'!$B$12,Paramètres!$A$1:$I$89,3,0)*0.475*44/12</f>
        <v>62.870070331480441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145.98883917284462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257.00000000000006</v>
      </c>
      <c r="CU113" s="17">
        <f>CT113*VLOOKUP('Données projet'!$B$13,Paramètres!$A$1:$I$89,3,0)*VLOOKUP('Données projet'!$B$13,Paramètres!$A$1:$I$89,5,0)</f>
        <v>168.38640000000004</v>
      </c>
      <c r="CV113" s="13">
        <f t="shared" si="95"/>
        <v>42.728430513203243</v>
      </c>
      <c r="CW113" s="20">
        <f t="shared" si="67"/>
        <v>367.69166314382898</v>
      </c>
      <c r="CX113" s="59">
        <f t="shared" si="68"/>
        <v>647.65305209867483</v>
      </c>
      <c r="CY113" s="59">
        <f ca="1">AVERAGE(OFFSET($CX$3,0,0,'Données projet'!$E$13+1,1))-AVERAGE(OFFSET($H$3,0,0,'Données projet'!$E$13+1,1))</f>
        <v>220.18342986563667</v>
      </c>
      <c r="CZ113" s="59">
        <f t="shared" si="96"/>
        <v>347.84382145531163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9.3623665517456304E-12</v>
      </c>
      <c r="DI113" s="22">
        <f t="shared" si="69"/>
        <v>9.3623665517456304E-12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5.7639226724859328E-14</v>
      </c>
      <c r="DQ113" s="13">
        <f t="shared" si="97"/>
        <v>9.2325701996134334E-13</v>
      </c>
      <c r="DR113" s="20">
        <f t="shared" si="70"/>
        <v>1.708394296311803E-12</v>
      </c>
      <c r="DS113" s="59">
        <f t="shared" si="71"/>
        <v>279.96138895484756</v>
      </c>
      <c r="DT113" s="59">
        <f ca="1">AVERAGE(OFFSET($DS$3,0,0,'Données projet'!$E$14+1,1))-AVERAGE(OFFSET($H$3,0,0,'Données projet'!$E$14+1,1))</f>
        <v>392.49465607243178</v>
      </c>
      <c r="DU113" s="59">
        <f t="shared" si="98"/>
        <v>258.031856676031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93.150344391184007</v>
      </c>
      <c r="EB113" s="21">
        <f>EXP(-LN(2)/25)*EB112+(1-EXP(-LN(2)/25))/(LN(2)/25)*Calculateur!DW113*Calculateur!DY113*VLOOKUP('Données projet'!$B$14,Paramètres!$A$1:$I$89,3,0)*0.475*44/12</f>
        <v>70.457837440452209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163.60818183163622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294.24530606293143</v>
      </c>
      <c r="EP113" s="59">
        <f t="shared" si="100"/>
        <v>275.88160405468193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78.793053715587902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78.793053715587902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1.1368683772161603E-13</v>
      </c>
      <c r="FF113" s="17">
        <f>FE113*VLOOKUP('Données projet'!$B$16,Paramètres!$A$1:$I$89,3,0)*VLOOKUP('Données projet'!$B$16,Paramètres!$A$1:$I$89,5,0)</f>
        <v>8.3355189417488869E-14</v>
      </c>
      <c r="FG113" s="13">
        <f t="shared" si="101"/>
        <v>1.2790518435140618E-12</v>
      </c>
      <c r="FH113" s="20">
        <f t="shared" si="76"/>
        <v>2.3728589156891171E-12</v>
      </c>
      <c r="FI113" s="59">
        <f t="shared" si="77"/>
        <v>279.96138895484825</v>
      </c>
      <c r="FJ113" s="59">
        <f ca="1">AVERAGE(OFFSET($FI$3,0,0,'Données projet'!$E$16+1,1))-AVERAGE(OFFSET($H$3,0,0,'Données projet'!$E$16+1,1))</f>
        <v>214.31585175697521</v>
      </c>
      <c r="FK113" s="59">
        <f t="shared" si="102"/>
        <v>244.60383864821372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36.592022540621102</v>
      </c>
      <c r="FR113" s="21">
        <f>EXP(-LN(2)/25)*FR112+(1-EXP(-LN(2)/25))/(LN(2)/25)*Calculateur!FM113*Calculateur!FO113*VLOOKUP('Données projet'!$B$16,Paramètres!$A$1:$I$89,3,0)*0.475*44/12</f>
        <v>0</v>
      </c>
      <c r="FS113" s="21">
        <f>EXP(-LN(2)/2)*FS112+(1-EXP(-LN(2)/2))/(LN(2)/2)*FM113*FP113*VLOOKUP('Données projet'!$B$16,Paramètres!$A$1:$I$89,3,0)*0.475*44/12</f>
        <v>0</v>
      </c>
      <c r="FT113" s="22">
        <f t="shared" si="78"/>
        <v>36.592022540621102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-5.6843418860808015E-14</v>
      </c>
      <c r="GA113" s="17">
        <f>FZ113*VLOOKUP('Données projet'!$B$17,Paramètres!$A$1:$I$89,3,0)*VLOOKUP('Données projet'!$B$17,Paramètres!$A$1:$I$89,5,0)</f>
        <v>-4.5224624045658861E-14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308.33954512886351</v>
      </c>
      <c r="GF113" s="59">
        <f t="shared" si="104"/>
        <v>408.79075392716277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50.667184858795089</v>
      </c>
      <c r="GM113" s="21">
        <f>EXP(-LN(2)/25)*GM112+(1-EXP(-LN(2)/25))/(LN(2)/25)*Calculateur!GH113*Calculateur!GJ113*VLOOKUP('Données projet'!$B$17,Paramètres!$A$1:$I$89,3,0)*0.475*44/12</f>
        <v>0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50.667184858795089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342.84342155097613</v>
      </c>
      <c r="T114" s="59">
        <f t="shared" si="88"/>
        <v>565.68976940602215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46.81844171691985</v>
      </c>
      <c r="AA114" s="21">
        <f>EXP(-LN(2)/25)*AA113+(1-EXP(-LN(2)/25))/(LN(2)/25)*Calculateur!V114*Calculateur!X114*VLOOKUP('Données projet'!$B$9,Paramètres!$A$1:$I$89,3,0)*0.475*44/12</f>
        <v>14.171722639294268</v>
      </c>
      <c r="AB114" s="21">
        <f>EXP(-LN(2)/2)*AB113+(1-EXP(-LN(2)/2))/(LN(2)/2)*V114*Y114*VLOOKUP('Données projet'!$B$9,Paramètres!$A$1:$I$89,3,0)*0.475*44/12</f>
        <v>4.818424254226582E-9</v>
      </c>
      <c r="AC114" s="22">
        <f t="shared" si="57"/>
        <v>60.990164361032541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320.33056209214476</v>
      </c>
      <c r="AO114" s="59">
        <f t="shared" si="90"/>
        <v>299.27200854723446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28.635019330204788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28.635019330204788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256.85706398254547</v>
      </c>
      <c r="BJ114" s="59">
        <f t="shared" si="92"/>
        <v>363.68094621014734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53.331337088979105</v>
      </c>
      <c r="BQ114" s="21">
        <f>EXP(-LN(2)/25)*BQ113+(1-EXP(-LN(2)/25))/(LN(2)/25)*Calculateur!BL114*Calculateur!BN114*VLOOKUP('Données projet'!$B$11,Paramètres!$A$1:$I$89,3,0)*0.475*44/12</f>
        <v>13.118577193374824</v>
      </c>
      <c r="BR114" s="21">
        <f>EXP(-LN(2)/2)*BR113+(1-EXP(-LN(2)/2))/(LN(2)/2)*BL114*BO114*VLOOKUP('Données projet'!$B$11,Paramètres!$A$1:$I$89,3,0)*0.475*44/12</f>
        <v>4.5608214418593171E-7</v>
      </c>
      <c r="BS114" s="22">
        <f t="shared" si="63"/>
        <v>66.449914738436078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5.6843418860808015E-14</v>
      </c>
      <c r="BZ114" s="13">
        <f>BY114*VLOOKUP('Données projet'!$B$12,Paramètres!$A$1:$I$89,3,0)*VLOOKUP('Données projet'!$B$12,Paramètres!$A$1:$I$89,5,0)</f>
        <v>5.1431925385259088E-14</v>
      </c>
      <c r="CA114" s="13">
        <f t="shared" si="93"/>
        <v>8.3482866290946129E-13</v>
      </c>
      <c r="CB114" s="20">
        <f t="shared" si="64"/>
        <v>1.5435705246133045E-12</v>
      </c>
      <c r="CC114" s="59">
        <f t="shared" si="65"/>
        <v>280.1933622946251</v>
      </c>
      <c r="CD114" s="59">
        <f ca="1">AVERAGE(OFFSET($CC$3,0,0,'Données projet'!$E$12+1,1))-AVERAGE(OFFSET($H$3,0,0,'Données projet'!$E$12+1,1))</f>
        <v>357.68828740212223</v>
      </c>
      <c r="CE114" s="59">
        <f t="shared" si="94"/>
        <v>236.76626845829483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81.48886048182807</v>
      </c>
      <c r="CL114" s="21">
        <f>EXP(-LN(2)/25)*CL113+(1-EXP(-LN(2)/25))/(LN(2)/25)*Calculateur!CG114*Calculateur!CI114*VLOOKUP('Données projet'!$B$12,Paramètres!$A$1:$I$89,3,0)*0.475*44/12</f>
        <v>61.150884952072801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142.63974543390088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257.00000000000006</v>
      </c>
      <c r="CU114" s="17">
        <f>CT114*VLOOKUP('Données projet'!$B$13,Paramètres!$A$1:$I$89,3,0)*VLOOKUP('Données projet'!$B$13,Paramètres!$A$1:$I$89,5,0)</f>
        <v>168.38640000000004</v>
      </c>
      <c r="CV114" s="13">
        <f t="shared" si="95"/>
        <v>42.728430513203243</v>
      </c>
      <c r="CW114" s="20">
        <f t="shared" si="67"/>
        <v>367.69166314382898</v>
      </c>
      <c r="CX114" s="59">
        <f t="shared" si="68"/>
        <v>647.88502543845254</v>
      </c>
      <c r="CY114" s="59">
        <f ca="1">AVERAGE(OFFSET($CX$3,0,0,'Données projet'!$E$13+1,1))-AVERAGE(OFFSET($H$3,0,0,'Données projet'!$E$13+1,1))</f>
        <v>220.18342986563667</v>
      </c>
      <c r="CZ114" s="59">
        <f t="shared" si="96"/>
        <v>347.84382145531163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6.6201928766934491E-12</v>
      </c>
      <c r="DI114" s="22">
        <f t="shared" si="69"/>
        <v>6.6201928766934491E-12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5.7639226724859328E-14</v>
      </c>
      <c r="DQ114" s="13">
        <f t="shared" si="97"/>
        <v>9.2325701996134334E-13</v>
      </c>
      <c r="DR114" s="20">
        <f t="shared" si="70"/>
        <v>1.708394296311803E-12</v>
      </c>
      <c r="DS114" s="59">
        <f t="shared" si="71"/>
        <v>280.19336229462527</v>
      </c>
      <c r="DT114" s="59">
        <f ca="1">AVERAGE(OFFSET($DS$3,0,0,'Données projet'!$E$14+1,1))-AVERAGE(OFFSET($H$3,0,0,'Données projet'!$E$14+1,1))</f>
        <v>392.49465607243178</v>
      </c>
      <c r="DU114" s="59">
        <f t="shared" si="98"/>
        <v>258.031856676031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91.323722953772844</v>
      </c>
      <c r="EB114" s="21">
        <f>EXP(-LN(2)/25)*EB113+(1-EXP(-LN(2)/25))/(LN(2)/25)*Calculateur!DW114*Calculateur!DY114*VLOOKUP('Données projet'!$B$14,Paramètres!$A$1:$I$89,3,0)*0.475*44/12</f>
        <v>68.531164170426408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159.85488712419925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294.24530606293143</v>
      </c>
      <c r="EP114" s="59">
        <f t="shared" si="100"/>
        <v>275.88160405468193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77.247969991242556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77.247969991242556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1.1368683772161603E-13</v>
      </c>
      <c r="FF114" s="17">
        <f>FE114*VLOOKUP('Données projet'!$B$16,Paramètres!$A$1:$I$89,3,0)*VLOOKUP('Données projet'!$B$16,Paramètres!$A$1:$I$89,5,0)</f>
        <v>8.3355189417488869E-14</v>
      </c>
      <c r="FG114" s="13">
        <f t="shared" si="101"/>
        <v>1.2790518435140618E-12</v>
      </c>
      <c r="FH114" s="20">
        <f t="shared" si="76"/>
        <v>2.3728589156891171E-12</v>
      </c>
      <c r="FI114" s="59">
        <f t="shared" si="77"/>
        <v>280.19336229462596</v>
      </c>
      <c r="FJ114" s="59">
        <f ca="1">AVERAGE(OFFSET($FI$3,0,0,'Données projet'!$E$16+1,1))-AVERAGE(OFFSET($H$3,0,0,'Données projet'!$E$16+1,1))</f>
        <v>214.31585175697521</v>
      </c>
      <c r="FK114" s="59">
        <f t="shared" si="102"/>
        <v>244.60383864821372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35.874475297529457</v>
      </c>
      <c r="FR114" s="21">
        <f>EXP(-LN(2)/25)*FR113+(1-EXP(-LN(2)/25))/(LN(2)/25)*Calculateur!FM114*Calculateur!FO114*VLOOKUP('Données projet'!$B$16,Paramètres!$A$1:$I$89,3,0)*0.475*44/12</f>
        <v>0</v>
      </c>
      <c r="FS114" s="21">
        <f>EXP(-LN(2)/2)*FS113+(1-EXP(-LN(2)/2))/(LN(2)/2)*FM114*FP114*VLOOKUP('Données projet'!$B$16,Paramètres!$A$1:$I$89,3,0)*0.475*44/12</f>
        <v>0</v>
      </c>
      <c r="FT114" s="22">
        <f t="shared" si="78"/>
        <v>35.874475297529457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-5.6843418860808015E-14</v>
      </c>
      <c r="GA114" s="17">
        <f>FZ114*VLOOKUP('Données projet'!$B$17,Paramètres!$A$1:$I$89,3,0)*VLOOKUP('Données projet'!$B$17,Paramètres!$A$1:$I$89,5,0)</f>
        <v>-4.5224624045658861E-14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308.33954512886351</v>
      </c>
      <c r="GF114" s="59">
        <f t="shared" si="104"/>
        <v>408.79075392716277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49.673632267645374</v>
      </c>
      <c r="GM114" s="21">
        <f>EXP(-LN(2)/25)*GM113+(1-EXP(-LN(2)/25))/(LN(2)/25)*Calculateur!GH114*Calculateur!GJ114*VLOOKUP('Données projet'!$B$17,Paramètres!$A$1:$I$89,3,0)*0.475*44/12</f>
        <v>0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49.673632267645374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342.84342155097613</v>
      </c>
      <c r="T115" s="59">
        <f t="shared" si="88"/>
        <v>565.68976940602215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45.900360631280783</v>
      </c>
      <c r="AA115" s="21">
        <f>EXP(-LN(2)/25)*AA114+(1-EXP(-LN(2)/25))/(LN(2)/25)*Calculateur!V115*Calculateur!X115*VLOOKUP('Données projet'!$B$9,Paramètres!$A$1:$I$89,3,0)*0.475*44/12</f>
        <v>13.784196138464262</v>
      </c>
      <c r="AB115" s="21">
        <f>EXP(-LN(2)/2)*AB114+(1-EXP(-LN(2)/2))/(LN(2)/2)*V115*Y115*VLOOKUP('Données projet'!$B$9,Paramètres!$A$1:$I$89,3,0)*0.475*44/12</f>
        <v>3.4071404647973492E-9</v>
      </c>
      <c r="AC115" s="22">
        <f t="shared" si="57"/>
        <v>59.684556773152181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320.33056209214476</v>
      </c>
      <c r="AO115" s="59">
        <f t="shared" si="90"/>
        <v>299.27200854723446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27.851993220770119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27.851993220770119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256.85706398254547</v>
      </c>
      <c r="BJ115" s="59">
        <f t="shared" si="92"/>
        <v>363.68094621014734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52.285542097567884</v>
      </c>
      <c r="BQ115" s="21">
        <f>EXP(-LN(2)/25)*BQ114+(1-EXP(-LN(2)/25))/(LN(2)/25)*Calculateur!BL115*Calculateur!BN115*VLOOKUP('Données projet'!$B$11,Paramètres!$A$1:$I$89,3,0)*0.475*44/12</f>
        <v>12.759849010145997</v>
      </c>
      <c r="BR115" s="21">
        <f>EXP(-LN(2)/2)*BR114+(1-EXP(-LN(2)/2))/(LN(2)/2)*BL115*BO115*VLOOKUP('Données projet'!$B$11,Paramètres!$A$1:$I$89,3,0)*0.475*44/12</f>
        <v>3.2249877693197303E-7</v>
      </c>
      <c r="BS115" s="22">
        <f t="shared" si="63"/>
        <v>65.045391430212661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5.6843418860808015E-14</v>
      </c>
      <c r="BZ115" s="13">
        <f>BY115*VLOOKUP('Données projet'!$B$12,Paramètres!$A$1:$I$89,3,0)*VLOOKUP('Données projet'!$B$12,Paramètres!$A$1:$I$89,5,0)</f>
        <v>5.1431925385259088E-14</v>
      </c>
      <c r="CA115" s="13">
        <f t="shared" si="93"/>
        <v>8.3482866290946129E-13</v>
      </c>
      <c r="CB115" s="20">
        <f t="shared" si="64"/>
        <v>1.5435705246133045E-12</v>
      </c>
      <c r="CC115" s="59">
        <f t="shared" si="65"/>
        <v>280.4213114155724</v>
      </c>
      <c r="CD115" s="59">
        <f ca="1">AVERAGE(OFFSET($CC$3,0,0,'Données projet'!$E$12+1,1))-AVERAGE(OFFSET($H$3,0,0,'Données projet'!$E$12+1,1))</f>
        <v>357.68828740212223</v>
      </c>
      <c r="CE115" s="59">
        <f t="shared" si="94"/>
        <v>236.76626845829483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79.890913631076529</v>
      </c>
      <c r="CL115" s="21">
        <f>EXP(-LN(2)/25)*CL114+(1-EXP(-LN(2)/25))/(LN(2)/25)*Calculateur!CG115*Calculateur!CI115*VLOOKUP('Données projet'!$B$12,Paramètres!$A$1:$I$89,3,0)*0.475*44/12</f>
        <v>59.478710787273094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139.36962441834962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257.00000000000006</v>
      </c>
      <c r="CU115" s="17">
        <f>CT115*VLOOKUP('Données projet'!$B$13,Paramètres!$A$1:$I$89,3,0)*VLOOKUP('Données projet'!$B$13,Paramètres!$A$1:$I$89,5,0)</f>
        <v>168.38640000000004</v>
      </c>
      <c r="CV115" s="13">
        <f t="shared" si="95"/>
        <v>42.728430513203243</v>
      </c>
      <c r="CW115" s="20">
        <f t="shared" si="67"/>
        <v>367.69166314382898</v>
      </c>
      <c r="CX115" s="59">
        <f t="shared" si="68"/>
        <v>648.11297455939985</v>
      </c>
      <c r="CY115" s="59">
        <f ca="1">AVERAGE(OFFSET($CX$3,0,0,'Données projet'!$E$13+1,1))-AVERAGE(OFFSET($H$3,0,0,'Données projet'!$E$13+1,1))</f>
        <v>220.18342986563667</v>
      </c>
      <c r="CZ115" s="59">
        <f t="shared" si="96"/>
        <v>347.84382145531163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4.6811832758728152E-12</v>
      </c>
      <c r="DI115" s="22">
        <f t="shared" si="69"/>
        <v>4.6811832758728152E-12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5.7639226724859328E-14</v>
      </c>
      <c r="DQ115" s="13">
        <f t="shared" si="97"/>
        <v>9.2325701996134334E-13</v>
      </c>
      <c r="DR115" s="20">
        <f t="shared" si="70"/>
        <v>1.708394296311803E-12</v>
      </c>
      <c r="DS115" s="59">
        <f t="shared" si="71"/>
        <v>280.42131141557257</v>
      </c>
      <c r="DT115" s="59">
        <f ca="1">AVERAGE(OFFSET($DS$3,0,0,'Données projet'!$E$14+1,1))-AVERAGE(OFFSET($H$3,0,0,'Données projet'!$E$14+1,1))</f>
        <v>392.49465607243178</v>
      </c>
      <c r="DU115" s="59">
        <f t="shared" si="98"/>
        <v>258.031856676031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89.532920448620246</v>
      </c>
      <c r="EB115" s="21">
        <f>EXP(-LN(2)/25)*EB114+(1-EXP(-LN(2)/25))/(LN(2)/25)*Calculateur!DW115*Calculateur!DY115*VLOOKUP('Données projet'!$B$14,Paramètres!$A$1:$I$89,3,0)*0.475*44/12</f>
        <v>66.657175882288797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156.19009633090906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294.24530606293143</v>
      </c>
      <c r="EP115" s="59">
        <f t="shared" si="100"/>
        <v>275.88160405468193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75.73318441632361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75.73318441632361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1.1368683772161603E-13</v>
      </c>
      <c r="FF115" s="17">
        <f>FE115*VLOOKUP('Données projet'!$B$16,Paramètres!$A$1:$I$89,3,0)*VLOOKUP('Données projet'!$B$16,Paramètres!$A$1:$I$89,5,0)</f>
        <v>8.3355189417488869E-14</v>
      </c>
      <c r="FG115" s="13">
        <f t="shared" si="101"/>
        <v>1.2790518435140618E-12</v>
      </c>
      <c r="FH115" s="20">
        <f t="shared" si="76"/>
        <v>2.3728589156891171E-12</v>
      </c>
      <c r="FI115" s="59">
        <f t="shared" si="77"/>
        <v>280.42131141557326</v>
      </c>
      <c r="FJ115" s="59">
        <f ca="1">AVERAGE(OFFSET($FI$3,0,0,'Données projet'!$E$16+1,1))-AVERAGE(OFFSET($H$3,0,0,'Données projet'!$E$16+1,1))</f>
        <v>214.31585175697521</v>
      </c>
      <c r="FK115" s="59">
        <f t="shared" si="102"/>
        <v>244.60383864821372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35.170998718214243</v>
      </c>
      <c r="FR115" s="21">
        <f>EXP(-LN(2)/25)*FR114+(1-EXP(-LN(2)/25))/(LN(2)/25)*Calculateur!FM115*Calculateur!FO115*VLOOKUP('Données projet'!$B$16,Paramètres!$A$1:$I$89,3,0)*0.475*44/12</f>
        <v>0</v>
      </c>
      <c r="FS115" s="21">
        <f>EXP(-LN(2)/2)*FS114+(1-EXP(-LN(2)/2))/(LN(2)/2)*FM115*FP115*VLOOKUP('Données projet'!$B$16,Paramètres!$A$1:$I$89,3,0)*0.475*44/12</f>
        <v>0</v>
      </c>
      <c r="FT115" s="22">
        <f t="shared" si="78"/>
        <v>35.170998718214243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-5.6843418860808015E-14</v>
      </c>
      <c r="GA115" s="17">
        <f>FZ115*VLOOKUP('Données projet'!$B$17,Paramètres!$A$1:$I$89,3,0)*VLOOKUP('Données projet'!$B$17,Paramètres!$A$1:$I$89,5,0)</f>
        <v>-4.5224624045658861E-14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308.33954512886351</v>
      </c>
      <c r="GF115" s="59">
        <f t="shared" si="104"/>
        <v>408.79075392716277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48.699562636800863</v>
      </c>
      <c r="GM115" s="21">
        <f>EXP(-LN(2)/25)*GM114+(1-EXP(-LN(2)/25))/(LN(2)/25)*Calculateur!GH115*Calculateur!GJ115*VLOOKUP('Données projet'!$B$17,Paramètres!$A$1:$I$89,3,0)*0.475*44/12</f>
        <v>0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48.699562636800863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342.84342155097613</v>
      </c>
      <c r="T116" s="59">
        <f t="shared" si="88"/>
        <v>565.68976940602215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45.000282555756932</v>
      </c>
      <c r="AA116" s="21">
        <f>EXP(-LN(2)/25)*AA115+(1-EXP(-LN(2)/25))/(LN(2)/25)*Calculateur!V116*Calculateur!X116*VLOOKUP('Données projet'!$B$9,Paramètres!$A$1:$I$89,3,0)*0.475*44/12</f>
        <v>13.407266570178585</v>
      </c>
      <c r="AB116" s="21">
        <f>EXP(-LN(2)/2)*AB115+(1-EXP(-LN(2)/2))/(LN(2)/2)*V116*Y116*VLOOKUP('Données projet'!$B$9,Paramètres!$A$1:$I$89,3,0)*0.475*44/12</f>
        <v>2.409212127113291E-9</v>
      </c>
      <c r="AC116" s="22">
        <f t="shared" si="57"/>
        <v>58.407549128344726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320.33056209214476</v>
      </c>
      <c r="AO116" s="59">
        <f t="shared" si="90"/>
        <v>299.27200854723446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27.090379001475494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27.090379001475494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256.85706398254547</v>
      </c>
      <c r="BJ116" s="59">
        <f t="shared" si="92"/>
        <v>363.68094621014734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51.260254508066282</v>
      </c>
      <c r="BQ116" s="21">
        <f>EXP(-LN(2)/25)*BQ115+(1-EXP(-LN(2)/25))/(LN(2)/25)*Calculateur!BL116*Calculateur!BN116*VLOOKUP('Données projet'!$B$11,Paramètres!$A$1:$I$89,3,0)*0.475*44/12</f>
        <v>12.410930267952258</v>
      </c>
      <c r="BR116" s="21">
        <f>EXP(-LN(2)/2)*BR115+(1-EXP(-LN(2)/2))/(LN(2)/2)*BL116*BO116*VLOOKUP('Données projet'!$B$11,Paramètres!$A$1:$I$89,3,0)*0.475*44/12</f>
        <v>2.2804107209296586E-7</v>
      </c>
      <c r="BS116" s="22">
        <f t="shared" si="63"/>
        <v>63.671185004059616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5.6843418860808015E-14</v>
      </c>
      <c r="BZ116" s="13">
        <f>BY116*VLOOKUP('Données projet'!$B$12,Paramètres!$A$1:$I$89,3,0)*VLOOKUP('Données projet'!$B$12,Paramètres!$A$1:$I$89,5,0)</f>
        <v>5.1431925385259088E-14</v>
      </c>
      <c r="CA116" s="13">
        <f t="shared" si="93"/>
        <v>8.3482866290946129E-13</v>
      </c>
      <c r="CB116" s="20">
        <f t="shared" si="64"/>
        <v>1.5435705246133045E-12</v>
      </c>
      <c r="CC116" s="59">
        <f t="shared" si="65"/>
        <v>280.64530612888916</v>
      </c>
      <c r="CD116" s="59">
        <f ca="1">AVERAGE(OFFSET($CC$3,0,0,'Données projet'!$E$12+1,1))-AVERAGE(OFFSET($H$3,0,0,'Données projet'!$E$12+1,1))</f>
        <v>357.68828740212223</v>
      </c>
      <c r="CE116" s="59">
        <f t="shared" si="94"/>
        <v>236.76626845829483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78.32430154341688</v>
      </c>
      <c r="CL116" s="21">
        <f>EXP(-LN(2)/25)*CL115+(1-EXP(-LN(2)/25))/(LN(2)/25)*Calculateur!CG116*Calculateur!CI116*VLOOKUP('Données projet'!$B$12,Paramètres!$A$1:$I$89,3,0)*0.475*44/12</f>
        <v>57.852262312945655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136.17656385636252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257.00000000000006</v>
      </c>
      <c r="CU116" s="17">
        <f>CT116*VLOOKUP('Données projet'!$B$13,Paramètres!$A$1:$I$89,3,0)*VLOOKUP('Données projet'!$B$13,Paramètres!$A$1:$I$89,5,0)</f>
        <v>168.38640000000004</v>
      </c>
      <c r="CV116" s="13">
        <f t="shared" si="95"/>
        <v>42.728430513203243</v>
      </c>
      <c r="CW116" s="20">
        <f t="shared" si="67"/>
        <v>367.69166314382898</v>
      </c>
      <c r="CX116" s="59">
        <f t="shared" si="68"/>
        <v>648.3369692727166</v>
      </c>
      <c r="CY116" s="59">
        <f ca="1">AVERAGE(OFFSET($CX$3,0,0,'Données projet'!$E$13+1,1))-AVERAGE(OFFSET($H$3,0,0,'Données projet'!$E$13+1,1))</f>
        <v>220.18342986563667</v>
      </c>
      <c r="CZ116" s="59">
        <f t="shared" si="96"/>
        <v>347.84382145531163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3.3100964383467245E-12</v>
      </c>
      <c r="DI116" s="22">
        <f t="shared" si="69"/>
        <v>3.3100964383467245E-12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5.7639226724859328E-14</v>
      </c>
      <c r="DQ116" s="13">
        <f t="shared" si="97"/>
        <v>9.2325701996134334E-13</v>
      </c>
      <c r="DR116" s="20">
        <f t="shared" si="70"/>
        <v>1.708394296311803E-12</v>
      </c>
      <c r="DS116" s="59">
        <f t="shared" si="71"/>
        <v>280.64530612888933</v>
      </c>
      <c r="DT116" s="59">
        <f ca="1">AVERAGE(OFFSET($DS$3,0,0,'Données projet'!$E$14+1,1))-AVERAGE(OFFSET($H$3,0,0,'Données projet'!$E$14+1,1))</f>
        <v>392.49465607243178</v>
      </c>
      <c r="DU116" s="59">
        <f t="shared" si="98"/>
        <v>258.031856676031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87.777234488312018</v>
      </c>
      <c r="EB116" s="21">
        <f>EXP(-LN(2)/25)*EB115+(1-EXP(-LN(2)/25))/(LN(2)/25)*Calculateur!DW116*Calculateur!DY116*VLOOKUP('Données projet'!$B$14,Paramètres!$A$1:$I$89,3,0)*0.475*44/12</f>
        <v>64.834431902439078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152.61166639075111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294.24530606293143</v>
      </c>
      <c r="EP116" s="59">
        <f t="shared" si="100"/>
        <v>275.88160405468193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74.248102862600845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74.248102862600845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1.1368683772161603E-13</v>
      </c>
      <c r="FF116" s="17">
        <f>FE116*VLOOKUP('Données projet'!$B$16,Paramètres!$A$1:$I$89,3,0)*VLOOKUP('Données projet'!$B$16,Paramètres!$A$1:$I$89,5,0)</f>
        <v>8.3355189417488869E-14</v>
      </c>
      <c r="FG116" s="13">
        <f t="shared" si="101"/>
        <v>1.2790518435140618E-12</v>
      </c>
      <c r="FH116" s="20">
        <f t="shared" si="76"/>
        <v>2.3728589156891171E-12</v>
      </c>
      <c r="FI116" s="59">
        <f t="shared" si="77"/>
        <v>280.64530612889001</v>
      </c>
      <c r="FJ116" s="59">
        <f ca="1">AVERAGE(OFFSET($FI$3,0,0,'Données projet'!$E$16+1,1))-AVERAGE(OFFSET($H$3,0,0,'Données projet'!$E$16+1,1))</f>
        <v>214.31585175697521</v>
      </c>
      <c r="FK116" s="59">
        <f t="shared" si="102"/>
        <v>244.60383864821372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34.481316885541048</v>
      </c>
      <c r="FR116" s="21">
        <f>EXP(-LN(2)/25)*FR115+(1-EXP(-LN(2)/25))/(LN(2)/25)*Calculateur!FM116*Calculateur!FO116*VLOOKUP('Données projet'!$B$16,Paramètres!$A$1:$I$89,3,0)*0.475*44/12</f>
        <v>0</v>
      </c>
      <c r="FS116" s="21">
        <f>EXP(-LN(2)/2)*FS115+(1-EXP(-LN(2)/2))/(LN(2)/2)*FM116*FP116*VLOOKUP('Données projet'!$B$16,Paramètres!$A$1:$I$89,3,0)*0.475*44/12</f>
        <v>0</v>
      </c>
      <c r="FT116" s="22">
        <f t="shared" si="78"/>
        <v>34.481316885541048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-5.6843418860808015E-14</v>
      </c>
      <c r="GA116" s="17">
        <f>FZ116*VLOOKUP('Données projet'!$B$17,Paramètres!$A$1:$I$89,3,0)*VLOOKUP('Données projet'!$B$17,Paramètres!$A$1:$I$89,5,0)</f>
        <v>-4.5224624045658861E-14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308.33954512886351</v>
      </c>
      <c r="GF116" s="59">
        <f t="shared" si="104"/>
        <v>408.79075392716277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47.7445939172934</v>
      </c>
      <c r="GM116" s="21">
        <f>EXP(-LN(2)/25)*GM115+(1-EXP(-LN(2)/25))/(LN(2)/25)*Calculateur!GH116*Calculateur!GJ116*VLOOKUP('Données projet'!$B$17,Paramètres!$A$1:$I$89,3,0)*0.475*44/12</f>
        <v>0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47.7445939172934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342.84342155097613</v>
      </c>
      <c r="T117" s="59">
        <f t="shared" si="88"/>
        <v>565.68976940602215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44.117854462300684</v>
      </c>
      <c r="AA117" s="21">
        <f>EXP(-LN(2)/25)*AA116+(1-EXP(-LN(2)/25))/(LN(2)/25)*Calculateur!V117*Calculateur!X117*VLOOKUP('Données projet'!$B$9,Paramètres!$A$1:$I$89,3,0)*0.475*44/12</f>
        <v>13.040644160759545</v>
      </c>
      <c r="AB117" s="21">
        <f>EXP(-LN(2)/2)*AB116+(1-EXP(-LN(2)/2))/(LN(2)/2)*V117*Y117*VLOOKUP('Données projet'!$B$9,Paramètres!$A$1:$I$89,3,0)*0.475*44/12</f>
        <v>1.7035702323986746E-9</v>
      </c>
      <c r="AC117" s="22">
        <f t="shared" si="57"/>
        <v>57.158498624763794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320.33056209214476</v>
      </c>
      <c r="AO117" s="59">
        <f t="shared" si="90"/>
        <v>299.27200854723446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26.349591163059031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26.349591163059031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256.85706398254547</v>
      </c>
      <c r="BJ117" s="59">
        <f t="shared" si="92"/>
        <v>363.68094621014734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50.255072182831121</v>
      </c>
      <c r="BQ117" s="21">
        <f>EXP(-LN(2)/25)*BQ116+(1-EXP(-LN(2)/25))/(LN(2)/25)*Calculateur!BL117*Calculateur!BN117*VLOOKUP('Données projet'!$B$11,Paramètres!$A$1:$I$89,3,0)*0.475*44/12</f>
        <v>12.071552727112646</v>
      </c>
      <c r="BR117" s="21">
        <f>EXP(-LN(2)/2)*BR116+(1-EXP(-LN(2)/2))/(LN(2)/2)*BL117*BO117*VLOOKUP('Données projet'!$B$11,Paramètres!$A$1:$I$89,3,0)*0.475*44/12</f>
        <v>1.6124938846598652E-7</v>
      </c>
      <c r="BS117" s="22">
        <f t="shared" si="63"/>
        <v>62.326625071193156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5.6843418860808015E-14</v>
      </c>
      <c r="BZ117" s="13">
        <f>BY117*VLOOKUP('Données projet'!$B$12,Paramètres!$A$1:$I$89,3,0)*VLOOKUP('Données projet'!$B$12,Paramètres!$A$1:$I$89,5,0)</f>
        <v>5.1431925385259088E-14</v>
      </c>
      <c r="CA117" s="13">
        <f t="shared" si="93"/>
        <v>8.3482866290946129E-13</v>
      </c>
      <c r="CB117" s="20">
        <f t="shared" si="64"/>
        <v>1.5435705246133045E-12</v>
      </c>
      <c r="CC117" s="59">
        <f t="shared" si="65"/>
        <v>280.86541503470698</v>
      </c>
      <c r="CD117" s="59">
        <f ca="1">AVERAGE(OFFSET($CC$3,0,0,'Données projet'!$E$12+1,1))-AVERAGE(OFFSET($H$3,0,0,'Données projet'!$E$12+1,1))</f>
        <v>357.68828740212223</v>
      </c>
      <c r="CE117" s="59">
        <f t="shared" si="94"/>
        <v>236.76626845829483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76.788409763257221</v>
      </c>
      <c r="CL117" s="21">
        <f>EXP(-LN(2)/25)*CL116+(1-EXP(-LN(2)/25))/(LN(2)/25)*Calculateur!CG117*Calculateur!CI117*VLOOKUP('Données projet'!$B$12,Paramètres!$A$1:$I$89,3,0)*0.475*44/12</f>
        <v>56.270289157679905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133.05869892093713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257.00000000000006</v>
      </c>
      <c r="CU117" s="17">
        <f>CT117*VLOOKUP('Données projet'!$B$13,Paramètres!$A$1:$I$89,3,0)*VLOOKUP('Données projet'!$B$13,Paramètres!$A$1:$I$89,5,0)</f>
        <v>168.38640000000004</v>
      </c>
      <c r="CV117" s="13">
        <f t="shared" si="95"/>
        <v>42.728430513203243</v>
      </c>
      <c r="CW117" s="20">
        <f t="shared" si="67"/>
        <v>367.69166314382898</v>
      </c>
      <c r="CX117" s="59">
        <f t="shared" si="68"/>
        <v>648.55707817853443</v>
      </c>
      <c r="CY117" s="59">
        <f ca="1">AVERAGE(OFFSET($CX$3,0,0,'Données projet'!$E$13+1,1))-AVERAGE(OFFSET($H$3,0,0,'Données projet'!$E$13+1,1))</f>
        <v>220.18342986563667</v>
      </c>
      <c r="CZ117" s="59">
        <f t="shared" si="96"/>
        <v>347.84382145531163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2.3405916379364076E-12</v>
      </c>
      <c r="DI117" s="22">
        <f t="shared" si="69"/>
        <v>2.3405916379364076E-12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5.7639226724859328E-14</v>
      </c>
      <c r="DQ117" s="13">
        <f t="shared" si="97"/>
        <v>9.2325701996134334E-13</v>
      </c>
      <c r="DR117" s="20">
        <f t="shared" si="70"/>
        <v>1.708394296311803E-12</v>
      </c>
      <c r="DS117" s="59">
        <f t="shared" si="71"/>
        <v>280.86541503470715</v>
      </c>
      <c r="DT117" s="59">
        <f ca="1">AVERAGE(OFFSET($DS$3,0,0,'Données projet'!$E$14+1,1))-AVERAGE(OFFSET($H$3,0,0,'Données projet'!$E$14+1,1))</f>
        <v>392.49465607243178</v>
      </c>
      <c r="DU117" s="59">
        <f t="shared" si="98"/>
        <v>258.031856676031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86.055976458822741</v>
      </c>
      <c r="EB117" s="21">
        <f>EXP(-LN(2)/25)*EB116+(1-EXP(-LN(2)/25))/(LN(2)/25)*Calculateur!DW117*Calculateur!DY117*VLOOKUP('Données projet'!$B$14,Paramètres!$A$1:$I$89,3,0)*0.475*44/12</f>
        <v>63.061530952572291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149.11750741139502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294.24530606293143</v>
      </c>
      <c r="EP117" s="59">
        <f t="shared" si="100"/>
        <v>275.88160405468193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72.792142852336283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72.792142852336283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1.1368683772161603E-13</v>
      </c>
      <c r="FF117" s="17">
        <f>FE117*VLOOKUP('Données projet'!$B$16,Paramètres!$A$1:$I$89,3,0)*VLOOKUP('Données projet'!$B$16,Paramètres!$A$1:$I$89,5,0)</f>
        <v>8.3355189417488869E-14</v>
      </c>
      <c r="FG117" s="13">
        <f t="shared" si="101"/>
        <v>1.2790518435140618E-12</v>
      </c>
      <c r="FH117" s="20">
        <f t="shared" si="76"/>
        <v>2.3728589156891171E-12</v>
      </c>
      <c r="FI117" s="59">
        <f t="shared" si="77"/>
        <v>280.86541503470784</v>
      </c>
      <c r="FJ117" s="59">
        <f ca="1">AVERAGE(OFFSET($FI$3,0,0,'Données projet'!$E$16+1,1))-AVERAGE(OFFSET($H$3,0,0,'Données projet'!$E$16+1,1))</f>
        <v>214.31585175697521</v>
      </c>
      <c r="FK117" s="59">
        <f t="shared" si="102"/>
        <v>244.60383864821372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33.8051592929422</v>
      </c>
      <c r="FR117" s="21">
        <f>EXP(-LN(2)/25)*FR116+(1-EXP(-LN(2)/25))/(LN(2)/25)*Calculateur!FM117*Calculateur!FO117*VLOOKUP('Données projet'!$B$16,Paramètres!$A$1:$I$89,3,0)*0.475*44/12</f>
        <v>0</v>
      </c>
      <c r="FS117" s="21">
        <f>EXP(-LN(2)/2)*FS116+(1-EXP(-LN(2)/2))/(LN(2)/2)*FM117*FP117*VLOOKUP('Données projet'!$B$16,Paramètres!$A$1:$I$89,3,0)*0.475*44/12</f>
        <v>0</v>
      </c>
      <c r="FT117" s="22">
        <f t="shared" si="78"/>
        <v>33.8051592929422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-5.6843418860808015E-14</v>
      </c>
      <c r="GA117" s="17">
        <f>FZ117*VLOOKUP('Données projet'!$B$17,Paramètres!$A$1:$I$89,3,0)*VLOOKUP('Données projet'!$B$17,Paramètres!$A$1:$I$89,5,0)</f>
        <v>-4.5224624045658861E-14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308.33954512886351</v>
      </c>
      <c r="GF117" s="59">
        <f t="shared" si="104"/>
        <v>408.79075392716277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46.808351551902071</v>
      </c>
      <c r="GM117" s="21">
        <f>EXP(-LN(2)/25)*GM116+(1-EXP(-LN(2)/25))/(LN(2)/25)*Calculateur!GH117*Calculateur!GJ117*VLOOKUP('Données projet'!$B$17,Paramètres!$A$1:$I$89,3,0)*0.475*44/12</f>
        <v>0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46.808351551902071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342.84342155097613</v>
      </c>
      <c r="T118" s="59">
        <f t="shared" si="88"/>
        <v>565.68976940602215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43.252730245529122</v>
      </c>
      <c r="AA118" s="21">
        <f>EXP(-LN(2)/25)*AA117+(1-EXP(-LN(2)/25))/(LN(2)/25)*Calculateur!V118*Calculateur!X118*VLOOKUP('Données projet'!$B$9,Paramètres!$A$1:$I$89,3,0)*0.475*44/12</f>
        <v>12.684047060405904</v>
      </c>
      <c r="AB118" s="21">
        <f>EXP(-LN(2)/2)*AB117+(1-EXP(-LN(2)/2))/(LN(2)/2)*V118*Y118*VLOOKUP('Données projet'!$B$9,Paramètres!$A$1:$I$89,3,0)*0.475*44/12</f>
        <v>1.2046060635566455E-9</v>
      </c>
      <c r="AC118" s="22">
        <f t="shared" si="57"/>
        <v>55.936777307139629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320.33056209214476</v>
      </c>
      <c r="AO118" s="59">
        <f t="shared" si="90"/>
        <v>299.27200854723446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25.629060207040407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25.629060207040407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256.85706398254547</v>
      </c>
      <c r="BJ118" s="59">
        <f t="shared" si="92"/>
        <v>363.68094621014734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49.269600869893146</v>
      </c>
      <c r="BQ118" s="21">
        <f>EXP(-LN(2)/25)*BQ117+(1-EXP(-LN(2)/25))/(LN(2)/25)*Calculateur!BL118*Calculateur!BN118*VLOOKUP('Données projet'!$B$11,Paramètres!$A$1:$I$89,3,0)*0.475*44/12</f>
        <v>11.741455482974382</v>
      </c>
      <c r="BR118" s="21">
        <f>EXP(-LN(2)/2)*BR117+(1-EXP(-LN(2)/2))/(LN(2)/2)*BL118*BO118*VLOOKUP('Données projet'!$B$11,Paramètres!$A$1:$I$89,3,0)*0.475*44/12</f>
        <v>1.1402053604648293E-7</v>
      </c>
      <c r="BS118" s="22">
        <f t="shared" si="63"/>
        <v>61.011056466888064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5.6843418860808015E-14</v>
      </c>
      <c r="BZ118" s="13">
        <f>BY118*VLOOKUP('Données projet'!$B$12,Paramètres!$A$1:$I$89,3,0)*VLOOKUP('Données projet'!$B$12,Paramètres!$A$1:$I$89,5,0)</f>
        <v>5.1431925385259088E-14</v>
      </c>
      <c r="CA118" s="13">
        <f t="shared" si="93"/>
        <v>8.3482866290946129E-13</v>
      </c>
      <c r="CB118" s="20">
        <f t="shared" si="64"/>
        <v>1.5435705246133045E-12</v>
      </c>
      <c r="CC118" s="59">
        <f t="shared" si="65"/>
        <v>281.08170554309879</v>
      </c>
      <c r="CD118" s="59">
        <f ca="1">AVERAGE(OFFSET($CC$3,0,0,'Données projet'!$E$12+1,1))-AVERAGE(OFFSET($H$3,0,0,'Données projet'!$E$12+1,1))</f>
        <v>357.68828740212223</v>
      </c>
      <c r="CE118" s="59">
        <f t="shared" si="94"/>
        <v>236.76626845829483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75.282635884105005</v>
      </c>
      <c r="CL118" s="21">
        <f>EXP(-LN(2)/25)*CL117+(1-EXP(-LN(2)/25))/(LN(2)/25)*Calculateur!CG118*Calculateur!CI118*VLOOKUP('Données projet'!$B$12,Paramètres!$A$1:$I$89,3,0)*0.475*44/12</f>
        <v>54.731575141537249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130.01421102564225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257.00000000000006</v>
      </c>
      <c r="CU118" s="17">
        <f>CT118*VLOOKUP('Données projet'!$B$13,Paramètres!$A$1:$I$89,3,0)*VLOOKUP('Données projet'!$B$13,Paramètres!$A$1:$I$89,5,0)</f>
        <v>168.38640000000004</v>
      </c>
      <c r="CV118" s="13">
        <f t="shared" si="95"/>
        <v>42.728430513203243</v>
      </c>
      <c r="CW118" s="20">
        <f t="shared" si="67"/>
        <v>367.69166314382898</v>
      </c>
      <c r="CX118" s="59">
        <f t="shared" si="68"/>
        <v>648.77336868692623</v>
      </c>
      <c r="CY118" s="59">
        <f ca="1">AVERAGE(OFFSET($CX$3,0,0,'Données projet'!$E$13+1,1))-AVERAGE(OFFSET($H$3,0,0,'Données projet'!$E$13+1,1))</f>
        <v>220.18342986563667</v>
      </c>
      <c r="CZ118" s="59">
        <f t="shared" si="96"/>
        <v>347.84382145531163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1.6550482191733623E-12</v>
      </c>
      <c r="DI118" s="22">
        <f t="shared" si="69"/>
        <v>1.6550482191733623E-12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5.7639226724859328E-14</v>
      </c>
      <c r="DQ118" s="13">
        <f t="shared" si="97"/>
        <v>9.2325701996134334E-13</v>
      </c>
      <c r="DR118" s="20">
        <f t="shared" si="70"/>
        <v>1.708394296311803E-12</v>
      </c>
      <c r="DS118" s="59">
        <f t="shared" si="71"/>
        <v>281.08170554309896</v>
      </c>
      <c r="DT118" s="59">
        <f ca="1">AVERAGE(OFFSET($DS$3,0,0,'Données projet'!$E$14+1,1))-AVERAGE(OFFSET($H$3,0,0,'Données projet'!$E$14+1,1))</f>
        <v>392.49465607243178</v>
      </c>
      <c r="DU118" s="59">
        <f t="shared" si="98"/>
        <v>258.031856676031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84.368471249428012</v>
      </c>
      <c r="EB118" s="21">
        <f>EXP(-LN(2)/25)*EB117+(1-EXP(-LN(2)/25))/(LN(2)/25)*Calculateur!DW118*Calculateur!DY118*VLOOKUP('Données projet'!$B$14,Paramètres!$A$1:$I$89,3,0)*0.475*44/12</f>
        <v>61.337110072412415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145.70558132184044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294.24530606293143</v>
      </c>
      <c r="EP118" s="59">
        <f t="shared" si="100"/>
        <v>275.88160405468193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71.364733329825086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71.364733329825086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1.1368683772161603E-13</v>
      </c>
      <c r="FF118" s="17">
        <f>FE118*VLOOKUP('Données projet'!$B$16,Paramètres!$A$1:$I$89,3,0)*VLOOKUP('Données projet'!$B$16,Paramètres!$A$1:$I$89,5,0)</f>
        <v>8.3355189417488869E-14</v>
      </c>
      <c r="FG118" s="13">
        <f t="shared" si="101"/>
        <v>1.2790518435140618E-12</v>
      </c>
      <c r="FH118" s="20">
        <f t="shared" si="76"/>
        <v>2.3728589156891171E-12</v>
      </c>
      <c r="FI118" s="59">
        <f t="shared" si="77"/>
        <v>281.08170554309964</v>
      </c>
      <c r="FJ118" s="59">
        <f ca="1">AVERAGE(OFFSET($FI$3,0,0,'Données projet'!$E$16+1,1))-AVERAGE(OFFSET($H$3,0,0,'Données projet'!$E$16+1,1))</f>
        <v>214.31585175697521</v>
      </c>
      <c r="FK118" s="59">
        <f t="shared" si="102"/>
        <v>244.60383864821372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33.142260738318804</v>
      </c>
      <c r="FR118" s="21">
        <f>EXP(-LN(2)/25)*FR117+(1-EXP(-LN(2)/25))/(LN(2)/25)*Calculateur!FM118*Calculateur!FO118*VLOOKUP('Données projet'!$B$16,Paramètres!$A$1:$I$89,3,0)*0.475*44/12</f>
        <v>0</v>
      </c>
      <c r="FS118" s="21">
        <f>EXP(-LN(2)/2)*FS117+(1-EXP(-LN(2)/2))/(LN(2)/2)*FM118*FP118*VLOOKUP('Données projet'!$B$16,Paramètres!$A$1:$I$89,3,0)*0.475*44/12</f>
        <v>0</v>
      </c>
      <c r="FT118" s="22">
        <f t="shared" si="78"/>
        <v>33.142260738318804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-5.6843418860808015E-14</v>
      </c>
      <c r="GA118" s="17">
        <f>FZ118*VLOOKUP('Données projet'!$B$17,Paramètres!$A$1:$I$89,3,0)*VLOOKUP('Données projet'!$B$17,Paramètres!$A$1:$I$89,5,0)</f>
        <v>-4.5224624045658861E-14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308.33954512886351</v>
      </c>
      <c r="GF118" s="59">
        <f t="shared" si="104"/>
        <v>408.79075392716277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45.890468328244616</v>
      </c>
      <c r="GM118" s="21">
        <f>EXP(-LN(2)/25)*GM117+(1-EXP(-LN(2)/25))/(LN(2)/25)*Calculateur!GH118*Calculateur!GJ118*VLOOKUP('Données projet'!$B$17,Paramètres!$A$1:$I$89,3,0)*0.475*44/12</f>
        <v>0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45.890468328244616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342.84342155097613</v>
      </c>
      <c r="T119" s="59">
        <f t="shared" si="88"/>
        <v>565.68976940602215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42.404570586974785</v>
      </c>
      <c r="AA119" s="21">
        <f>EXP(-LN(2)/25)*AA118+(1-EXP(-LN(2)/25))/(LN(2)/25)*Calculateur!V119*Calculateur!X119*VLOOKUP('Données projet'!$B$9,Paramètres!$A$1:$I$89,3,0)*0.475*44/12</f>
        <v>12.33720112651406</v>
      </c>
      <c r="AB119" s="21">
        <f>EXP(-LN(2)/2)*AB118+(1-EXP(-LN(2)/2))/(LN(2)/2)*V119*Y119*VLOOKUP('Données projet'!$B$9,Paramètres!$A$1:$I$89,3,0)*0.475*44/12</f>
        <v>8.517851161993373E-10</v>
      </c>
      <c r="AC119" s="22">
        <f t="shared" si="57"/>
        <v>54.741771714340629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320.33056209214476</v>
      </c>
      <c r="AO119" s="59">
        <f t="shared" si="90"/>
        <v>299.27200854723446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24.928232207905186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24.928232207905186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256.85706398254547</v>
      </c>
      <c r="BJ119" s="59">
        <f t="shared" si="92"/>
        <v>363.68094621014734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48.303454048323736</v>
      </c>
      <c r="BQ119" s="21">
        <f>EXP(-LN(2)/25)*BQ118+(1-EXP(-LN(2)/25))/(LN(2)/25)*Calculateur!BL119*Calculateur!BN119*VLOOKUP('Données projet'!$B$11,Paramètres!$A$1:$I$89,3,0)*0.475*44/12</f>
        <v>11.42038476533614</v>
      </c>
      <c r="BR119" s="21">
        <f>EXP(-LN(2)/2)*BR118+(1-EXP(-LN(2)/2))/(LN(2)/2)*BL119*BO119*VLOOKUP('Données projet'!$B$11,Paramètres!$A$1:$I$89,3,0)*0.475*44/12</f>
        <v>8.0624694232993258E-8</v>
      </c>
      <c r="BS119" s="22">
        <f t="shared" si="63"/>
        <v>59.723838894284569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5.6843418860808015E-14</v>
      </c>
      <c r="BZ119" s="13">
        <f>BY119*VLOOKUP('Données projet'!$B$12,Paramètres!$A$1:$I$89,3,0)*VLOOKUP('Données projet'!$B$12,Paramètres!$A$1:$I$89,5,0)</f>
        <v>5.1431925385259088E-14</v>
      </c>
      <c r="CA119" s="13">
        <f t="shared" si="93"/>
        <v>8.3482866290946129E-13</v>
      </c>
      <c r="CB119" s="20">
        <f t="shared" si="64"/>
        <v>1.5435705246133045E-12</v>
      </c>
      <c r="CC119" s="59">
        <f t="shared" si="65"/>
        <v>281.29424389472302</v>
      </c>
      <c r="CD119" s="59">
        <f ca="1">AVERAGE(OFFSET($CC$3,0,0,'Données projet'!$E$12+1,1))-AVERAGE(OFFSET($H$3,0,0,'Données projet'!$E$12+1,1))</f>
        <v>357.68828740212223</v>
      </c>
      <c r="CE119" s="59">
        <f t="shared" si="94"/>
        <v>236.76626845829483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73.806389312291586</v>
      </c>
      <c r="CL119" s="21">
        <f>EXP(-LN(2)/25)*CL118+(1-EXP(-LN(2)/25))/(LN(2)/25)*Calculateur!CG119*Calculateur!CI119*VLOOKUP('Données projet'!$B$12,Paramètres!$A$1:$I$89,3,0)*0.475*44/12</f>
        <v>53.234937341083466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127.04132665337505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257.00000000000006</v>
      </c>
      <c r="CU119" s="17">
        <f>CT119*VLOOKUP('Données projet'!$B$13,Paramètres!$A$1:$I$89,3,0)*VLOOKUP('Données projet'!$B$13,Paramètres!$A$1:$I$89,5,0)</f>
        <v>168.38640000000004</v>
      </c>
      <c r="CV119" s="13">
        <f t="shared" si="95"/>
        <v>42.728430513203243</v>
      </c>
      <c r="CW119" s="20">
        <f t="shared" si="67"/>
        <v>367.69166314382898</v>
      </c>
      <c r="CX119" s="59">
        <f t="shared" si="68"/>
        <v>648.98590703855052</v>
      </c>
      <c r="CY119" s="59">
        <f ca="1">AVERAGE(OFFSET($CX$3,0,0,'Données projet'!$E$13+1,1))-AVERAGE(OFFSET($H$3,0,0,'Données projet'!$E$13+1,1))</f>
        <v>220.18342986563667</v>
      </c>
      <c r="CZ119" s="59">
        <f t="shared" si="96"/>
        <v>347.84382145531163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1.1702958189682038E-12</v>
      </c>
      <c r="DI119" s="22">
        <f t="shared" si="69"/>
        <v>1.1702958189682038E-12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5.7639226724859328E-14</v>
      </c>
      <c r="DQ119" s="13">
        <f t="shared" si="97"/>
        <v>9.2325701996134334E-13</v>
      </c>
      <c r="DR119" s="20">
        <f t="shared" si="70"/>
        <v>1.708394296311803E-12</v>
      </c>
      <c r="DS119" s="59">
        <f t="shared" si="71"/>
        <v>281.29424389472319</v>
      </c>
      <c r="DT119" s="59">
        <f ca="1">AVERAGE(OFFSET($DS$3,0,0,'Données projet'!$E$14+1,1))-AVERAGE(OFFSET($H$3,0,0,'Données projet'!$E$14+1,1))</f>
        <v>392.49465607243178</v>
      </c>
      <c r="DU119" s="59">
        <f t="shared" si="98"/>
        <v>258.031856676031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82.714056987912969</v>
      </c>
      <c r="EB119" s="21">
        <f>EXP(-LN(2)/25)*EB118+(1-EXP(-LN(2)/25))/(LN(2)/25)*Calculateur!DW119*Calculateur!DY119*VLOOKUP('Données projet'!$B$14,Paramètres!$A$1:$I$89,3,0)*0.475*44/12</f>
        <v>59.659843571903863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142.37390055981683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294.24530606293143</v>
      </c>
      <c r="EP119" s="59">
        <f t="shared" si="100"/>
        <v>275.88160405468193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69.965314437416495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69.965314437416495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1.1368683772161603E-13</v>
      </c>
      <c r="FF119" s="17">
        <f>FE119*VLOOKUP('Données projet'!$B$16,Paramètres!$A$1:$I$89,3,0)*VLOOKUP('Données projet'!$B$16,Paramètres!$A$1:$I$89,5,0)</f>
        <v>8.3355189417488869E-14</v>
      </c>
      <c r="FG119" s="13">
        <f t="shared" si="101"/>
        <v>1.2790518435140618E-12</v>
      </c>
      <c r="FH119" s="20">
        <f t="shared" si="76"/>
        <v>2.3728589156891171E-12</v>
      </c>
      <c r="FI119" s="59">
        <f t="shared" si="77"/>
        <v>281.29424389472388</v>
      </c>
      <c r="FJ119" s="59">
        <f ca="1">AVERAGE(OFFSET($FI$3,0,0,'Données projet'!$E$16+1,1))-AVERAGE(OFFSET($H$3,0,0,'Données projet'!$E$16+1,1))</f>
        <v>214.31585175697521</v>
      </c>
      <c r="FK119" s="59">
        <f t="shared" si="102"/>
        <v>244.60383864821372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32.492361220023376</v>
      </c>
      <c r="FR119" s="21">
        <f>EXP(-LN(2)/25)*FR118+(1-EXP(-LN(2)/25))/(LN(2)/25)*Calculateur!FM119*Calculateur!FO119*VLOOKUP('Données projet'!$B$16,Paramètres!$A$1:$I$89,3,0)*0.475*44/12</f>
        <v>0</v>
      </c>
      <c r="FS119" s="21">
        <f>EXP(-LN(2)/2)*FS118+(1-EXP(-LN(2)/2))/(LN(2)/2)*FM119*FP119*VLOOKUP('Données projet'!$B$16,Paramètres!$A$1:$I$89,3,0)*0.475*44/12</f>
        <v>0</v>
      </c>
      <c r="FT119" s="22">
        <f t="shared" si="78"/>
        <v>32.492361220023376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-5.6843418860808015E-14</v>
      </c>
      <c r="GA119" s="17">
        <f>FZ119*VLOOKUP('Données projet'!$B$17,Paramètres!$A$1:$I$89,3,0)*VLOOKUP('Données projet'!$B$17,Paramètres!$A$1:$I$89,5,0)</f>
        <v>-4.5224624045658861E-14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308.33954512886351</v>
      </c>
      <c r="GF119" s="59">
        <f t="shared" si="104"/>
        <v>408.79075392716277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44.990584234749598</v>
      </c>
      <c r="GM119" s="21">
        <f>EXP(-LN(2)/25)*GM118+(1-EXP(-LN(2)/25))/(LN(2)/25)*Calculateur!GH119*Calculateur!GJ119*VLOOKUP('Données projet'!$B$17,Paramètres!$A$1:$I$89,3,0)*0.475*44/12</f>
        <v>0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44.990584234749598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342.84342155097613</v>
      </c>
      <c r="T120" s="59">
        <f t="shared" si="88"/>
        <v>565.68976940602215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41.573042821998385</v>
      </c>
      <c r="AA120" s="21">
        <f>EXP(-LN(2)/25)*AA119+(1-EXP(-LN(2)/25))/(LN(2)/25)*Calculateur!V120*Calculateur!X120*VLOOKUP('Données projet'!$B$9,Paramètres!$A$1:$I$89,3,0)*0.475*44/12</f>
        <v>11.999839712924322</v>
      </c>
      <c r="AB120" s="21">
        <f>EXP(-LN(2)/2)*AB119+(1-EXP(-LN(2)/2))/(LN(2)/2)*V120*Y120*VLOOKUP('Données projet'!$B$9,Paramètres!$A$1:$I$89,3,0)*0.475*44/12</f>
        <v>6.0230303177832275E-10</v>
      </c>
      <c r="AC120" s="22">
        <f t="shared" si="57"/>
        <v>53.572882535525011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320.33056209214476</v>
      </c>
      <c r="AO120" s="59">
        <f t="shared" si="90"/>
        <v>299.27200854723446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24.246568387261259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24.246568387261259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256.85706398254547</v>
      </c>
      <c r="BJ120" s="59">
        <f t="shared" si="92"/>
        <v>363.68094621014734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47.35625277663393</v>
      </c>
      <c r="BQ120" s="21">
        <f>EXP(-LN(2)/25)*BQ119+(1-EXP(-LN(2)/25))/(LN(2)/25)*Calculateur!BL120*Calculateur!BN120*VLOOKUP('Données projet'!$B$11,Paramètres!$A$1:$I$89,3,0)*0.475*44/12</f>
        <v>11.10809374335609</v>
      </c>
      <c r="BR120" s="21">
        <f>EXP(-LN(2)/2)*BR119+(1-EXP(-LN(2)/2))/(LN(2)/2)*BL120*BO120*VLOOKUP('Données projet'!$B$11,Paramètres!$A$1:$I$89,3,0)*0.475*44/12</f>
        <v>5.7010268023241464E-8</v>
      </c>
      <c r="BS120" s="22">
        <f t="shared" si="63"/>
        <v>58.464346577000285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5.6843418860808015E-14</v>
      </c>
      <c r="BZ120" s="13">
        <f>BY120*VLOOKUP('Données projet'!$B$12,Paramètres!$A$1:$I$89,3,0)*VLOOKUP('Données projet'!$B$12,Paramètres!$A$1:$I$89,5,0)</f>
        <v>5.1431925385259088E-14</v>
      </c>
      <c r="CA120" s="13">
        <f t="shared" si="93"/>
        <v>8.3482866290946129E-13</v>
      </c>
      <c r="CB120" s="20">
        <f t="shared" si="64"/>
        <v>1.5435705246133045E-12</v>
      </c>
      <c r="CC120" s="59">
        <f t="shared" si="65"/>
        <v>281.50309518111118</v>
      </c>
      <c r="CD120" s="59">
        <f ca="1">AVERAGE(OFFSET($CC$3,0,0,'Données projet'!$E$12+1,1))-AVERAGE(OFFSET($H$3,0,0,'Données projet'!$E$12+1,1))</f>
        <v>357.68828740212223</v>
      </c>
      <c r="CE120" s="59">
        <f t="shared" si="94"/>
        <v>236.76626845829483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72.359091035329925</v>
      </c>
      <c r="CL120" s="21">
        <f>EXP(-LN(2)/25)*CL119+(1-EXP(-LN(2)/25))/(LN(2)/25)*Calculateur!CG120*Calculateur!CI120*VLOOKUP('Données projet'!$B$12,Paramètres!$A$1:$I$89,3,0)*0.475*44/12</f>
        <v>51.779225179987854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124.13831621531779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257.00000000000006</v>
      </c>
      <c r="CU120" s="17">
        <f>CT120*VLOOKUP('Données projet'!$B$13,Paramètres!$A$1:$I$89,3,0)*VLOOKUP('Données projet'!$B$13,Paramètres!$A$1:$I$89,5,0)</f>
        <v>168.38640000000004</v>
      </c>
      <c r="CV120" s="13">
        <f t="shared" si="95"/>
        <v>42.728430513203243</v>
      </c>
      <c r="CW120" s="20">
        <f t="shared" si="67"/>
        <v>367.69166314382898</v>
      </c>
      <c r="CX120" s="59">
        <f t="shared" si="68"/>
        <v>649.19475832493868</v>
      </c>
      <c r="CY120" s="59">
        <f ca="1">AVERAGE(OFFSET($CX$3,0,0,'Données projet'!$E$13+1,1))-AVERAGE(OFFSET($H$3,0,0,'Données projet'!$E$13+1,1))</f>
        <v>220.18342986563667</v>
      </c>
      <c r="CZ120" s="59">
        <f t="shared" si="96"/>
        <v>347.84382145531163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8.2752410958668113E-13</v>
      </c>
      <c r="DI120" s="22">
        <f t="shared" si="69"/>
        <v>8.2752410958668113E-13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5.7639226724859328E-14</v>
      </c>
      <c r="DQ120" s="13">
        <f t="shared" si="97"/>
        <v>9.2325701996134334E-13</v>
      </c>
      <c r="DR120" s="20">
        <f t="shared" si="70"/>
        <v>1.708394296311803E-12</v>
      </c>
      <c r="DS120" s="59">
        <f t="shared" si="71"/>
        <v>281.50309518111135</v>
      </c>
      <c r="DT120" s="59">
        <f ca="1">AVERAGE(OFFSET($DS$3,0,0,'Données projet'!$E$14+1,1))-AVERAGE(OFFSET($H$3,0,0,'Données projet'!$E$14+1,1))</f>
        <v>392.49465607243178</v>
      </c>
      <c r="DU120" s="59">
        <f t="shared" si="98"/>
        <v>258.031856676031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81.092084780973181</v>
      </c>
      <c r="EB120" s="21">
        <f>EXP(-LN(2)/25)*EB119+(1-EXP(-LN(2)/25))/(LN(2)/25)*Calculateur!DW120*Calculateur!DY120*VLOOKUP('Données projet'!$B$14,Paramètres!$A$1:$I$89,3,0)*0.475*44/12</f>
        <v>58.028442012055336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139.12052679302852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294.24530606293143</v>
      </c>
      <c r="EP120" s="59">
        <f t="shared" si="100"/>
        <v>275.88160405468193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68.593337295926801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68.593337295926801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1.1368683772161603E-13</v>
      </c>
      <c r="FF120" s="17">
        <f>FE120*VLOOKUP('Données projet'!$B$16,Paramètres!$A$1:$I$89,3,0)*VLOOKUP('Données projet'!$B$16,Paramètres!$A$1:$I$89,5,0)</f>
        <v>8.3355189417488869E-14</v>
      </c>
      <c r="FG120" s="13">
        <f t="shared" si="101"/>
        <v>1.2790518435140618E-12</v>
      </c>
      <c r="FH120" s="20">
        <f t="shared" si="76"/>
        <v>2.3728589156891171E-12</v>
      </c>
      <c r="FI120" s="59">
        <f t="shared" si="77"/>
        <v>281.50309518111203</v>
      </c>
      <c r="FJ120" s="59">
        <f ca="1">AVERAGE(OFFSET($FI$3,0,0,'Données projet'!$E$16+1,1))-AVERAGE(OFFSET($H$3,0,0,'Données projet'!$E$16+1,1))</f>
        <v>214.31585175697521</v>
      </c>
      <c r="FK120" s="59">
        <f t="shared" si="102"/>
        <v>244.60383864821372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31.85520583488216</v>
      </c>
      <c r="FR120" s="21">
        <f>EXP(-LN(2)/25)*FR119+(1-EXP(-LN(2)/25))/(LN(2)/25)*Calculateur!FM120*Calculateur!FO120*VLOOKUP('Données projet'!$B$16,Paramètres!$A$1:$I$89,3,0)*0.475*44/12</f>
        <v>0</v>
      </c>
      <c r="FS120" s="21">
        <f>EXP(-LN(2)/2)*FS119+(1-EXP(-LN(2)/2))/(LN(2)/2)*FM120*FP120*VLOOKUP('Données projet'!$B$16,Paramètres!$A$1:$I$89,3,0)*0.475*44/12</f>
        <v>0</v>
      </c>
      <c r="FT120" s="22">
        <f t="shared" si="78"/>
        <v>31.85520583488216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-5.6843418860808015E-14</v>
      </c>
      <c r="GA120" s="17">
        <f>FZ120*VLOOKUP('Données projet'!$B$17,Paramètres!$A$1:$I$89,3,0)*VLOOKUP('Données projet'!$B$17,Paramètres!$A$1:$I$89,5,0)</f>
        <v>-4.5224624045658861E-14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308.33954512886351</v>
      </c>
      <c r="GF120" s="59">
        <f t="shared" si="104"/>
        <v>408.79075392716277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44.108346319452913</v>
      </c>
      <c r="GM120" s="21">
        <f>EXP(-LN(2)/25)*GM119+(1-EXP(-LN(2)/25))/(LN(2)/25)*Calculateur!GH120*Calculateur!GJ120*VLOOKUP('Données projet'!$B$17,Paramètres!$A$1:$I$89,3,0)*0.475*44/12</f>
        <v>0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44.108346319452913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342.84342155097613</v>
      </c>
      <c r="T121" s="59">
        <f t="shared" si="88"/>
        <v>565.68976940602215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40.757820809311319</v>
      </c>
      <c r="AA121" s="21">
        <f>EXP(-LN(2)/25)*AA120+(1-EXP(-LN(2)/25))/(LN(2)/25)*Calculateur!V121*Calculateur!X121*VLOOKUP('Données projet'!$B$9,Paramètres!$A$1:$I$89,3,0)*0.475*44/12</f>
        <v>11.671703464930262</v>
      </c>
      <c r="AB121" s="21">
        <f>EXP(-LN(2)/2)*AB120+(1-EXP(-LN(2)/2))/(LN(2)/2)*V121*Y121*VLOOKUP('Données projet'!$B$9,Paramètres!$A$1:$I$89,3,0)*0.475*44/12</f>
        <v>4.2589255809966865E-10</v>
      </c>
      <c r="AC121" s="22">
        <f t="shared" si="57"/>
        <v>52.429524274667472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320.33056209214476</v>
      </c>
      <c r="AO121" s="59">
        <f t="shared" si="90"/>
        <v>299.27200854723446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23.583544699639987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23.583544699639987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256.85706398254547</v>
      </c>
      <c r="BJ121" s="59">
        <f t="shared" si="92"/>
        <v>363.68094621014734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46.427625544146231</v>
      </c>
      <c r="BQ121" s="21">
        <f>EXP(-LN(2)/25)*BQ120+(1-EXP(-LN(2)/25))/(LN(2)/25)*Calculateur!BL121*Calculateur!BN121*VLOOKUP('Données projet'!$B$11,Paramètres!$A$1:$I$89,3,0)*0.475*44/12</f>
        <v>10.804342335794756</v>
      </c>
      <c r="BR121" s="21">
        <f>EXP(-LN(2)/2)*BR120+(1-EXP(-LN(2)/2))/(LN(2)/2)*BL121*BO121*VLOOKUP('Données projet'!$B$11,Paramètres!$A$1:$I$89,3,0)*0.475*44/12</f>
        <v>4.0312347116496629E-8</v>
      </c>
      <c r="BS121" s="22">
        <f t="shared" si="63"/>
        <v>57.231967920253332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5.6843418860808015E-14</v>
      </c>
      <c r="BZ121" s="13">
        <f>BY121*VLOOKUP('Données projet'!$B$12,Paramètres!$A$1:$I$89,3,0)*VLOOKUP('Données projet'!$B$12,Paramètres!$A$1:$I$89,5,0)</f>
        <v>5.1431925385259088E-14</v>
      </c>
      <c r="CA121" s="13">
        <f t="shared" si="93"/>
        <v>8.3482866290946129E-13</v>
      </c>
      <c r="CB121" s="20">
        <f t="shared" si="64"/>
        <v>1.5435705246133045E-12</v>
      </c>
      <c r="CC121" s="59">
        <f t="shared" si="65"/>
        <v>281.70832336460194</v>
      </c>
      <c r="CD121" s="59">
        <f ca="1">AVERAGE(OFFSET($CC$3,0,0,'Données projet'!$E$12+1,1))-AVERAGE(OFFSET($H$3,0,0,'Données projet'!$E$12+1,1))</f>
        <v>357.68828740212223</v>
      </c>
      <c r="CE121" s="59">
        <f t="shared" si="94"/>
        <v>236.76626845829483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70.940173394814693</v>
      </c>
      <c r="CL121" s="21">
        <f>EXP(-LN(2)/25)*CL120+(1-EXP(-LN(2)/25))/(LN(2)/25)*Calculateur!CG121*Calculateur!CI121*VLOOKUP('Données projet'!$B$12,Paramètres!$A$1:$I$89,3,0)*0.475*44/12</f>
        <v>50.363319544489975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121.30349293930468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257.00000000000006</v>
      </c>
      <c r="CU121" s="17">
        <f>CT121*VLOOKUP('Données projet'!$B$13,Paramètres!$A$1:$I$89,3,0)*VLOOKUP('Données projet'!$B$13,Paramètres!$A$1:$I$89,5,0)</f>
        <v>168.38640000000004</v>
      </c>
      <c r="CV121" s="13">
        <f t="shared" si="95"/>
        <v>42.728430513203243</v>
      </c>
      <c r="CW121" s="20">
        <f t="shared" si="67"/>
        <v>367.69166314382898</v>
      </c>
      <c r="CX121" s="59">
        <f t="shared" si="68"/>
        <v>649.39998650842938</v>
      </c>
      <c r="CY121" s="59">
        <f ca="1">AVERAGE(OFFSET($CX$3,0,0,'Données projet'!$E$13+1,1))-AVERAGE(OFFSET($H$3,0,0,'Données projet'!$E$13+1,1))</f>
        <v>220.18342986563667</v>
      </c>
      <c r="CZ121" s="59">
        <f t="shared" si="96"/>
        <v>347.84382145531163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5.851479094841019E-13</v>
      </c>
      <c r="DI121" s="22">
        <f t="shared" si="69"/>
        <v>5.851479094841019E-13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5.7639226724859328E-14</v>
      </c>
      <c r="DQ121" s="13">
        <f t="shared" si="97"/>
        <v>9.2325701996134334E-13</v>
      </c>
      <c r="DR121" s="20">
        <f t="shared" si="70"/>
        <v>1.708394296311803E-12</v>
      </c>
      <c r="DS121" s="59">
        <f t="shared" si="71"/>
        <v>281.70832336460211</v>
      </c>
      <c r="DT121" s="59">
        <f ca="1">AVERAGE(OFFSET($DS$3,0,0,'Données projet'!$E$14+1,1))-AVERAGE(OFFSET($H$3,0,0,'Données projet'!$E$14+1,1))</f>
        <v>392.49465607243178</v>
      </c>
      <c r="DU121" s="59">
        <f t="shared" si="98"/>
        <v>258.031856676031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79.501918459706118</v>
      </c>
      <c r="EB121" s="21">
        <f>EXP(-LN(2)/25)*EB120+(1-EXP(-LN(2)/25))/(LN(2)/25)*Calculateur!DW121*Calculateur!DY121*VLOOKUP('Données projet'!$B$14,Paramètres!$A$1:$I$89,3,0)*0.475*44/12</f>
        <v>56.441651213652541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135.94356967335867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294.24530606293143</v>
      </c>
      <c r="EP121" s="59">
        <f t="shared" si="100"/>
        <v>275.88160405468193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67.24826378935829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67.24826378935829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1.1368683772161603E-13</v>
      </c>
      <c r="FF121" s="17">
        <f>FE121*VLOOKUP('Données projet'!$B$16,Paramètres!$A$1:$I$89,3,0)*VLOOKUP('Données projet'!$B$16,Paramètres!$A$1:$I$89,5,0)</f>
        <v>8.3355189417488869E-14</v>
      </c>
      <c r="FG121" s="13">
        <f t="shared" si="101"/>
        <v>1.2790518435140618E-12</v>
      </c>
      <c r="FH121" s="20">
        <f t="shared" si="76"/>
        <v>2.3728589156891171E-12</v>
      </c>
      <c r="FI121" s="59">
        <f t="shared" si="77"/>
        <v>281.70832336460279</v>
      </c>
      <c r="FJ121" s="59">
        <f ca="1">AVERAGE(OFFSET($FI$3,0,0,'Données projet'!$E$16+1,1))-AVERAGE(OFFSET($H$3,0,0,'Données projet'!$E$16+1,1))</f>
        <v>214.31585175697521</v>
      </c>
      <c r="FK121" s="59">
        <f t="shared" si="102"/>
        <v>244.60383864821372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31.23054467821715</v>
      </c>
      <c r="FR121" s="21">
        <f>EXP(-LN(2)/25)*FR120+(1-EXP(-LN(2)/25))/(LN(2)/25)*Calculateur!FM121*Calculateur!FO121*VLOOKUP('Données projet'!$B$16,Paramètres!$A$1:$I$89,3,0)*0.475*44/12</f>
        <v>0</v>
      </c>
      <c r="FS121" s="21">
        <f>EXP(-LN(2)/2)*FS120+(1-EXP(-LN(2)/2))/(LN(2)/2)*FM121*FP121*VLOOKUP('Données projet'!$B$16,Paramètres!$A$1:$I$89,3,0)*0.475*44/12</f>
        <v>0</v>
      </c>
      <c r="FT121" s="22">
        <f t="shared" si="78"/>
        <v>31.23054467821715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-5.6843418860808015E-14</v>
      </c>
      <c r="GA121" s="17">
        <f>FZ121*VLOOKUP('Données projet'!$B$17,Paramètres!$A$1:$I$89,3,0)*VLOOKUP('Données projet'!$B$17,Paramètres!$A$1:$I$89,5,0)</f>
        <v>-4.5224624045658861E-14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308.33954512886351</v>
      </c>
      <c r="GF121" s="59">
        <f t="shared" si="104"/>
        <v>408.79075392716277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43.243408551563206</v>
      </c>
      <c r="GM121" s="21">
        <f>EXP(-LN(2)/25)*GM120+(1-EXP(-LN(2)/25))/(LN(2)/25)*Calculateur!GH121*Calculateur!GJ121*VLOOKUP('Données projet'!$B$17,Paramètres!$A$1:$I$89,3,0)*0.475*44/12</f>
        <v>0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43.243408551563206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342.84342155097613</v>
      </c>
      <c r="T122" s="59">
        <f t="shared" si="88"/>
        <v>565.68976940602215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39.958584803056716</v>
      </c>
      <c r="AA122" s="21">
        <f>EXP(-LN(2)/25)*AA121+(1-EXP(-LN(2)/25))/(LN(2)/25)*Calculateur!V122*Calculateur!X122*VLOOKUP('Données projet'!$B$9,Paramètres!$A$1:$I$89,3,0)*0.475*44/12</f>
        <v>11.352540119893535</v>
      </c>
      <c r="AB122" s="21">
        <f>EXP(-LN(2)/2)*AB121+(1-EXP(-LN(2)/2))/(LN(2)/2)*V122*Y122*VLOOKUP('Données projet'!$B$9,Paramètres!$A$1:$I$89,3,0)*0.475*44/12</f>
        <v>3.0115151588916138E-10</v>
      </c>
      <c r="AC122" s="22">
        <f t="shared" si="57"/>
        <v>51.311124923251398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320.33056209214476</v>
      </c>
      <c r="AO122" s="59">
        <f t="shared" si="90"/>
        <v>299.27200854723446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22.938651429623615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22.938651429623615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256.85706398254547</v>
      </c>
      <c r="BJ122" s="59">
        <f t="shared" si="92"/>
        <v>363.68094621014734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45.517208125280931</v>
      </c>
      <c r="BQ122" s="21">
        <f>EXP(-LN(2)/25)*BQ121+(1-EXP(-LN(2)/25))/(LN(2)/25)*Calculateur!BL122*Calculateur!BN122*VLOOKUP('Données projet'!$B$11,Paramètres!$A$1:$I$89,3,0)*0.475*44/12</f>
        <v>10.508897026446778</v>
      </c>
      <c r="BR122" s="21">
        <f>EXP(-LN(2)/2)*BR121+(1-EXP(-LN(2)/2))/(LN(2)/2)*BL122*BO122*VLOOKUP('Données projet'!$B$11,Paramètres!$A$1:$I$89,3,0)*0.475*44/12</f>
        <v>2.8505134011620732E-8</v>
      </c>
      <c r="BS122" s="22">
        <f t="shared" si="63"/>
        <v>56.02610518023284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5.6843418860808015E-14</v>
      </c>
      <c r="BZ122" s="13">
        <f>BY122*VLOOKUP('Données projet'!$B$12,Paramètres!$A$1:$I$89,3,0)*VLOOKUP('Données projet'!$B$12,Paramètres!$A$1:$I$89,5,0)</f>
        <v>5.1431925385259088E-14</v>
      </c>
      <c r="CA122" s="13">
        <f t="shared" si="93"/>
        <v>8.3482866290946129E-13</v>
      </c>
      <c r="CB122" s="20">
        <f t="shared" si="64"/>
        <v>1.5435705246133045E-12</v>
      </c>
      <c r="CC122" s="59">
        <f t="shared" si="65"/>
        <v>281.90999129793067</v>
      </c>
      <c r="CD122" s="59">
        <f ca="1">AVERAGE(OFFSET($CC$3,0,0,'Données projet'!$E$12+1,1))-AVERAGE(OFFSET($H$3,0,0,'Données projet'!$E$12+1,1))</f>
        <v>357.68828740212223</v>
      </c>
      <c r="CE122" s="59">
        <f t="shared" si="94"/>
        <v>236.76626845829483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69.54907986377566</v>
      </c>
      <c r="CL122" s="21">
        <f>EXP(-LN(2)/25)*CL121+(1-EXP(-LN(2)/25))/(LN(2)/25)*Calculateur!CG122*Calculateur!CI122*VLOOKUP('Données projet'!$B$12,Paramètres!$A$1:$I$89,3,0)*0.475*44/12</f>
        <v>48.986131923054032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118.53521178682969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257.00000000000006</v>
      </c>
      <c r="CU122" s="17">
        <f>CT122*VLOOKUP('Données projet'!$B$13,Paramètres!$A$1:$I$89,3,0)*VLOOKUP('Données projet'!$B$13,Paramètres!$A$1:$I$89,5,0)</f>
        <v>168.38640000000004</v>
      </c>
      <c r="CV122" s="13">
        <f t="shared" si="95"/>
        <v>42.728430513203243</v>
      </c>
      <c r="CW122" s="20">
        <f t="shared" si="67"/>
        <v>367.69166314382898</v>
      </c>
      <c r="CX122" s="59">
        <f t="shared" si="68"/>
        <v>649.60165444175811</v>
      </c>
      <c r="CY122" s="59">
        <f ca="1">AVERAGE(OFFSET($CX$3,0,0,'Données projet'!$E$13+1,1))-AVERAGE(OFFSET($H$3,0,0,'Données projet'!$E$13+1,1))</f>
        <v>220.18342986563667</v>
      </c>
      <c r="CZ122" s="59">
        <f t="shared" si="96"/>
        <v>347.84382145531163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4.1376205479334057E-13</v>
      </c>
      <c r="DI122" s="22">
        <f t="shared" si="69"/>
        <v>4.1376205479334057E-13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5.7639226724859328E-14</v>
      </c>
      <c r="DQ122" s="13">
        <f t="shared" si="97"/>
        <v>9.2325701996134334E-13</v>
      </c>
      <c r="DR122" s="20">
        <f t="shared" si="70"/>
        <v>1.708394296311803E-12</v>
      </c>
      <c r="DS122" s="59">
        <f t="shared" si="71"/>
        <v>281.90999129793084</v>
      </c>
      <c r="DT122" s="59">
        <f ca="1">AVERAGE(OFFSET($DS$3,0,0,'Données projet'!$E$14+1,1))-AVERAGE(OFFSET($H$3,0,0,'Données projet'!$E$14+1,1))</f>
        <v>392.49465607243178</v>
      </c>
      <c r="DU122" s="59">
        <f t="shared" si="98"/>
        <v>258.031856676031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77.942934330093422</v>
      </c>
      <c r="EB122" s="21">
        <f>EXP(-LN(2)/25)*EB121+(1-EXP(-LN(2)/25))/(LN(2)/25)*Calculateur!DW122*Calculateur!DY122*VLOOKUP('Données projet'!$B$14,Paramètres!$A$1:$I$89,3,0)*0.475*44/12</f>
        <v>54.898251293077777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132.84118562317121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294.24530606293143</v>
      </c>
      <c r="EP122" s="59">
        <f t="shared" si="100"/>
        <v>275.88160405468193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65.92956635383976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65.92956635383976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1.1368683772161603E-13</v>
      </c>
      <c r="FF122" s="17">
        <f>FE122*VLOOKUP('Données projet'!$B$16,Paramètres!$A$1:$I$89,3,0)*VLOOKUP('Données projet'!$B$16,Paramètres!$A$1:$I$89,5,0)</f>
        <v>8.3355189417488869E-14</v>
      </c>
      <c r="FG122" s="13">
        <f t="shared" si="101"/>
        <v>1.2790518435140618E-12</v>
      </c>
      <c r="FH122" s="20">
        <f t="shared" si="76"/>
        <v>2.3728589156891171E-12</v>
      </c>
      <c r="FI122" s="59">
        <f t="shared" si="77"/>
        <v>281.90999129793153</v>
      </c>
      <c r="FJ122" s="59">
        <f ca="1">AVERAGE(OFFSET($FI$3,0,0,'Données projet'!$E$16+1,1))-AVERAGE(OFFSET($H$3,0,0,'Données projet'!$E$16+1,1))</f>
        <v>214.31585175697521</v>
      </c>
      <c r="FK122" s="59">
        <f t="shared" si="102"/>
        <v>244.60383864821372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30.618132745828657</v>
      </c>
      <c r="FR122" s="21">
        <f>EXP(-LN(2)/25)*FR121+(1-EXP(-LN(2)/25))/(LN(2)/25)*Calculateur!FM122*Calculateur!FO122*VLOOKUP('Données projet'!$B$16,Paramètres!$A$1:$I$89,3,0)*0.475*44/12</f>
        <v>0</v>
      </c>
      <c r="FS122" s="21">
        <f>EXP(-LN(2)/2)*FS121+(1-EXP(-LN(2)/2))/(LN(2)/2)*FM122*FP122*VLOOKUP('Données projet'!$B$16,Paramètres!$A$1:$I$89,3,0)*0.475*44/12</f>
        <v>0</v>
      </c>
      <c r="FT122" s="22">
        <f t="shared" si="78"/>
        <v>30.618132745828657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-5.6843418860808015E-14</v>
      </c>
      <c r="GA122" s="17">
        <f>FZ122*VLOOKUP('Données projet'!$B$17,Paramètres!$A$1:$I$89,3,0)*VLOOKUP('Données projet'!$B$17,Paramètres!$A$1:$I$89,5,0)</f>
        <v>-4.5224624045658861E-14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308.33954512886351</v>
      </c>
      <c r="GF122" s="59">
        <f t="shared" si="104"/>
        <v>408.79075392716277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42.395431685741869</v>
      </c>
      <c r="GM122" s="21">
        <f>EXP(-LN(2)/25)*GM121+(1-EXP(-LN(2)/25))/(LN(2)/25)*Calculateur!GH122*Calculateur!GJ122*VLOOKUP('Données projet'!$B$17,Paramètres!$A$1:$I$89,3,0)*0.475*44/12</f>
        <v>0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42.395431685741869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342.84342155097613</v>
      </c>
      <c r="T123" s="59">
        <f t="shared" si="88"/>
        <v>565.68976940602215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39.175021327398937</v>
      </c>
      <c r="AA123" s="21">
        <f>EXP(-LN(2)/25)*AA122+(1-EXP(-LN(2)/25))/(LN(2)/25)*Calculateur!V123*Calculateur!X123*VLOOKUP('Données projet'!$B$9,Paramètres!$A$1:$I$89,3,0)*0.475*44/12</f>
        <v>11.042104313310908</v>
      </c>
      <c r="AB123" s="21">
        <f>EXP(-LN(2)/2)*AB122+(1-EXP(-LN(2)/2))/(LN(2)/2)*V123*Y123*VLOOKUP('Données projet'!$B$9,Paramètres!$A$1:$I$89,3,0)*0.475*44/12</f>
        <v>2.1294627904983433E-10</v>
      </c>
      <c r="AC123" s="22">
        <f t="shared" si="57"/>
        <v>50.217125640922795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320.33056209214476</v>
      </c>
      <c r="AO123" s="59">
        <f t="shared" si="90"/>
        <v>299.27200854723446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22.311392799989306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22.311392799989306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256.85706398254547</v>
      </c>
      <c r="BJ123" s="59">
        <f t="shared" si="92"/>
        <v>363.68094621014734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44.624643436699785</v>
      </c>
      <c r="BQ123" s="21">
        <f>EXP(-LN(2)/25)*BQ122+(1-EXP(-LN(2)/25))/(LN(2)/25)*Calculateur!BL123*Calculateur!BN123*VLOOKUP('Données projet'!$B$11,Paramètres!$A$1:$I$89,3,0)*0.475*44/12</f>
        <v>10.221530684619715</v>
      </c>
      <c r="BR123" s="21">
        <f>EXP(-LN(2)/2)*BR122+(1-EXP(-LN(2)/2))/(LN(2)/2)*BL123*BO123*VLOOKUP('Données projet'!$B$11,Paramètres!$A$1:$I$89,3,0)*0.475*44/12</f>
        <v>2.0156173558248314E-8</v>
      </c>
      <c r="BS123" s="22">
        <f t="shared" si="63"/>
        <v>54.846174141475672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5.6843418860808015E-14</v>
      </c>
      <c r="BZ123" s="13">
        <f>BY123*VLOOKUP('Données projet'!$B$12,Paramètres!$A$1:$I$89,3,0)*VLOOKUP('Données projet'!$B$12,Paramètres!$A$1:$I$89,5,0)</f>
        <v>5.1431925385259088E-14</v>
      </c>
      <c r="CA123" s="13">
        <f t="shared" si="93"/>
        <v>8.3482866290946129E-13</v>
      </c>
      <c r="CB123" s="20">
        <f t="shared" si="64"/>
        <v>1.5435705246133045E-12</v>
      </c>
      <c r="CC123" s="59">
        <f t="shared" si="65"/>
        <v>282.10816074347815</v>
      </c>
      <c r="CD123" s="59">
        <f ca="1">AVERAGE(OFFSET($CC$3,0,0,'Données projet'!$E$12+1,1))-AVERAGE(OFFSET($H$3,0,0,'Données projet'!$E$12+1,1))</f>
        <v>357.68828740212223</v>
      </c>
      <c r="CE123" s="59">
        <f t="shared" si="94"/>
        <v>236.76626845829483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68.185264828397038</v>
      </c>
      <c r="CL123" s="21">
        <f>EXP(-LN(2)/25)*CL122+(1-EXP(-LN(2)/25))/(LN(2)/25)*Calculateur!CG123*Calculateur!CI123*VLOOKUP('Données projet'!$B$12,Paramètres!$A$1:$I$89,3,0)*0.475*44/12</f>
        <v>47.646603569549399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115.83186839794644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257.00000000000006</v>
      </c>
      <c r="CU123" s="17">
        <f>CT123*VLOOKUP('Données projet'!$B$13,Paramètres!$A$1:$I$89,3,0)*VLOOKUP('Données projet'!$B$13,Paramètres!$A$1:$I$89,5,0)</f>
        <v>168.38640000000004</v>
      </c>
      <c r="CV123" s="13">
        <f t="shared" si="95"/>
        <v>42.728430513203243</v>
      </c>
      <c r="CW123" s="20">
        <f t="shared" si="67"/>
        <v>367.69166314382898</v>
      </c>
      <c r="CX123" s="59">
        <f t="shared" si="68"/>
        <v>649.79982388730559</v>
      </c>
      <c r="CY123" s="59">
        <f ca="1">AVERAGE(OFFSET($CX$3,0,0,'Données projet'!$E$13+1,1))-AVERAGE(OFFSET($H$3,0,0,'Données projet'!$E$13+1,1))</f>
        <v>220.18342986563667</v>
      </c>
      <c r="CZ123" s="59">
        <f t="shared" si="96"/>
        <v>347.84382145531163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2.9257395474205095E-13</v>
      </c>
      <c r="DI123" s="22">
        <f t="shared" si="69"/>
        <v>2.9257395474205095E-13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5.7639226724859328E-14</v>
      </c>
      <c r="DQ123" s="13">
        <f t="shared" si="97"/>
        <v>9.2325701996134334E-13</v>
      </c>
      <c r="DR123" s="20">
        <f t="shared" si="70"/>
        <v>1.708394296311803E-12</v>
      </c>
      <c r="DS123" s="59">
        <f t="shared" si="71"/>
        <v>282.10816074347832</v>
      </c>
      <c r="DT123" s="59">
        <f ca="1">AVERAGE(OFFSET($DS$3,0,0,'Données projet'!$E$14+1,1))-AVERAGE(OFFSET($H$3,0,0,'Données projet'!$E$14+1,1))</f>
        <v>392.49465607243178</v>
      </c>
      <c r="DU123" s="59">
        <f t="shared" si="98"/>
        <v>258.031856676031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76.414520928375993</v>
      </c>
      <c r="EB123" s="21">
        <f>EXP(-LN(2)/25)*EB122+(1-EXP(-LN(2)/25))/(LN(2)/25)*Calculateur!DW123*Calculateur!DY123*VLOOKUP('Données projet'!$B$14,Paramètres!$A$1:$I$89,3,0)*0.475*44/12</f>
        <v>53.397055724495004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129.811576652871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294.24530606293143</v>
      </c>
      <c r="EP123" s="59">
        <f t="shared" si="100"/>
        <v>275.88160405468193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64.636727770705733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64.636727770705733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1.1368683772161603E-13</v>
      </c>
      <c r="FF123" s="17">
        <f>FE123*VLOOKUP('Données projet'!$B$16,Paramètres!$A$1:$I$89,3,0)*VLOOKUP('Données projet'!$B$16,Paramètres!$A$1:$I$89,5,0)</f>
        <v>8.3355189417488869E-14</v>
      </c>
      <c r="FG123" s="13">
        <f t="shared" si="101"/>
        <v>1.2790518435140618E-12</v>
      </c>
      <c r="FH123" s="20">
        <f t="shared" si="76"/>
        <v>2.3728589156891171E-12</v>
      </c>
      <c r="FI123" s="59">
        <f t="shared" si="77"/>
        <v>282.108160743479</v>
      </c>
      <c r="FJ123" s="59">
        <f ca="1">AVERAGE(OFFSET($FI$3,0,0,'Données projet'!$E$16+1,1))-AVERAGE(OFFSET($H$3,0,0,'Données projet'!$E$16+1,1))</f>
        <v>214.31585175697521</v>
      </c>
      <c r="FK123" s="59">
        <f t="shared" si="102"/>
        <v>244.60383864821372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30.017729837899907</v>
      </c>
      <c r="FR123" s="21">
        <f>EXP(-LN(2)/25)*FR122+(1-EXP(-LN(2)/25))/(LN(2)/25)*Calculateur!FM123*Calculateur!FO123*VLOOKUP('Données projet'!$B$16,Paramètres!$A$1:$I$89,3,0)*0.475*44/12</f>
        <v>0</v>
      </c>
      <c r="FS123" s="21">
        <f>EXP(-LN(2)/2)*FS122+(1-EXP(-LN(2)/2))/(LN(2)/2)*FM123*FP123*VLOOKUP('Données projet'!$B$16,Paramètres!$A$1:$I$89,3,0)*0.475*44/12</f>
        <v>0</v>
      </c>
      <c r="FT123" s="22">
        <f t="shared" si="78"/>
        <v>30.017729837899907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-5.6843418860808015E-14</v>
      </c>
      <c r="GA123" s="17">
        <f>FZ123*VLOOKUP('Données projet'!$B$17,Paramètres!$A$1:$I$89,3,0)*VLOOKUP('Données projet'!$B$17,Paramètres!$A$1:$I$89,5,0)</f>
        <v>-4.5224624045658861E-14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308.33954512886351</v>
      </c>
      <c r="GF123" s="59">
        <f t="shared" si="104"/>
        <v>408.79075392716277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41.564083129044469</v>
      </c>
      <c r="GM123" s="21">
        <f>EXP(-LN(2)/25)*GM122+(1-EXP(-LN(2)/25))/(LN(2)/25)*Calculateur!GH123*Calculateur!GJ123*VLOOKUP('Données projet'!$B$17,Paramètres!$A$1:$I$89,3,0)*0.475*44/12</f>
        <v>0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41.564083129044469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342.84342155097613</v>
      </c>
      <c r="T124" s="59">
        <f t="shared" si="88"/>
        <v>565.68976940602215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38.406823053572275</v>
      </c>
      <c r="AA124" s="21">
        <f>EXP(-LN(2)/25)*AA123+(1-EXP(-LN(2)/25))/(LN(2)/25)*Calculateur!V124*Calculateur!X124*VLOOKUP('Données projet'!$B$9,Paramètres!$A$1:$I$89,3,0)*0.475*44/12</f>
        <v>10.740157390184393</v>
      </c>
      <c r="AB124" s="21">
        <f>EXP(-LN(2)/2)*AB123+(1-EXP(-LN(2)/2))/(LN(2)/2)*V124*Y124*VLOOKUP('Données projet'!$B$9,Paramètres!$A$1:$I$89,3,0)*0.475*44/12</f>
        <v>1.5057575794458069E-10</v>
      </c>
      <c r="AC124" s="22">
        <f t="shared" si="57"/>
        <v>49.146980443907246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320.33056209214476</v>
      </c>
      <c r="AO124" s="59">
        <f t="shared" si="90"/>
        <v>299.27200854723446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21.701286590568444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21.701286590568444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256.85706398254547</v>
      </c>
      <c r="BJ124" s="59">
        <f t="shared" si="92"/>
        <v>363.68094621014734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43.749581397251006</v>
      </c>
      <c r="BQ124" s="21">
        <f>EXP(-LN(2)/25)*BQ123+(1-EXP(-LN(2)/25))/(LN(2)/25)*Calculateur!BL124*Calculateur!BN124*VLOOKUP('Données projet'!$B$11,Paramètres!$A$1:$I$89,3,0)*0.475*44/12</f>
        <v>9.9420223905218528</v>
      </c>
      <c r="BR124" s="21">
        <f>EXP(-LN(2)/2)*BR123+(1-EXP(-LN(2)/2))/(LN(2)/2)*BL124*BO124*VLOOKUP('Données projet'!$B$11,Paramètres!$A$1:$I$89,3,0)*0.475*44/12</f>
        <v>1.4252567005810366E-8</v>
      </c>
      <c r="BS124" s="22">
        <f t="shared" si="63"/>
        <v>53.691603802025426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5.6843418860808015E-14</v>
      </c>
      <c r="BZ124" s="13">
        <f>BY124*VLOOKUP('Données projet'!$B$12,Paramètres!$A$1:$I$89,3,0)*VLOOKUP('Données projet'!$B$12,Paramètres!$A$1:$I$89,5,0)</f>
        <v>5.1431925385259088E-14</v>
      </c>
      <c r="CA124" s="13">
        <f t="shared" si="93"/>
        <v>8.3482866290946129E-13</v>
      </c>
      <c r="CB124" s="20">
        <f t="shared" si="64"/>
        <v>1.5435705246133045E-12</v>
      </c>
      <c r="CC124" s="59">
        <f t="shared" si="65"/>
        <v>282.30289239218592</v>
      </c>
      <c r="CD124" s="59">
        <f ca="1">AVERAGE(OFFSET($CC$3,0,0,'Données projet'!$E$12+1,1))-AVERAGE(OFFSET($H$3,0,0,'Données projet'!$E$12+1,1))</f>
        <v>357.68828740212223</v>
      </c>
      <c r="CE124" s="59">
        <f t="shared" si="94"/>
        <v>236.76626845829483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66.848193374017157</v>
      </c>
      <c r="CL124" s="21">
        <f>EXP(-LN(2)/25)*CL123+(1-EXP(-LN(2)/25))/(LN(2)/25)*Calculateur!CG124*Calculateur!CI124*VLOOKUP('Données projet'!$B$12,Paramètres!$A$1:$I$89,3,0)*0.475*44/12</f>
        <v>46.343704689314087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113.19189806333125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257.00000000000006</v>
      </c>
      <c r="CU124" s="17">
        <f>CT124*VLOOKUP('Données projet'!$B$13,Paramètres!$A$1:$I$89,3,0)*VLOOKUP('Données projet'!$B$13,Paramètres!$A$1:$I$89,5,0)</f>
        <v>168.38640000000004</v>
      </c>
      <c r="CV124" s="13">
        <f t="shared" si="95"/>
        <v>42.728430513203243</v>
      </c>
      <c r="CW124" s="20">
        <f t="shared" si="67"/>
        <v>367.69166314382898</v>
      </c>
      <c r="CX124" s="59">
        <f t="shared" si="68"/>
        <v>649.99455553601342</v>
      </c>
      <c r="CY124" s="59">
        <f ca="1">AVERAGE(OFFSET($CX$3,0,0,'Données projet'!$E$13+1,1))-AVERAGE(OFFSET($H$3,0,0,'Données projet'!$E$13+1,1))</f>
        <v>220.18342986563667</v>
      </c>
      <c r="CZ124" s="59">
        <f t="shared" si="96"/>
        <v>347.84382145531163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2.0688102739667028E-13</v>
      </c>
      <c r="DI124" s="22">
        <f t="shared" si="69"/>
        <v>2.0688102739667028E-13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5.7639226724859328E-14</v>
      </c>
      <c r="DQ124" s="13">
        <f t="shared" si="97"/>
        <v>9.2325701996134334E-13</v>
      </c>
      <c r="DR124" s="20">
        <f t="shared" si="70"/>
        <v>1.708394296311803E-12</v>
      </c>
      <c r="DS124" s="59">
        <f t="shared" si="71"/>
        <v>282.3028923921861</v>
      </c>
      <c r="DT124" s="59">
        <f ca="1">AVERAGE(OFFSET($DS$3,0,0,'Données projet'!$E$14+1,1))-AVERAGE(OFFSET($H$3,0,0,'Données projet'!$E$14+1,1))</f>
        <v>392.49465607243178</v>
      </c>
      <c r="DU124" s="59">
        <f t="shared" si="98"/>
        <v>258.031856676031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74.916078781226119</v>
      </c>
      <c r="EB124" s="21">
        <f>EXP(-LN(2)/25)*EB123+(1-EXP(-LN(2)/25))/(LN(2)/25)*Calculateur!DW124*Calculateur!DY124*VLOOKUP('Données projet'!$B$14,Paramètres!$A$1:$I$89,3,0)*0.475*44/12</f>
        <v>51.936910427679571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126.85298920890568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294.24530606293143</v>
      </c>
      <c r="EP124" s="59">
        <f t="shared" si="100"/>
        <v>275.88160405468193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63.369240963633288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63.369240963633288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1.1368683772161603E-13</v>
      </c>
      <c r="FF124" s="17">
        <f>FE124*VLOOKUP('Données projet'!$B$16,Paramètres!$A$1:$I$89,3,0)*VLOOKUP('Données projet'!$B$16,Paramètres!$A$1:$I$89,5,0)</f>
        <v>8.3355189417488869E-14</v>
      </c>
      <c r="FG124" s="13">
        <f t="shared" si="101"/>
        <v>1.2790518435140618E-12</v>
      </c>
      <c r="FH124" s="20">
        <f t="shared" si="76"/>
        <v>2.3728589156891171E-12</v>
      </c>
      <c r="FI124" s="59">
        <f t="shared" si="77"/>
        <v>282.30289239218678</v>
      </c>
      <c r="FJ124" s="59">
        <f ca="1">AVERAGE(OFFSET($FI$3,0,0,'Données projet'!$E$16+1,1))-AVERAGE(OFFSET($H$3,0,0,'Données projet'!$E$16+1,1))</f>
        <v>214.31585175697521</v>
      </c>
      <c r="FK124" s="59">
        <f t="shared" si="102"/>
        <v>244.60383864821372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29.429100464786025</v>
      </c>
      <c r="FR124" s="21">
        <f>EXP(-LN(2)/25)*FR123+(1-EXP(-LN(2)/25))/(LN(2)/25)*Calculateur!FM124*Calculateur!FO124*VLOOKUP('Données projet'!$B$16,Paramètres!$A$1:$I$89,3,0)*0.475*44/12</f>
        <v>0</v>
      </c>
      <c r="FS124" s="21">
        <f>EXP(-LN(2)/2)*FS123+(1-EXP(-LN(2)/2))/(LN(2)/2)*FM124*FP124*VLOOKUP('Données projet'!$B$16,Paramètres!$A$1:$I$89,3,0)*0.475*44/12</f>
        <v>0</v>
      </c>
      <c r="FT124" s="22">
        <f t="shared" si="78"/>
        <v>29.429100464786025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-5.6843418860808015E-14</v>
      </c>
      <c r="GA124" s="17">
        <f>FZ124*VLOOKUP('Données projet'!$B$17,Paramètres!$A$1:$I$89,3,0)*VLOOKUP('Données projet'!$B$17,Paramètres!$A$1:$I$89,5,0)</f>
        <v>-4.5224624045658861E-14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308.33954512886351</v>
      </c>
      <c r="GF124" s="59">
        <f t="shared" si="104"/>
        <v>408.79075392716277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40.749036810471353</v>
      </c>
      <c r="GM124" s="21">
        <f>EXP(-LN(2)/25)*GM123+(1-EXP(-LN(2)/25))/(LN(2)/25)*Calculateur!GH124*Calculateur!GJ124*VLOOKUP('Données projet'!$B$17,Paramètres!$A$1:$I$89,3,0)*0.475*44/12</f>
        <v>0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40.749036810471353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342.84342155097613</v>
      </c>
      <c r="T125" s="59">
        <f t="shared" si="88"/>
        <v>565.68976940602215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37.653688679340675</v>
      </c>
      <c r="AA125" s="21">
        <f>EXP(-LN(2)/25)*AA124+(1-EXP(-LN(2)/25))/(LN(2)/25)*Calculateur!V125*Calculateur!X125*VLOOKUP('Données projet'!$B$9,Paramètres!$A$1:$I$89,3,0)*0.475*44/12</f>
        <v>10.44646722154947</v>
      </c>
      <c r="AB125" s="21">
        <f>EXP(-LN(2)/2)*AB124+(1-EXP(-LN(2)/2))/(LN(2)/2)*V125*Y125*VLOOKUP('Données projet'!$B$9,Paramètres!$A$1:$I$89,3,0)*0.475*44/12</f>
        <v>1.0647313952491716E-10</v>
      </c>
      <c r="AC125" s="22">
        <f t="shared" si="57"/>
        <v>48.100155900996619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320.33056209214476</v>
      </c>
      <c r="AO125" s="59">
        <f t="shared" si="90"/>
        <v>299.27200854723446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21.107863767528286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21.107863767528286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256.85706398254547</v>
      </c>
      <c r="BJ125" s="59">
        <f t="shared" si="92"/>
        <v>363.68094621014734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42.891678790660677</v>
      </c>
      <c r="BQ125" s="21">
        <f>EXP(-LN(2)/25)*BQ124+(1-EXP(-LN(2)/25))/(LN(2)/25)*Calculateur!BL125*Calculateur!BN125*VLOOKUP('Données projet'!$B$11,Paramètres!$A$1:$I$89,3,0)*0.475*44/12</f>
        <v>9.6701572654247983</v>
      </c>
      <c r="BR125" s="21">
        <f>EXP(-LN(2)/2)*BR124+(1-EXP(-LN(2)/2))/(LN(2)/2)*BL125*BO125*VLOOKUP('Données projet'!$B$11,Paramètres!$A$1:$I$89,3,0)*0.475*44/12</f>
        <v>1.0078086779124157E-8</v>
      </c>
      <c r="BS125" s="22">
        <f t="shared" si="63"/>
        <v>52.561836066163565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5.6843418860808015E-14</v>
      </c>
      <c r="BZ125" s="13">
        <f>BY125*VLOOKUP('Données projet'!$B$12,Paramètres!$A$1:$I$89,3,0)*VLOOKUP('Données projet'!$B$12,Paramètres!$A$1:$I$89,5,0)</f>
        <v>5.1431925385259088E-14</v>
      </c>
      <c r="CA125" s="13">
        <f t="shared" si="93"/>
        <v>8.3482866290946129E-13</v>
      </c>
      <c r="CB125" s="20">
        <f t="shared" si="64"/>
        <v>1.5435705246133045E-12</v>
      </c>
      <c r="CC125" s="59">
        <f t="shared" si="65"/>
        <v>282.49424588214333</v>
      </c>
      <c r="CD125" s="59">
        <f ca="1">AVERAGE(OFFSET($CC$3,0,0,'Données projet'!$E$12+1,1))-AVERAGE(OFFSET($H$3,0,0,'Données projet'!$E$12+1,1))</f>
        <v>357.68828740212223</v>
      </c>
      <c r="CE125" s="59">
        <f t="shared" si="94"/>
        <v>236.76626845829483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65.537341075324605</v>
      </c>
      <c r="CL125" s="21">
        <f>EXP(-LN(2)/25)*CL124+(1-EXP(-LN(2)/25))/(LN(2)/25)*Calculateur!CG125*Calculateur!CI125*VLOOKUP('Données projet'!$B$12,Paramètres!$A$1:$I$89,3,0)*0.475*44/12</f>
        <v>45.076433647475284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110.61377472279989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257.00000000000006</v>
      </c>
      <c r="CU125" s="17">
        <f>CT125*VLOOKUP('Données projet'!$B$13,Paramètres!$A$1:$I$89,3,0)*VLOOKUP('Données projet'!$B$13,Paramètres!$A$1:$I$89,5,0)</f>
        <v>168.38640000000004</v>
      </c>
      <c r="CV125" s="13">
        <f t="shared" si="95"/>
        <v>42.728430513203243</v>
      </c>
      <c r="CW125" s="20">
        <f t="shared" si="67"/>
        <v>367.69166314382898</v>
      </c>
      <c r="CX125" s="59">
        <f t="shared" si="68"/>
        <v>650.18590902597077</v>
      </c>
      <c r="CY125" s="59">
        <f ca="1">AVERAGE(OFFSET($CX$3,0,0,'Données projet'!$E$13+1,1))-AVERAGE(OFFSET($H$3,0,0,'Données projet'!$E$13+1,1))</f>
        <v>220.18342986563667</v>
      </c>
      <c r="CZ125" s="59">
        <f t="shared" si="96"/>
        <v>347.84382145531163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1.4628697737102548E-13</v>
      </c>
      <c r="DI125" s="22">
        <f t="shared" si="69"/>
        <v>1.4628697737102548E-13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5.7639226724859328E-14</v>
      </c>
      <c r="DQ125" s="13">
        <f t="shared" si="97"/>
        <v>9.2325701996134334E-13</v>
      </c>
      <c r="DR125" s="20">
        <f t="shared" si="70"/>
        <v>1.708394296311803E-12</v>
      </c>
      <c r="DS125" s="59">
        <f t="shared" si="71"/>
        <v>282.4942458821435</v>
      </c>
      <c r="DT125" s="59">
        <f ca="1">AVERAGE(OFFSET($DS$3,0,0,'Données projet'!$E$14+1,1))-AVERAGE(OFFSET($H$3,0,0,'Données projet'!$E$14+1,1))</f>
        <v>392.49465607243178</v>
      </c>
      <c r="DU125" s="59">
        <f t="shared" si="98"/>
        <v>258.031856676031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73.447020170622395</v>
      </c>
      <c r="EB125" s="21">
        <f>EXP(-LN(2)/25)*EB124+(1-EXP(-LN(2)/25))/(LN(2)/25)*Calculateur!DW125*Calculateur!DY125*VLOOKUP('Données projet'!$B$14,Paramètres!$A$1:$I$89,3,0)*0.475*44/12</f>
        <v>50.516692880791254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123.96371305141365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294.24530606293143</v>
      </c>
      <c r="EP125" s="59">
        <f t="shared" si="100"/>
        <v>275.88160405468193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62.126608799756916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62.126608799756916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1.1368683772161603E-13</v>
      </c>
      <c r="FF125" s="17">
        <f>FE125*VLOOKUP('Données projet'!$B$16,Paramètres!$A$1:$I$89,3,0)*VLOOKUP('Données projet'!$B$16,Paramètres!$A$1:$I$89,5,0)</f>
        <v>8.3355189417488869E-14</v>
      </c>
      <c r="FG125" s="13">
        <f t="shared" si="101"/>
        <v>1.2790518435140618E-12</v>
      </c>
      <c r="FH125" s="20">
        <f t="shared" si="76"/>
        <v>2.3728589156891171E-12</v>
      </c>
      <c r="FI125" s="59">
        <f t="shared" si="77"/>
        <v>282.49424588214418</v>
      </c>
      <c r="FJ125" s="59">
        <f ca="1">AVERAGE(OFFSET($FI$3,0,0,'Données projet'!$E$16+1,1))-AVERAGE(OFFSET($H$3,0,0,'Données projet'!$E$16+1,1))</f>
        <v>214.31585175697521</v>
      </c>
      <c r="FK125" s="59">
        <f t="shared" si="102"/>
        <v>244.60383864821372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28.852013754650443</v>
      </c>
      <c r="FR125" s="21">
        <f>EXP(-LN(2)/25)*FR124+(1-EXP(-LN(2)/25))/(LN(2)/25)*Calculateur!FM125*Calculateur!FO125*VLOOKUP('Données projet'!$B$16,Paramètres!$A$1:$I$89,3,0)*0.475*44/12</f>
        <v>0</v>
      </c>
      <c r="FS125" s="21">
        <f>EXP(-LN(2)/2)*FS124+(1-EXP(-LN(2)/2))/(LN(2)/2)*FM125*FP125*VLOOKUP('Données projet'!$B$16,Paramètres!$A$1:$I$89,3,0)*0.475*44/12</f>
        <v>0</v>
      </c>
      <c r="FT125" s="22">
        <f t="shared" si="78"/>
        <v>28.852013754650443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-5.6843418860808015E-14</v>
      </c>
      <c r="GA125" s="17">
        <f>FZ125*VLOOKUP('Données projet'!$B$17,Paramètres!$A$1:$I$89,3,0)*VLOOKUP('Données projet'!$B$17,Paramètres!$A$1:$I$89,5,0)</f>
        <v>-4.5224624045658861E-14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308.33954512886351</v>
      </c>
      <c r="GF125" s="59">
        <f t="shared" si="104"/>
        <v>408.79075392716277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39.949973053076292</v>
      </c>
      <c r="GM125" s="21">
        <f>EXP(-LN(2)/25)*GM124+(1-EXP(-LN(2)/25))/(LN(2)/25)*Calculateur!GH125*Calculateur!GJ125*VLOOKUP('Données projet'!$B$17,Paramètres!$A$1:$I$89,3,0)*0.475*44/12</f>
        <v>0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39.949973053076292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342.84342155097613</v>
      </c>
      <c r="T126" s="59">
        <f t="shared" si="88"/>
        <v>565.68976940602215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36.915322810821145</v>
      </c>
      <c r="AA126" s="21">
        <f>EXP(-LN(2)/25)*AA125+(1-EXP(-LN(2)/25))/(LN(2)/25)*Calculateur!V126*Calculateur!X126*VLOOKUP('Données projet'!$B$9,Paramètres!$A$1:$I$89,3,0)*0.475*44/12</f>
        <v>10.160808026020364</v>
      </c>
      <c r="AB126" s="21">
        <f>EXP(-LN(2)/2)*AB125+(1-EXP(-LN(2)/2))/(LN(2)/2)*V126*Y126*VLOOKUP('Données projet'!$B$9,Paramètres!$A$1:$I$89,3,0)*0.475*44/12</f>
        <v>7.5287878972290344E-11</v>
      </c>
      <c r="AC126" s="22">
        <f t="shared" si="57"/>
        <v>47.076130836916796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320.33056209214476</v>
      </c>
      <c r="AO126" s="59">
        <f t="shared" si="90"/>
        <v>299.27200854723446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20.530668122790914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20.530668122790914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256.85706398254547</v>
      </c>
      <c r="BJ126" s="59">
        <f t="shared" si="92"/>
        <v>363.68094621014734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42.050599130916666</v>
      </c>
      <c r="BQ126" s="21">
        <f>EXP(-LN(2)/25)*BQ125+(1-EXP(-LN(2)/25))/(LN(2)/25)*Calculateur!BL126*Calculateur!BN126*VLOOKUP('Données projet'!$B$11,Paramètres!$A$1:$I$89,3,0)*0.475*44/12</f>
        <v>9.4057263064702887</v>
      </c>
      <c r="BR126" s="21">
        <f>EXP(-LN(2)/2)*BR125+(1-EXP(-LN(2)/2))/(LN(2)/2)*BL126*BO126*VLOOKUP('Données projet'!$B$11,Paramètres!$A$1:$I$89,3,0)*0.475*44/12</f>
        <v>7.126283502905183E-9</v>
      </c>
      <c r="BS126" s="22">
        <f t="shared" si="63"/>
        <v>51.456325444513233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5.6843418860808015E-14</v>
      </c>
      <c r="BZ126" s="13">
        <f>BY126*VLOOKUP('Données projet'!$B$12,Paramètres!$A$1:$I$89,3,0)*VLOOKUP('Données projet'!$B$12,Paramètres!$A$1:$I$89,5,0)</f>
        <v>5.1431925385259088E-14</v>
      </c>
      <c r="CA126" s="13">
        <f t="shared" si="93"/>
        <v>8.3482866290946129E-13</v>
      </c>
      <c r="CB126" s="20">
        <f t="shared" si="64"/>
        <v>1.5435705246133045E-12</v>
      </c>
      <c r="CC126" s="59">
        <f t="shared" si="65"/>
        <v>282.6822798168522</v>
      </c>
      <c r="CD126" s="59">
        <f ca="1">AVERAGE(OFFSET($CC$3,0,0,'Données projet'!$E$12+1,1))-AVERAGE(OFFSET($H$3,0,0,'Données projet'!$E$12+1,1))</f>
        <v>357.68828740212223</v>
      </c>
      <c r="CE126" s="59">
        <f t="shared" si="94"/>
        <v>236.76626845829483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64.252193790668457</v>
      </c>
      <c r="CL126" s="21">
        <f>EXP(-LN(2)/25)*CL125+(1-EXP(-LN(2)/25))/(LN(2)/25)*Calculateur!CG126*Calculateur!CI126*VLOOKUP('Données projet'!$B$12,Paramètres!$A$1:$I$89,3,0)*0.475*44/12</f>
        <v>43.843816198918454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108.09600998958692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257.00000000000006</v>
      </c>
      <c r="CU126" s="17">
        <f>CT126*VLOOKUP('Données projet'!$B$13,Paramètres!$A$1:$I$89,3,0)*VLOOKUP('Données projet'!$B$13,Paramètres!$A$1:$I$89,5,0)</f>
        <v>168.38640000000004</v>
      </c>
      <c r="CV126" s="13">
        <f t="shared" si="95"/>
        <v>42.728430513203243</v>
      </c>
      <c r="CW126" s="20">
        <f t="shared" si="67"/>
        <v>367.69166314382898</v>
      </c>
      <c r="CX126" s="59">
        <f t="shared" si="68"/>
        <v>650.37394296067964</v>
      </c>
      <c r="CY126" s="59">
        <f ca="1">AVERAGE(OFFSET($CX$3,0,0,'Données projet'!$E$13+1,1))-AVERAGE(OFFSET($H$3,0,0,'Données projet'!$E$13+1,1))</f>
        <v>220.18342986563667</v>
      </c>
      <c r="CZ126" s="59">
        <f t="shared" si="96"/>
        <v>347.84382145531163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1.0344051369833514E-13</v>
      </c>
      <c r="DI126" s="22">
        <f t="shared" si="69"/>
        <v>1.0344051369833514E-13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5.7639226724859328E-14</v>
      </c>
      <c r="DQ126" s="13">
        <f t="shared" si="97"/>
        <v>9.2325701996134334E-13</v>
      </c>
      <c r="DR126" s="20">
        <f t="shared" si="70"/>
        <v>1.708394296311803E-12</v>
      </c>
      <c r="DS126" s="59">
        <f t="shared" si="71"/>
        <v>282.68227981685237</v>
      </c>
      <c r="DT126" s="59">
        <f ca="1">AVERAGE(OFFSET($DS$3,0,0,'Données projet'!$E$14+1,1))-AVERAGE(OFFSET($H$3,0,0,'Données projet'!$E$14+1,1))</f>
        <v>392.49465607243178</v>
      </c>
      <c r="DU126" s="59">
        <f t="shared" si="98"/>
        <v>258.031856676031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72.006768903335328</v>
      </c>
      <c r="EB126" s="21">
        <f>EXP(-LN(2)/25)*EB125+(1-EXP(-LN(2)/25))/(LN(2)/25)*Calculateur!DW126*Calculateur!DY126*VLOOKUP('Données projet'!$B$14,Paramètres!$A$1:$I$89,3,0)*0.475*44/12</f>
        <v>49.135311257408596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121.14208016074392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294.24530606293143</v>
      </c>
      <c r="EP126" s="59">
        <f t="shared" si="100"/>
        <v>275.88160405468193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60.908343894683377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60.908343894683377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1.1368683772161603E-13</v>
      </c>
      <c r="FF126" s="17">
        <f>FE126*VLOOKUP('Données projet'!$B$16,Paramètres!$A$1:$I$89,3,0)*VLOOKUP('Données projet'!$B$16,Paramètres!$A$1:$I$89,5,0)</f>
        <v>8.3355189417488869E-14</v>
      </c>
      <c r="FG126" s="13">
        <f t="shared" si="101"/>
        <v>1.2790518435140618E-12</v>
      </c>
      <c r="FH126" s="20">
        <f t="shared" si="76"/>
        <v>2.3728589156891171E-12</v>
      </c>
      <c r="FI126" s="59">
        <f t="shared" si="77"/>
        <v>282.68227981685305</v>
      </c>
      <c r="FJ126" s="59">
        <f ca="1">AVERAGE(OFFSET($FI$3,0,0,'Données projet'!$E$16+1,1))-AVERAGE(OFFSET($H$3,0,0,'Données projet'!$E$16+1,1))</f>
        <v>214.31585175697521</v>
      </c>
      <c r="FK126" s="59">
        <f t="shared" si="102"/>
        <v>244.60383864821372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28.286243362912479</v>
      </c>
      <c r="FR126" s="21">
        <f>EXP(-LN(2)/25)*FR125+(1-EXP(-LN(2)/25))/(LN(2)/25)*Calculateur!FM126*Calculateur!FO126*VLOOKUP('Données projet'!$B$16,Paramètres!$A$1:$I$89,3,0)*0.475*44/12</f>
        <v>0</v>
      </c>
      <c r="FS126" s="21">
        <f>EXP(-LN(2)/2)*FS125+(1-EXP(-LN(2)/2))/(LN(2)/2)*FM126*FP126*VLOOKUP('Données projet'!$B$16,Paramètres!$A$1:$I$89,3,0)*0.475*44/12</f>
        <v>0</v>
      </c>
      <c r="FT126" s="22">
        <f t="shared" si="78"/>
        <v>28.286243362912479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-5.6843418860808015E-14</v>
      </c>
      <c r="GA126" s="17">
        <f>FZ126*VLOOKUP('Données projet'!$B$17,Paramètres!$A$1:$I$89,3,0)*VLOOKUP('Données projet'!$B$17,Paramètres!$A$1:$I$89,5,0)</f>
        <v>-4.5224624045658861E-14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308.33954512886351</v>
      </c>
      <c r="GF126" s="59">
        <f t="shared" si="104"/>
        <v>408.79075392716277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39.166578448582982</v>
      </c>
      <c r="GM126" s="21">
        <f>EXP(-LN(2)/25)*GM125+(1-EXP(-LN(2)/25))/(LN(2)/25)*Calculateur!GH126*Calculateur!GJ126*VLOOKUP('Données projet'!$B$17,Paramètres!$A$1:$I$89,3,0)*0.475*44/12</f>
        <v>0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39.166578448582982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342.84342155097613</v>
      </c>
      <c r="T127" s="59">
        <f t="shared" si="88"/>
        <v>565.68976940602215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36.191435846624572</v>
      </c>
      <c r="AA127" s="21">
        <f>EXP(-LN(2)/25)*AA126+(1-EXP(-LN(2)/25))/(LN(2)/25)*Calculateur!V127*Calculateur!X127*VLOOKUP('Données projet'!$B$9,Paramètres!$A$1:$I$89,3,0)*0.475*44/12</f>
        <v>9.8829601962151656</v>
      </c>
      <c r="AB127" s="21">
        <f>EXP(-LN(2)/2)*AB126+(1-EXP(-LN(2)/2))/(LN(2)/2)*V127*Y127*VLOOKUP('Données projet'!$B$9,Paramètres!$A$1:$I$89,3,0)*0.475*44/12</f>
        <v>5.3236569762458581E-11</v>
      </c>
      <c r="AC127" s="22">
        <f t="shared" si="57"/>
        <v>46.074396042892971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320.33056209214476</v>
      </c>
      <c r="AO127" s="59">
        <f t="shared" si="90"/>
        <v>299.27200854723446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19.969255923312282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19.969255923312282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256.85706398254547</v>
      </c>
      <c r="BJ127" s="59">
        <f t="shared" si="92"/>
        <v>363.68094621014734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41.226012530292294</v>
      </c>
      <c r="BQ127" s="21">
        <f>EXP(-LN(2)/25)*BQ126+(1-EXP(-LN(2)/25))/(LN(2)/25)*Calculateur!BL127*Calculateur!BN127*VLOOKUP('Données projet'!$B$11,Paramètres!$A$1:$I$89,3,0)*0.475*44/12</f>
        <v>9.1485262259942086</v>
      </c>
      <c r="BR127" s="21">
        <f>EXP(-LN(2)/2)*BR126+(1-EXP(-LN(2)/2))/(LN(2)/2)*BL127*BO127*VLOOKUP('Données projet'!$B$11,Paramètres!$A$1:$I$89,3,0)*0.475*44/12</f>
        <v>5.0390433895620786E-9</v>
      </c>
      <c r="BS127" s="22">
        <f t="shared" si="63"/>
        <v>50.374538761325546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5.6843418860808015E-14</v>
      </c>
      <c r="BZ127" s="13">
        <f>BY127*VLOOKUP('Données projet'!$B$12,Paramètres!$A$1:$I$89,3,0)*VLOOKUP('Données projet'!$B$12,Paramètres!$A$1:$I$89,5,0)</f>
        <v>5.1431925385259088E-14</v>
      </c>
      <c r="CA127" s="13">
        <f t="shared" si="93"/>
        <v>8.3482866290946129E-13</v>
      </c>
      <c r="CB127" s="20">
        <f t="shared" si="64"/>
        <v>1.5435705246133045E-12</v>
      </c>
      <c r="CC127" s="59">
        <f t="shared" si="65"/>
        <v>282.86705178317487</v>
      </c>
      <c r="CD127" s="59">
        <f ca="1">AVERAGE(OFFSET($CC$3,0,0,'Données projet'!$E$12+1,1))-AVERAGE(OFFSET($H$3,0,0,'Données projet'!$E$12+1,1))</f>
        <v>357.68828740212223</v>
      </c>
      <c r="CE127" s="59">
        <f t="shared" si="94"/>
        <v>236.76626845829483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62.99224746040197</v>
      </c>
      <c r="CL127" s="21">
        <f>EXP(-LN(2)/25)*CL126+(1-EXP(-LN(2)/25))/(LN(2)/25)*Calculateur!CG127*Calculateur!CI127*VLOOKUP('Données projet'!$B$12,Paramètres!$A$1:$I$89,3,0)*0.475*44/12</f>
        <v>42.644904739312942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105.6371521997149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257.00000000000006</v>
      </c>
      <c r="CU127" s="17">
        <f>CT127*VLOOKUP('Données projet'!$B$13,Paramètres!$A$1:$I$89,3,0)*VLOOKUP('Données projet'!$B$13,Paramètres!$A$1:$I$89,5,0)</f>
        <v>168.38640000000004</v>
      </c>
      <c r="CV127" s="13">
        <f t="shared" si="95"/>
        <v>42.728430513203243</v>
      </c>
      <c r="CW127" s="20">
        <f t="shared" si="67"/>
        <v>367.69166314382898</v>
      </c>
      <c r="CX127" s="59">
        <f t="shared" si="68"/>
        <v>650.55871492700226</v>
      </c>
      <c r="CY127" s="59">
        <f ca="1">AVERAGE(OFFSET($CX$3,0,0,'Données projet'!$E$13+1,1))-AVERAGE(OFFSET($H$3,0,0,'Données projet'!$E$13+1,1))</f>
        <v>220.18342986563667</v>
      </c>
      <c r="CZ127" s="59">
        <f t="shared" si="96"/>
        <v>347.84382145531163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7.3143488685512738E-14</v>
      </c>
      <c r="DI127" s="22">
        <f t="shared" si="69"/>
        <v>7.3143488685512738E-14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5.7639226724859328E-14</v>
      </c>
      <c r="DQ127" s="13">
        <f t="shared" si="97"/>
        <v>9.2325701996134334E-13</v>
      </c>
      <c r="DR127" s="20">
        <f t="shared" si="70"/>
        <v>1.708394296311803E-12</v>
      </c>
      <c r="DS127" s="59">
        <f t="shared" si="71"/>
        <v>282.86705178317504</v>
      </c>
      <c r="DT127" s="59">
        <f ca="1">AVERAGE(OFFSET($DS$3,0,0,'Données projet'!$E$14+1,1))-AVERAGE(OFFSET($H$3,0,0,'Données projet'!$E$14+1,1))</f>
        <v>392.49465607243178</v>
      </c>
      <c r="DU127" s="59">
        <f t="shared" si="98"/>
        <v>258.031856676031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70.594760084933228</v>
      </c>
      <c r="EB127" s="21">
        <f>EXP(-LN(2)/25)*EB126+(1-EXP(-LN(2)/25))/(LN(2)/25)*Calculateur!DW127*Calculateur!DY127*VLOOKUP('Données projet'!$B$14,Paramètres!$A$1:$I$89,3,0)*0.475*44/12</f>
        <v>47.791703587161038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118.38646367209427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294.24530606293143</v>
      </c>
      <c r="EP127" s="59">
        <f t="shared" si="100"/>
        <v>275.88160405468193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59.713968421330115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59.713968421330115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1.1368683772161603E-13</v>
      </c>
      <c r="FF127" s="17">
        <f>FE127*VLOOKUP('Données projet'!$B$16,Paramètres!$A$1:$I$89,3,0)*VLOOKUP('Données projet'!$B$16,Paramètres!$A$1:$I$89,5,0)</f>
        <v>8.3355189417488869E-14</v>
      </c>
      <c r="FG127" s="13">
        <f t="shared" si="101"/>
        <v>1.2790518435140618E-12</v>
      </c>
      <c r="FH127" s="20">
        <f t="shared" si="76"/>
        <v>2.3728589156891171E-12</v>
      </c>
      <c r="FI127" s="59">
        <f t="shared" si="77"/>
        <v>282.86705178317573</v>
      </c>
      <c r="FJ127" s="59">
        <f ca="1">AVERAGE(OFFSET($FI$3,0,0,'Données projet'!$E$16+1,1))-AVERAGE(OFFSET($H$3,0,0,'Données projet'!$E$16+1,1))</f>
        <v>214.31585175697521</v>
      </c>
      <c r="FK127" s="59">
        <f t="shared" si="102"/>
        <v>244.60383864821372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27.731567383470633</v>
      </c>
      <c r="FR127" s="21">
        <f>EXP(-LN(2)/25)*FR126+(1-EXP(-LN(2)/25))/(LN(2)/25)*Calculateur!FM127*Calculateur!FO127*VLOOKUP('Données projet'!$B$16,Paramètres!$A$1:$I$89,3,0)*0.475*44/12</f>
        <v>0</v>
      </c>
      <c r="FS127" s="21">
        <f>EXP(-LN(2)/2)*FS126+(1-EXP(-LN(2)/2))/(LN(2)/2)*FM127*FP127*VLOOKUP('Données projet'!$B$16,Paramètres!$A$1:$I$89,3,0)*0.475*44/12</f>
        <v>0</v>
      </c>
      <c r="FT127" s="22">
        <f t="shared" si="78"/>
        <v>27.731567383470633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-5.6843418860808015E-14</v>
      </c>
      <c r="GA127" s="17">
        <f>FZ127*VLOOKUP('Données projet'!$B$17,Paramètres!$A$1:$I$89,3,0)*VLOOKUP('Données projet'!$B$17,Paramètres!$A$1:$I$89,5,0)</f>
        <v>-4.5224624045658861E-14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308.33954512886351</v>
      </c>
      <c r="GF127" s="59">
        <f t="shared" si="104"/>
        <v>408.79075392716277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38.398545734460257</v>
      </c>
      <c r="GM127" s="21">
        <f>EXP(-LN(2)/25)*GM126+(1-EXP(-LN(2)/25))/(LN(2)/25)*Calculateur!GH127*Calculateur!GJ127*VLOOKUP('Données projet'!$B$17,Paramètres!$A$1:$I$89,3,0)*0.475*44/12</f>
        <v>0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38.398545734460257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342.84342155097613</v>
      </c>
      <c r="T128" s="59">
        <f t="shared" si="88"/>
        <v>565.68976940602215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35.481743864268445</v>
      </c>
      <c r="AA128" s="21">
        <f>EXP(-LN(2)/25)*AA127+(1-EXP(-LN(2)/25))/(LN(2)/25)*Calculateur!V128*Calculateur!X128*VLOOKUP('Données projet'!$B$9,Paramètres!$A$1:$I$89,3,0)*0.475*44/12</f>
        <v>9.6127101299273736</v>
      </c>
      <c r="AB128" s="21">
        <f>EXP(-LN(2)/2)*AB127+(1-EXP(-LN(2)/2))/(LN(2)/2)*V128*Y128*VLOOKUP('Données projet'!$B$9,Paramètres!$A$1:$I$89,3,0)*0.475*44/12</f>
        <v>3.7643939486145172E-11</v>
      </c>
      <c r="AC128" s="22">
        <f t="shared" si="57"/>
        <v>45.094453994233461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320.33056209214476</v>
      </c>
      <c r="AO128" s="59">
        <f t="shared" si="90"/>
        <v>299.27200854723446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19.42319556995178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19.42319556995178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256.85706398254547</v>
      </c>
      <c r="BJ128" s="59">
        <f t="shared" si="92"/>
        <v>363.68094621014734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40.417595569958003</v>
      </c>
      <c r="BQ128" s="21">
        <f>EXP(-LN(2)/25)*BQ127+(1-EXP(-LN(2)/25))/(LN(2)/25)*Calculateur!BL128*Calculateur!BN128*VLOOKUP('Données projet'!$B$11,Paramètres!$A$1:$I$89,3,0)*0.475*44/12</f>
        <v>8.8983592952443118</v>
      </c>
      <c r="BR128" s="21">
        <f>EXP(-LN(2)/2)*BR127+(1-EXP(-LN(2)/2))/(LN(2)/2)*BL128*BO128*VLOOKUP('Données projet'!$B$11,Paramètres!$A$1:$I$89,3,0)*0.475*44/12</f>
        <v>3.5631417514525915E-9</v>
      </c>
      <c r="BS128" s="22">
        <f t="shared" si="63"/>
        <v>49.315954868765459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5.6843418860808015E-14</v>
      </c>
      <c r="BZ128" s="13">
        <f>BY128*VLOOKUP('Données projet'!$B$12,Paramètres!$A$1:$I$89,3,0)*VLOOKUP('Données projet'!$B$12,Paramètres!$A$1:$I$89,5,0)</f>
        <v>5.1431925385259088E-14</v>
      </c>
      <c r="CA128" s="13">
        <f t="shared" si="93"/>
        <v>8.3482866290946129E-13</v>
      </c>
      <c r="CB128" s="20">
        <f t="shared" si="64"/>
        <v>1.5435705246133045E-12</v>
      </c>
      <c r="CC128" s="59">
        <f t="shared" si="65"/>
        <v>283.04861836897004</v>
      </c>
      <c r="CD128" s="59">
        <f ca="1">AVERAGE(OFFSET($CC$3,0,0,'Données projet'!$E$12+1,1))-AVERAGE(OFFSET($H$3,0,0,'Données projet'!$E$12+1,1))</f>
        <v>357.68828740212223</v>
      </c>
      <c r="CE128" s="59">
        <f t="shared" si="94"/>
        <v>236.76626845829483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61.757007909180629</v>
      </c>
      <c r="CL128" s="21">
        <f>EXP(-LN(2)/25)*CL127+(1-EXP(-LN(2)/25))/(LN(2)/25)*Calculateur!CG128*Calculateur!CI128*VLOOKUP('Données projet'!$B$12,Paramètres!$A$1:$I$89,3,0)*0.475*44/12</f>
        <v>41.478777576618356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103.23578548579898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257.00000000000006</v>
      </c>
      <c r="CU128" s="17">
        <f>CT128*VLOOKUP('Données projet'!$B$13,Paramètres!$A$1:$I$89,3,0)*VLOOKUP('Données projet'!$B$13,Paramètres!$A$1:$I$89,5,0)</f>
        <v>168.38640000000004</v>
      </c>
      <c r="CV128" s="13">
        <f t="shared" si="95"/>
        <v>42.728430513203243</v>
      </c>
      <c r="CW128" s="20">
        <f t="shared" si="67"/>
        <v>367.69166314382898</v>
      </c>
      <c r="CX128" s="59">
        <f t="shared" si="68"/>
        <v>650.74028151279754</v>
      </c>
      <c r="CY128" s="59">
        <f ca="1">AVERAGE(OFFSET($CX$3,0,0,'Données projet'!$E$13+1,1))-AVERAGE(OFFSET($H$3,0,0,'Données projet'!$E$13+1,1))</f>
        <v>220.18342986563667</v>
      </c>
      <c r="CZ128" s="59">
        <f t="shared" si="96"/>
        <v>347.84382145531163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5.1720256849167571E-14</v>
      </c>
      <c r="DI128" s="22">
        <f t="shared" si="69"/>
        <v>5.1720256849167571E-14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5.7639226724859328E-14</v>
      </c>
      <c r="DQ128" s="13">
        <f t="shared" si="97"/>
        <v>9.2325701996134334E-13</v>
      </c>
      <c r="DR128" s="20">
        <f t="shared" si="70"/>
        <v>1.708394296311803E-12</v>
      </c>
      <c r="DS128" s="59">
        <f t="shared" si="71"/>
        <v>283.04861836897021</v>
      </c>
      <c r="DT128" s="59">
        <f ca="1">AVERAGE(OFFSET($DS$3,0,0,'Données projet'!$E$14+1,1))-AVERAGE(OFFSET($H$3,0,0,'Données projet'!$E$14+1,1))</f>
        <v>392.49465607243178</v>
      </c>
      <c r="DU128" s="59">
        <f t="shared" si="98"/>
        <v>258.031856676031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69.210439898219661</v>
      </c>
      <c r="EB128" s="21">
        <f>EXP(-LN(2)/25)*EB127+(1-EXP(-LN(2)/25))/(LN(2)/25)*Calculateur!DW128*Calculateur!DY128*VLOOKUP('Données projet'!$B$14,Paramètres!$A$1:$I$89,3,0)*0.475*44/12</f>
        <v>46.484836939313659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115.69527683753333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294.24530606293143</v>
      </c>
      <c r="EP128" s="59">
        <f t="shared" si="100"/>
        <v>275.88160405468193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58.543013922512202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58.543013922512202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1.1368683772161603E-13</v>
      </c>
      <c r="FF128" s="17">
        <f>FE128*VLOOKUP('Données projet'!$B$16,Paramètres!$A$1:$I$89,3,0)*VLOOKUP('Données projet'!$B$16,Paramètres!$A$1:$I$89,5,0)</f>
        <v>8.3355189417488869E-14</v>
      </c>
      <c r="FG128" s="13">
        <f t="shared" si="101"/>
        <v>1.2790518435140618E-12</v>
      </c>
      <c r="FH128" s="20">
        <f t="shared" si="76"/>
        <v>2.3728589156891171E-12</v>
      </c>
      <c r="FI128" s="59">
        <f t="shared" si="77"/>
        <v>283.04861836897089</v>
      </c>
      <c r="FJ128" s="59">
        <f ca="1">AVERAGE(OFFSET($FI$3,0,0,'Données projet'!$E$16+1,1))-AVERAGE(OFFSET($H$3,0,0,'Données projet'!$E$16+1,1))</f>
        <v>214.31585175697521</v>
      </c>
      <c r="FK128" s="59">
        <f t="shared" si="102"/>
        <v>244.60383864821372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27.187768261666701</v>
      </c>
      <c r="FR128" s="21">
        <f>EXP(-LN(2)/25)*FR127+(1-EXP(-LN(2)/25))/(LN(2)/25)*Calculateur!FM128*Calculateur!FO128*VLOOKUP('Données projet'!$B$16,Paramètres!$A$1:$I$89,3,0)*0.475*44/12</f>
        <v>0</v>
      </c>
      <c r="FS128" s="21">
        <f>EXP(-LN(2)/2)*FS127+(1-EXP(-LN(2)/2))/(LN(2)/2)*FM128*FP128*VLOOKUP('Données projet'!$B$16,Paramètres!$A$1:$I$89,3,0)*0.475*44/12</f>
        <v>0</v>
      </c>
      <c r="FT128" s="22">
        <f t="shared" si="78"/>
        <v>27.187768261666701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-5.6843418860808015E-14</v>
      </c>
      <c r="GA128" s="17">
        <f>FZ128*VLOOKUP('Données projet'!$B$17,Paramètres!$A$1:$I$89,3,0)*VLOOKUP('Données projet'!$B$17,Paramètres!$A$1:$I$89,5,0)</f>
        <v>-4.5224624045658861E-14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308.33954512886351</v>
      </c>
      <c r="GF128" s="59">
        <f t="shared" si="104"/>
        <v>408.79075392716277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37.645573673407775</v>
      </c>
      <c r="GM128" s="21">
        <f>EXP(-LN(2)/25)*GM127+(1-EXP(-LN(2)/25))/(LN(2)/25)*Calculateur!GH128*Calculateur!GJ128*VLOOKUP('Données projet'!$B$17,Paramètres!$A$1:$I$89,3,0)*0.475*44/12</f>
        <v>0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37.645573673407775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342.84342155097613</v>
      </c>
      <c r="T129" s="59">
        <f t="shared" si="88"/>
        <v>565.68976940602215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34.785968508816957</v>
      </c>
      <c r="AA129" s="21">
        <f>EXP(-LN(2)/25)*AA128+(1-EXP(-LN(2)/25))/(LN(2)/25)*Calculateur!V129*Calculateur!X129*VLOOKUP('Données projet'!$B$9,Paramètres!$A$1:$I$89,3,0)*0.475*44/12</f>
        <v>9.3498500659140547</v>
      </c>
      <c r="AB129" s="21">
        <f>EXP(-LN(2)/2)*AB128+(1-EXP(-LN(2)/2))/(LN(2)/2)*V129*Y129*VLOOKUP('Données projet'!$B$9,Paramètres!$A$1:$I$89,3,0)*0.475*44/12</f>
        <v>2.6618284881229291E-11</v>
      </c>
      <c r="AC129" s="22">
        <f t="shared" si="57"/>
        <v>44.135818574757629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320.33056209214476</v>
      </c>
      <c r="AO129" s="59">
        <f t="shared" si="90"/>
        <v>299.27200854723446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18.892067265669986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18.892067265669986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256.85706398254547</v>
      </c>
      <c r="BJ129" s="59">
        <f t="shared" si="92"/>
        <v>363.68094621014734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39.625031173130211</v>
      </c>
      <c r="BQ129" s="21">
        <f>EXP(-LN(2)/25)*BQ128+(1-EXP(-LN(2)/25))/(LN(2)/25)*Calculateur!BL129*Calculateur!BN129*VLOOKUP('Données projet'!$B$11,Paramètres!$A$1:$I$89,3,0)*0.475*44/12</f>
        <v>8.6550331923714783</v>
      </c>
      <c r="BR129" s="21">
        <f>EXP(-LN(2)/2)*BR128+(1-EXP(-LN(2)/2))/(LN(2)/2)*BL129*BO129*VLOOKUP('Données projet'!$B$11,Paramètres!$A$1:$I$89,3,0)*0.475*44/12</f>
        <v>2.5195216947810393E-9</v>
      </c>
      <c r="BS129" s="22">
        <f t="shared" si="63"/>
        <v>48.280064368021208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5.6843418860808015E-14</v>
      </c>
      <c r="BZ129" s="13">
        <f>BY129*VLOOKUP('Données projet'!$B$12,Paramètres!$A$1:$I$89,3,0)*VLOOKUP('Données projet'!$B$12,Paramètres!$A$1:$I$89,5,0)</f>
        <v>5.1431925385259088E-14</v>
      </c>
      <c r="CA129" s="13">
        <f t="shared" si="93"/>
        <v>8.3482866290946129E-13</v>
      </c>
      <c r="CB129" s="20">
        <f t="shared" si="64"/>
        <v>1.5435705246133045E-12</v>
      </c>
      <c r="CC129" s="59">
        <f t="shared" si="65"/>
        <v>283.22703518042374</v>
      </c>
      <c r="CD129" s="59">
        <f ca="1">AVERAGE(OFFSET($CC$3,0,0,'Données projet'!$E$12+1,1))-AVERAGE(OFFSET($H$3,0,0,'Données projet'!$E$12+1,1))</f>
        <v>357.68828740212223</v>
      </c>
      <c r="CE129" s="59">
        <f t="shared" si="94"/>
        <v>236.76626845829483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60.545990652137007</v>
      </c>
      <c r="CL129" s="21">
        <f>EXP(-LN(2)/25)*CL128+(1-EXP(-LN(2)/25))/(LN(2)/25)*Calculateur!CG129*Calculateur!CI129*VLOOKUP('Données projet'!$B$12,Paramètres!$A$1:$I$89,3,0)*0.475*44/12</f>
        <v>40.344538222511616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100.89052887464862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257.00000000000006</v>
      </c>
      <c r="CU129" s="17">
        <f>CT129*VLOOKUP('Données projet'!$B$13,Paramètres!$A$1:$I$89,3,0)*VLOOKUP('Données projet'!$B$13,Paramètres!$A$1:$I$89,5,0)</f>
        <v>168.38640000000004</v>
      </c>
      <c r="CV129" s="13">
        <f t="shared" si="95"/>
        <v>42.728430513203243</v>
      </c>
      <c r="CW129" s="20">
        <f t="shared" si="67"/>
        <v>367.69166314382898</v>
      </c>
      <c r="CX129" s="59">
        <f t="shared" si="68"/>
        <v>650.91869832425118</v>
      </c>
      <c r="CY129" s="59">
        <f ca="1">AVERAGE(OFFSET($CX$3,0,0,'Données projet'!$E$13+1,1))-AVERAGE(OFFSET($H$3,0,0,'Données projet'!$E$13+1,1))</f>
        <v>220.18342986563667</v>
      </c>
      <c r="CZ129" s="59">
        <f t="shared" si="96"/>
        <v>347.84382145531163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3.6571744342756369E-14</v>
      </c>
      <c r="DI129" s="22">
        <f t="shared" si="69"/>
        <v>3.6571744342756369E-14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5.7639226724859328E-14</v>
      </c>
      <c r="DQ129" s="13">
        <f t="shared" si="97"/>
        <v>9.2325701996134334E-13</v>
      </c>
      <c r="DR129" s="20">
        <f t="shared" si="70"/>
        <v>1.708394296311803E-12</v>
      </c>
      <c r="DS129" s="59">
        <f t="shared" si="71"/>
        <v>283.22703518042391</v>
      </c>
      <c r="DT129" s="59">
        <f ca="1">AVERAGE(OFFSET($DS$3,0,0,'Données projet'!$E$14+1,1))-AVERAGE(OFFSET($H$3,0,0,'Données projet'!$E$14+1,1))</f>
        <v>392.49465607243178</v>
      </c>
      <c r="DU129" s="59">
        <f t="shared" si="98"/>
        <v>258.031856676031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67.853265386015607</v>
      </c>
      <c r="EB129" s="21">
        <f>EXP(-LN(2)/25)*EB128+(1-EXP(-LN(2)/25))/(LN(2)/25)*Calculateur!DW129*Calculateur!DY129*VLOOKUP('Données projet'!$B$14,Paramètres!$A$1:$I$89,3,0)*0.475*44/12</f>
        <v>45.213706628676796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113.0669720146924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294.24530606293143</v>
      </c>
      <c r="EP129" s="59">
        <f t="shared" si="100"/>
        <v>275.88160405468193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57.395021127204387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57.395021127204387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1.1368683772161603E-13</v>
      </c>
      <c r="FF129" s="17">
        <f>FE129*VLOOKUP('Données projet'!$B$16,Paramètres!$A$1:$I$89,3,0)*VLOOKUP('Données projet'!$B$16,Paramètres!$A$1:$I$89,5,0)</f>
        <v>8.3355189417488869E-14</v>
      </c>
      <c r="FG129" s="13">
        <f t="shared" si="101"/>
        <v>1.2790518435140618E-12</v>
      </c>
      <c r="FH129" s="20">
        <f t="shared" si="76"/>
        <v>2.3728589156891171E-12</v>
      </c>
      <c r="FI129" s="59">
        <f t="shared" si="77"/>
        <v>283.22703518042459</v>
      </c>
      <c r="FJ129" s="59">
        <f ca="1">AVERAGE(OFFSET($FI$3,0,0,'Données projet'!$E$16+1,1))-AVERAGE(OFFSET($H$3,0,0,'Données projet'!$E$16+1,1))</f>
        <v>214.31585175697521</v>
      </c>
      <c r="FK129" s="59">
        <f t="shared" si="102"/>
        <v>244.60383864821372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26.65463270895663</v>
      </c>
      <c r="FR129" s="21">
        <f>EXP(-LN(2)/25)*FR128+(1-EXP(-LN(2)/25))/(LN(2)/25)*Calculateur!FM129*Calculateur!FO129*VLOOKUP('Données projet'!$B$16,Paramètres!$A$1:$I$89,3,0)*0.475*44/12</f>
        <v>0</v>
      </c>
      <c r="FS129" s="21">
        <f>EXP(-LN(2)/2)*FS128+(1-EXP(-LN(2)/2))/(LN(2)/2)*FM129*FP129*VLOOKUP('Données projet'!$B$16,Paramètres!$A$1:$I$89,3,0)*0.475*44/12</f>
        <v>0</v>
      </c>
      <c r="FT129" s="22">
        <f t="shared" si="78"/>
        <v>26.65463270895663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-5.6843418860808015E-14</v>
      </c>
      <c r="GA129" s="17">
        <f>FZ129*VLOOKUP('Données projet'!$B$17,Paramètres!$A$1:$I$89,3,0)*VLOOKUP('Données projet'!$B$17,Paramètres!$A$1:$I$89,5,0)</f>
        <v>-4.5224624045658861E-14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308.33954512886351</v>
      </c>
      <c r="GF129" s="59">
        <f t="shared" si="104"/>
        <v>408.79075392716277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36.907366935204927</v>
      </c>
      <c r="GM129" s="21">
        <f>EXP(-LN(2)/25)*GM128+(1-EXP(-LN(2)/25))/(LN(2)/25)*Calculateur!GH129*Calculateur!GJ129*VLOOKUP('Données projet'!$B$17,Paramètres!$A$1:$I$89,3,0)*0.475*44/12</f>
        <v>0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36.907366935204927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342.84342155097613</v>
      </c>
      <c r="T130" s="59">
        <f t="shared" si="88"/>
        <v>565.68976940602215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34.103836883704808</v>
      </c>
      <c r="AA130" s="21">
        <f>EXP(-LN(2)/25)*AA129+(1-EXP(-LN(2)/25))/(LN(2)/25)*Calculateur!V130*Calculateur!X130*VLOOKUP('Données projet'!$B$9,Paramètres!$A$1:$I$89,3,0)*0.475*44/12</f>
        <v>9.0941779241743887</v>
      </c>
      <c r="AB130" s="21">
        <f>EXP(-LN(2)/2)*AB129+(1-EXP(-LN(2)/2))/(LN(2)/2)*V130*Y130*VLOOKUP('Données projet'!$B$9,Paramètres!$A$1:$I$89,3,0)*0.475*44/12</f>
        <v>1.8821969743072586E-11</v>
      </c>
      <c r="AC130" s="22">
        <f t="shared" si="57"/>
        <v>43.198014807898019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320.33056209214476</v>
      </c>
      <c r="AO130" s="59">
        <f t="shared" si="90"/>
        <v>299.27200854723446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18.375462692799601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18.375462692799601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256.85706398254547</v>
      </c>
      <c r="BJ130" s="59">
        <f t="shared" si="92"/>
        <v>363.68094621014734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38.848008480707662</v>
      </c>
      <c r="BQ130" s="21">
        <f>EXP(-LN(2)/25)*BQ129+(1-EXP(-LN(2)/25))/(LN(2)/25)*Calculateur!BL130*Calculateur!BN130*VLOOKUP('Données projet'!$B$11,Paramètres!$A$1:$I$89,3,0)*0.475*44/12</f>
        <v>8.4183608545776654</v>
      </c>
      <c r="BR130" s="21">
        <f>EXP(-LN(2)/2)*BR129+(1-EXP(-LN(2)/2))/(LN(2)/2)*BL130*BO130*VLOOKUP('Données projet'!$B$11,Paramètres!$A$1:$I$89,3,0)*0.475*44/12</f>
        <v>1.7815708757262958E-9</v>
      </c>
      <c r="BS130" s="22">
        <f t="shared" si="63"/>
        <v>47.266369337066898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5.6843418860808015E-14</v>
      </c>
      <c r="BZ130" s="13">
        <f>BY130*VLOOKUP('Données projet'!$B$12,Paramètres!$A$1:$I$89,3,0)*VLOOKUP('Données projet'!$B$12,Paramètres!$A$1:$I$89,5,0)</f>
        <v>5.1431925385259088E-14</v>
      </c>
      <c r="CA130" s="13">
        <f t="shared" si="93"/>
        <v>8.3482866290946129E-13</v>
      </c>
      <c r="CB130" s="20">
        <f t="shared" si="64"/>
        <v>1.5435705246133045E-12</v>
      </c>
      <c r="CC130" s="59">
        <f t="shared" si="65"/>
        <v>283.40235685907896</v>
      </c>
      <c r="CD130" s="59">
        <f ca="1">AVERAGE(OFFSET($CC$3,0,0,'Données projet'!$E$12+1,1))-AVERAGE(OFFSET($H$3,0,0,'Données projet'!$E$12+1,1))</f>
        <v>357.68828740212223</v>
      </c>
      <c r="CE130" s="59">
        <f t="shared" si="94"/>
        <v>236.76626845829483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59.358720704856424</v>
      </c>
      <c r="CL130" s="21">
        <f>EXP(-LN(2)/25)*CL129+(1-EXP(-LN(2)/25))/(LN(2)/25)*Calculateur!CG130*Calculateur!CI130*VLOOKUP('Données projet'!$B$12,Paramètres!$A$1:$I$89,3,0)*0.475*44/12</f>
        <v>39.241314703189978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98.600035408046409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257.00000000000006</v>
      </c>
      <c r="CU130" s="17">
        <f>CT130*VLOOKUP('Données projet'!$B$13,Paramètres!$A$1:$I$89,3,0)*VLOOKUP('Données projet'!$B$13,Paramètres!$A$1:$I$89,5,0)</f>
        <v>168.38640000000004</v>
      </c>
      <c r="CV130" s="13">
        <f t="shared" si="95"/>
        <v>42.728430513203243</v>
      </c>
      <c r="CW130" s="20">
        <f t="shared" si="67"/>
        <v>367.69166314382898</v>
      </c>
      <c r="CX130" s="59">
        <f t="shared" si="68"/>
        <v>651.0940200029064</v>
      </c>
      <c r="CY130" s="59">
        <f ca="1">AVERAGE(OFFSET($CX$3,0,0,'Données projet'!$E$13+1,1))-AVERAGE(OFFSET($H$3,0,0,'Données projet'!$E$13+1,1))</f>
        <v>220.18342986563667</v>
      </c>
      <c r="CZ130" s="59">
        <f t="shared" si="96"/>
        <v>347.84382145531163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2.5860128424583785E-14</v>
      </c>
      <c r="DI130" s="22">
        <f t="shared" si="69"/>
        <v>2.5860128424583785E-14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5.7639226724859328E-14</v>
      </c>
      <c r="DQ130" s="13">
        <f t="shared" si="97"/>
        <v>9.2325701996134334E-13</v>
      </c>
      <c r="DR130" s="20">
        <f t="shared" si="70"/>
        <v>1.708394296311803E-12</v>
      </c>
      <c r="DS130" s="59">
        <f t="shared" si="71"/>
        <v>283.40235685907913</v>
      </c>
      <c r="DT130" s="59">
        <f ca="1">AVERAGE(OFFSET($DS$3,0,0,'Données projet'!$E$14+1,1))-AVERAGE(OFFSET($H$3,0,0,'Données projet'!$E$14+1,1))</f>
        <v>392.49465607243178</v>
      </c>
      <c r="DU130" s="59">
        <f t="shared" si="98"/>
        <v>258.031856676031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66.522704238201158</v>
      </c>
      <c r="EB130" s="21">
        <f>EXP(-LN(2)/25)*EB129+(1-EXP(-LN(2)/25))/(LN(2)/25)*Calculateur!DW130*Calculateur!DY130*VLOOKUP('Données projet'!$B$14,Paramètres!$A$1:$I$89,3,0)*0.475*44/12</f>
        <v>43.977335443230132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110.50003968143129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294.24530606293143</v>
      </c>
      <c r="EP130" s="59">
        <f t="shared" si="100"/>
        <v>275.88160405468193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56.269539770406091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56.269539770406091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1.1368683772161603E-13</v>
      </c>
      <c r="FF130" s="17">
        <f>FE130*VLOOKUP('Données projet'!$B$16,Paramètres!$A$1:$I$89,3,0)*VLOOKUP('Données projet'!$B$16,Paramètres!$A$1:$I$89,5,0)</f>
        <v>8.3355189417488869E-14</v>
      </c>
      <c r="FG130" s="13">
        <f t="shared" si="101"/>
        <v>1.2790518435140618E-12</v>
      </c>
      <c r="FH130" s="20">
        <f t="shared" si="76"/>
        <v>2.3728589156891171E-12</v>
      </c>
      <c r="FI130" s="59">
        <f t="shared" si="77"/>
        <v>283.40235685907982</v>
      </c>
      <c r="FJ130" s="59">
        <f ca="1">AVERAGE(OFFSET($FI$3,0,0,'Données projet'!$E$16+1,1))-AVERAGE(OFFSET($H$3,0,0,'Données projet'!$E$16+1,1))</f>
        <v>214.31585175697521</v>
      </c>
      <c r="FK130" s="59">
        <f t="shared" si="102"/>
        <v>244.60383864821372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26.131951619254625</v>
      </c>
      <c r="FR130" s="21">
        <f>EXP(-LN(2)/25)*FR129+(1-EXP(-LN(2)/25))/(LN(2)/25)*Calculateur!FM130*Calculateur!FO130*VLOOKUP('Données projet'!$B$16,Paramètres!$A$1:$I$89,3,0)*0.475*44/12</f>
        <v>0</v>
      </c>
      <c r="FS130" s="21">
        <f>EXP(-LN(2)/2)*FS129+(1-EXP(-LN(2)/2))/(LN(2)/2)*FM130*FP130*VLOOKUP('Données projet'!$B$16,Paramètres!$A$1:$I$89,3,0)*0.475*44/12</f>
        <v>0</v>
      </c>
      <c r="FT130" s="22">
        <f t="shared" si="78"/>
        <v>26.131951619254625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-5.6843418860808015E-14</v>
      </c>
      <c r="GA130" s="17">
        <f>FZ130*VLOOKUP('Données projet'!$B$17,Paramètres!$A$1:$I$89,3,0)*VLOOKUP('Données projet'!$B$17,Paramètres!$A$1:$I$89,5,0)</f>
        <v>-4.5224624045658861E-14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308.33954512886351</v>
      </c>
      <c r="GF130" s="59">
        <f t="shared" si="104"/>
        <v>408.79075392716277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36.183635980876588</v>
      </c>
      <c r="GM130" s="21">
        <f>EXP(-LN(2)/25)*GM129+(1-EXP(-LN(2)/25))/(LN(2)/25)*Calculateur!GH130*Calculateur!GJ130*VLOOKUP('Données projet'!$B$17,Paramètres!$A$1:$I$89,3,0)*0.475*44/12</f>
        <v>0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36.183635980876588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342.84342155097613</v>
      </c>
      <c r="T131" s="59">
        <f t="shared" si="88"/>
        <v>565.68976940602215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33.435081443701897</v>
      </c>
      <c r="AA131" s="21">
        <f>EXP(-LN(2)/25)*AA130+(1-EXP(-LN(2)/25))/(LN(2)/25)*Calculateur!V131*Calculateur!X131*VLOOKUP('Données projet'!$B$9,Paramètres!$A$1:$I$89,3,0)*0.475*44/12</f>
        <v>8.8454971505958078</v>
      </c>
      <c r="AB131" s="21">
        <f>EXP(-LN(2)/2)*AB130+(1-EXP(-LN(2)/2))/(LN(2)/2)*V131*Y131*VLOOKUP('Données projet'!$B$9,Paramètres!$A$1:$I$89,3,0)*0.475*44/12</f>
        <v>1.3309142440614645E-11</v>
      </c>
      <c r="AC131" s="22">
        <f t="shared" si="57"/>
        <v>42.280578594311017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320.33056209214476</v>
      </c>
      <c r="AO131" s="59">
        <f t="shared" si="90"/>
        <v>299.27200854723446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17.872984699141412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17.872984699141412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256.85706398254547</v>
      </c>
      <c r="BJ131" s="59">
        <f t="shared" si="92"/>
        <v>363.68094621014734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38.086222729346474</v>
      </c>
      <c r="BQ131" s="21">
        <f>EXP(-LN(2)/25)*BQ130+(1-EXP(-LN(2)/25))/(LN(2)/25)*Calculateur!BL131*Calculateur!BN131*VLOOKUP('Données projet'!$B$11,Paramètres!$A$1:$I$89,3,0)*0.475*44/12</f>
        <v>8.1881603343068825</v>
      </c>
      <c r="BR131" s="21">
        <f>EXP(-LN(2)/2)*BR130+(1-EXP(-LN(2)/2))/(LN(2)/2)*BL131*BO131*VLOOKUP('Données projet'!$B$11,Paramètres!$A$1:$I$89,3,0)*0.475*44/12</f>
        <v>1.2597608473905196E-9</v>
      </c>
      <c r="BS131" s="22">
        <f t="shared" si="63"/>
        <v>46.274383064913124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5.6843418860808015E-14</v>
      </c>
      <c r="BZ131" s="13">
        <f>BY131*VLOOKUP('Données projet'!$B$12,Paramètres!$A$1:$I$89,3,0)*VLOOKUP('Données projet'!$B$12,Paramètres!$A$1:$I$89,5,0)</f>
        <v>5.1431925385259088E-14</v>
      </c>
      <c r="CA131" s="13">
        <f t="shared" si="93"/>
        <v>8.3482866290946129E-13</v>
      </c>
      <c r="CB131" s="20">
        <f t="shared" si="64"/>
        <v>1.5435705246133045E-12</v>
      </c>
      <c r="CC131" s="59">
        <f t="shared" si="65"/>
        <v>283.57463709857007</v>
      </c>
      <c r="CD131" s="59">
        <f ca="1">AVERAGE(OFFSET($CC$3,0,0,'Données projet'!$E$12+1,1))-AVERAGE(OFFSET($H$3,0,0,'Données projet'!$E$12+1,1))</f>
        <v>357.68828740212223</v>
      </c>
      <c r="CE131" s="59">
        <f t="shared" si="94"/>
        <v>236.76626845829483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58.194732397078852</v>
      </c>
      <c r="CL131" s="21">
        <f>EXP(-LN(2)/25)*CL130+(1-EXP(-LN(2)/25))/(LN(2)/25)*Calculateur!CG131*Calculateur!CI131*VLOOKUP('Données projet'!$B$12,Paramètres!$A$1:$I$89,3,0)*0.475*44/12</f>
        <v>38.168258889020194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96.362991286099046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257.00000000000006</v>
      </c>
      <c r="CU131" s="17">
        <f>CT131*VLOOKUP('Données projet'!$B$13,Paramètres!$A$1:$I$89,3,0)*VLOOKUP('Données projet'!$B$13,Paramètres!$A$1:$I$89,5,0)</f>
        <v>168.38640000000004</v>
      </c>
      <c r="CV131" s="13">
        <f t="shared" si="95"/>
        <v>42.728430513203243</v>
      </c>
      <c r="CW131" s="20">
        <f t="shared" si="67"/>
        <v>367.69166314382898</v>
      </c>
      <c r="CX131" s="59">
        <f t="shared" si="68"/>
        <v>651.26630024239751</v>
      </c>
      <c r="CY131" s="59">
        <f ca="1">AVERAGE(OFFSET($CX$3,0,0,'Données projet'!$E$13+1,1))-AVERAGE(OFFSET($H$3,0,0,'Données projet'!$E$13+1,1))</f>
        <v>220.18342986563667</v>
      </c>
      <c r="CZ131" s="59">
        <f t="shared" si="96"/>
        <v>347.84382145531163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1.8285872171378184E-14</v>
      </c>
      <c r="DI131" s="22">
        <f t="shared" si="69"/>
        <v>1.8285872171378184E-14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5.7639226724859328E-14</v>
      </c>
      <c r="DQ131" s="13">
        <f t="shared" si="97"/>
        <v>9.2325701996134334E-13</v>
      </c>
      <c r="DR131" s="20">
        <f t="shared" si="70"/>
        <v>1.708394296311803E-12</v>
      </c>
      <c r="DS131" s="59">
        <f t="shared" si="71"/>
        <v>283.57463709857024</v>
      </c>
      <c r="DT131" s="59">
        <f ca="1">AVERAGE(OFFSET($DS$3,0,0,'Données projet'!$E$14+1,1))-AVERAGE(OFFSET($H$3,0,0,'Données projet'!$E$14+1,1))</f>
        <v>392.49465607243178</v>
      </c>
      <c r="DU131" s="59">
        <f t="shared" si="98"/>
        <v>258.031856676031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65.218234582933192</v>
      </c>
      <c r="EB131" s="21">
        <f>EXP(-LN(2)/25)*EB130+(1-EXP(-LN(2)/25))/(LN(2)/25)*Calculateur!DW131*Calculateur!DY131*VLOOKUP('Données projet'!$B$14,Paramètres!$A$1:$I$89,3,0)*0.475*44/12</f>
        <v>42.774772892867446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107.99300747580064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294.24530606293143</v>
      </c>
      <c r="EP131" s="59">
        <f t="shared" si="100"/>
        <v>275.88160405468193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55.166128416538768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55.166128416538768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1.1368683772161603E-13</v>
      </c>
      <c r="FF131" s="17">
        <f>FE131*VLOOKUP('Données projet'!$B$16,Paramètres!$A$1:$I$89,3,0)*VLOOKUP('Données projet'!$B$16,Paramètres!$A$1:$I$89,5,0)</f>
        <v>8.3355189417488869E-14</v>
      </c>
      <c r="FG131" s="13">
        <f t="shared" si="101"/>
        <v>1.2790518435140618E-12</v>
      </c>
      <c r="FH131" s="20">
        <f t="shared" si="76"/>
        <v>2.3728589156891171E-12</v>
      </c>
      <c r="FI131" s="59">
        <f t="shared" si="77"/>
        <v>283.57463709857092</v>
      </c>
      <c r="FJ131" s="59">
        <f ca="1">AVERAGE(OFFSET($FI$3,0,0,'Données projet'!$E$16+1,1))-AVERAGE(OFFSET($H$3,0,0,'Données projet'!$E$16+1,1))</f>
        <v>214.31585175697521</v>
      </c>
      <c r="FK131" s="59">
        <f t="shared" si="102"/>
        <v>244.60383864821372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25.619519986917691</v>
      </c>
      <c r="FR131" s="21">
        <f>EXP(-LN(2)/25)*FR130+(1-EXP(-LN(2)/25))/(LN(2)/25)*Calculateur!FM131*Calculateur!FO131*VLOOKUP('Données projet'!$B$16,Paramètres!$A$1:$I$89,3,0)*0.475*44/12</f>
        <v>0</v>
      </c>
      <c r="FS131" s="21">
        <f>EXP(-LN(2)/2)*FS130+(1-EXP(-LN(2)/2))/(LN(2)/2)*FM131*FP131*VLOOKUP('Données projet'!$B$16,Paramètres!$A$1:$I$89,3,0)*0.475*44/12</f>
        <v>0</v>
      </c>
      <c r="FT131" s="22">
        <f t="shared" si="78"/>
        <v>25.619519986917691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-5.6843418860808015E-14</v>
      </c>
      <c r="GA131" s="17">
        <f>FZ131*VLOOKUP('Données projet'!$B$17,Paramètres!$A$1:$I$89,3,0)*VLOOKUP('Données projet'!$B$17,Paramètres!$A$1:$I$89,5,0)</f>
        <v>-4.5224624045658861E-14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308.33954512886351</v>
      </c>
      <c r="GF131" s="59">
        <f t="shared" si="104"/>
        <v>408.79075392716277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35.474096949130328</v>
      </c>
      <c r="GM131" s="21">
        <f>EXP(-LN(2)/25)*GM130+(1-EXP(-LN(2)/25))/(LN(2)/25)*Calculateur!GH131*Calculateur!GJ131*VLOOKUP('Données projet'!$B$17,Paramètres!$A$1:$I$89,3,0)*0.475*44/12</f>
        <v>0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35.474096949130328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342.84342155097613</v>
      </c>
      <c r="T132" s="59">
        <f t="shared" si="88"/>
        <v>565.68976940602215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32.779439889976906</v>
      </c>
      <c r="AA132" s="21">
        <f>EXP(-LN(2)/25)*AA131+(1-EXP(-LN(2)/25))/(LN(2)/25)*Calculateur!V132*Calculateur!X132*VLOOKUP('Données projet'!$B$9,Paramètres!$A$1:$I$89,3,0)*0.475*44/12</f>
        <v>8.6036165658482862</v>
      </c>
      <c r="AB132" s="21">
        <f>EXP(-LN(2)/2)*AB131+(1-EXP(-LN(2)/2))/(LN(2)/2)*V132*Y132*VLOOKUP('Données projet'!$B$9,Paramètres!$A$1:$I$89,3,0)*0.475*44/12</f>
        <v>9.410984871536293E-12</v>
      </c>
      <c r="AC132" s="22">
        <f t="shared" ref="AC132:AC153" si="111">SUM(Z132:AB132)</f>
        <v>41.383056455834598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320.33056209214476</v>
      </c>
      <c r="AO132" s="59">
        <f t="shared" si="90"/>
        <v>299.27200854723446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17.384246992643973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17.384246992643973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256.85706398254547</v>
      </c>
      <c r="BJ132" s="59">
        <f t="shared" si="92"/>
        <v>363.68094621014734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37.339375131926055</v>
      </c>
      <c r="BQ132" s="21">
        <f>EXP(-LN(2)/25)*BQ131+(1-EXP(-LN(2)/25))/(LN(2)/25)*Calculateur!BL132*Calculateur!BN132*VLOOKUP('Données projet'!$B$11,Paramètres!$A$1:$I$89,3,0)*0.475*44/12</f>
        <v>7.9642546593686232</v>
      </c>
      <c r="BR132" s="21">
        <f>EXP(-LN(2)/2)*BR131+(1-EXP(-LN(2)/2))/(LN(2)/2)*BL132*BO132*VLOOKUP('Données projet'!$B$11,Paramètres!$A$1:$I$89,3,0)*0.475*44/12</f>
        <v>8.9078543786314788E-10</v>
      </c>
      <c r="BS132" s="22">
        <f t="shared" ref="BS132:BS153" si="117">SUM(BP132:BR132)</f>
        <v>45.303629792185461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5.6843418860808015E-14</v>
      </c>
      <c r="BZ132" s="13">
        <f>BY132*VLOOKUP('Données projet'!$B$12,Paramètres!$A$1:$I$89,3,0)*VLOOKUP('Données projet'!$B$12,Paramètres!$A$1:$I$89,5,0)</f>
        <v>5.1431925385259088E-14</v>
      </c>
      <c r="CA132" s="13">
        <f t="shared" si="93"/>
        <v>8.3482866290946129E-13</v>
      </c>
      <c r="CB132" s="20">
        <f t="shared" ref="CB132:CB153" si="118">(BZ132+CA132)*0.475*44/12</f>
        <v>1.5435705246133045E-12</v>
      </c>
      <c r="CC132" s="59">
        <f t="shared" ref="CC132:CC195" si="119">CB132+(BT132+BU132)*44/12</f>
        <v>283.74392866106689</v>
      </c>
      <c r="CD132" s="59">
        <f ca="1">AVERAGE(OFFSET($CC$3,0,0,'Données projet'!$E$12+1,1))-AVERAGE(OFFSET($H$3,0,0,'Données projet'!$E$12+1,1))</f>
        <v>357.68828740212223</v>
      </c>
      <c r="CE132" s="59">
        <f t="shared" si="94"/>
        <v>236.76626845829483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57.053569190054027</v>
      </c>
      <c r="CL132" s="21">
        <f>EXP(-LN(2)/25)*CL131+(1-EXP(-LN(2)/25))/(LN(2)/25)*Calculateur!CG132*Calculateur!CI132*VLOOKUP('Données projet'!$B$12,Paramètres!$A$1:$I$89,3,0)*0.475*44/12</f>
        <v>37.124545842518437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94.178115032572464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257.00000000000006</v>
      </c>
      <c r="CU132" s="17">
        <f>CT132*VLOOKUP('Données projet'!$B$13,Paramètres!$A$1:$I$89,3,0)*VLOOKUP('Données projet'!$B$13,Paramètres!$A$1:$I$89,5,0)</f>
        <v>168.38640000000004</v>
      </c>
      <c r="CV132" s="13">
        <f t="shared" si="95"/>
        <v>42.728430513203243</v>
      </c>
      <c r="CW132" s="20">
        <f t="shared" ref="CW132:CW153" si="121">(CU132+CV132)*0.475*44/12</f>
        <v>367.69166314382898</v>
      </c>
      <c r="CX132" s="59">
        <f t="shared" ref="CX132:CX195" si="122">CW132+(CO132+CP132)*44/12</f>
        <v>651.43559180489433</v>
      </c>
      <c r="CY132" s="59">
        <f ca="1">AVERAGE(OFFSET($CX$3,0,0,'Données projet'!$E$13+1,1))-AVERAGE(OFFSET($H$3,0,0,'Données projet'!$E$13+1,1))</f>
        <v>220.18342986563667</v>
      </c>
      <c r="CZ132" s="59">
        <f t="shared" si="96"/>
        <v>347.84382145531163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1.2930064212291893E-14</v>
      </c>
      <c r="DI132" s="22">
        <f t="shared" ref="DI132:DI153" si="123">SUM(DF132:DH132)</f>
        <v>1.2930064212291893E-14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5.7639226724859328E-14</v>
      </c>
      <c r="DQ132" s="13">
        <f t="shared" si="97"/>
        <v>9.2325701996134334E-13</v>
      </c>
      <c r="DR132" s="20">
        <f t="shared" ref="DR132:DR153" si="124">(DP132+DQ132)*0.475*44/12</f>
        <v>1.708394296311803E-12</v>
      </c>
      <c r="DS132" s="59">
        <f t="shared" ref="DS132:DS195" si="125">DR132+(DJ132+DK132)*44/12</f>
        <v>283.74392866106706</v>
      </c>
      <c r="DT132" s="59">
        <f ca="1">AVERAGE(OFFSET($DS$3,0,0,'Données projet'!$E$14+1,1))-AVERAGE(OFFSET($H$3,0,0,'Données projet'!$E$14+1,1))</f>
        <v>392.49465607243178</v>
      </c>
      <c r="DU132" s="59">
        <f t="shared" si="98"/>
        <v>258.031856676031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63.939344781957097</v>
      </c>
      <c r="EB132" s="21">
        <f>EXP(-LN(2)/25)*EB131+(1-EXP(-LN(2)/25))/(LN(2)/25)*Calculateur!DW132*Calculateur!DY132*VLOOKUP('Données projet'!$B$14,Paramètres!$A$1:$I$89,3,0)*0.475*44/12</f>
        <v>41.605094478684443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105.54443926064154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294.24530606293143</v>
      </c>
      <c r="EP132" s="59">
        <f t="shared" si="100"/>
        <v>275.88160405468193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54.084354286306315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54.084354286306315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1.1368683772161603E-13</v>
      </c>
      <c r="FF132" s="17">
        <f>FE132*VLOOKUP('Données projet'!$B$16,Paramètres!$A$1:$I$89,3,0)*VLOOKUP('Données projet'!$B$16,Paramètres!$A$1:$I$89,5,0)</f>
        <v>8.3355189417488869E-14</v>
      </c>
      <c r="FG132" s="13">
        <f t="shared" si="101"/>
        <v>1.2790518435140618E-12</v>
      </c>
      <c r="FH132" s="20">
        <f t="shared" ref="FH132:FH153" si="130">(FF132+FG132)*0.475*44/12</f>
        <v>2.3728589156891171E-12</v>
      </c>
      <c r="FI132" s="59">
        <f t="shared" ref="FI132:FI195" si="131">FH132+(EZ132+FA132)*44/12</f>
        <v>283.74392866106774</v>
      </c>
      <c r="FJ132" s="59">
        <f ca="1">AVERAGE(OFFSET($FI$3,0,0,'Données projet'!$E$16+1,1))-AVERAGE(OFFSET($H$3,0,0,'Données projet'!$E$16+1,1))</f>
        <v>214.31585175697521</v>
      </c>
      <c r="FK132" s="59">
        <f t="shared" si="102"/>
        <v>244.60383864821372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25.117136826338452</v>
      </c>
      <c r="FR132" s="21">
        <f>EXP(-LN(2)/25)*FR131+(1-EXP(-LN(2)/25))/(LN(2)/25)*Calculateur!FM132*Calculateur!FO132*VLOOKUP('Données projet'!$B$16,Paramètres!$A$1:$I$89,3,0)*0.475*44/12</f>
        <v>0</v>
      </c>
      <c r="FS132" s="21">
        <f>EXP(-LN(2)/2)*FS131+(1-EXP(-LN(2)/2))/(LN(2)/2)*FM132*FP132*VLOOKUP('Données projet'!$B$16,Paramètres!$A$1:$I$89,3,0)*0.475*44/12</f>
        <v>0</v>
      </c>
      <c r="FT132" s="22">
        <f t="shared" ref="FT132:FT153" si="132">SUM(FQ132:FS132)</f>
        <v>25.117136826338452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-5.6843418860808015E-14</v>
      </c>
      <c r="GA132" s="17">
        <f>FZ132*VLOOKUP('Données projet'!$B$17,Paramètres!$A$1:$I$89,3,0)*VLOOKUP('Données projet'!$B$17,Paramètres!$A$1:$I$89,5,0)</f>
        <v>-4.5224624045658861E-14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308.33954512886351</v>
      </c>
      <c r="GF132" s="59">
        <f t="shared" si="104"/>
        <v>408.79075392716277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34.778471545020537</v>
      </c>
      <c r="GM132" s="21">
        <f>EXP(-LN(2)/25)*GM131+(1-EXP(-LN(2)/25))/(LN(2)/25)*Calculateur!GH132*Calculateur!GJ132*VLOOKUP('Données projet'!$B$17,Paramètres!$A$1:$I$89,3,0)*0.475*44/12</f>
        <v>0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34.778471545020537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342.84342155097613</v>
      </c>
      <c r="T133" s="59">
        <f t="shared" ref="T133:T196" si="142">$T$3</f>
        <v>565.68976940602215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32.136655067218598</v>
      </c>
      <c r="AA133" s="21">
        <f>EXP(-LN(2)/25)*AA132+(1-EXP(-LN(2)/25))/(LN(2)/25)*Calculateur!V133*Calculateur!X133*VLOOKUP('Données projet'!$B$9,Paramètres!$A$1:$I$89,3,0)*0.475*44/12</f>
        <v>8.3683502184106331</v>
      </c>
      <c r="AB133" s="21">
        <f>EXP(-LN(2)/2)*AB132+(1-EXP(-LN(2)/2))/(LN(2)/2)*V133*Y133*VLOOKUP('Données projet'!$B$9,Paramètres!$A$1:$I$89,3,0)*0.475*44/12</f>
        <v>6.6545712203073227E-12</v>
      </c>
      <c r="AC133" s="22">
        <f t="shared" si="111"/>
        <v>40.505005285635889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320.33056209214476</v>
      </c>
      <c r="AO133" s="59">
        <f t="shared" ref="AO133:AO196" si="144">$AO$3</f>
        <v>299.27200854723446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16.908873844432307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16.908873844432307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256.85706398254547</v>
      </c>
      <c r="BJ133" s="59">
        <f t="shared" ref="BJ133:BJ196" si="146">$BJ$3</f>
        <v>363.68094621014734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36.607172760358992</v>
      </c>
      <c r="BQ133" s="21">
        <f>EXP(-LN(2)/25)*BQ132+(1-EXP(-LN(2)/25))/(LN(2)/25)*Calculateur!BL133*Calculateur!BN133*VLOOKUP('Données projet'!$B$11,Paramètres!$A$1:$I$89,3,0)*0.475*44/12</f>
        <v>7.7464716968862382</v>
      </c>
      <c r="BR133" s="21">
        <f>EXP(-LN(2)/2)*BR132+(1-EXP(-LN(2)/2))/(LN(2)/2)*BL133*BO133*VLOOKUP('Données projet'!$B$11,Paramètres!$A$1:$I$89,3,0)*0.475*44/12</f>
        <v>6.2988042369525982E-10</v>
      </c>
      <c r="BS133" s="22">
        <f t="shared" si="117"/>
        <v>44.353644457875113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5.6843418860808015E-14</v>
      </c>
      <c r="BZ133" s="13">
        <f>BY133*VLOOKUP('Données projet'!$B$12,Paramètres!$A$1:$I$89,3,0)*VLOOKUP('Données projet'!$B$12,Paramètres!$A$1:$I$89,5,0)</f>
        <v>5.1431925385259088E-14</v>
      </c>
      <c r="CA133" s="13">
        <f t="shared" ref="CA133:CA153" si="147">EXP(-1.0587+0.8836*LN(BZ133)+0.284)</f>
        <v>8.3482866290946129E-13</v>
      </c>
      <c r="CB133" s="20">
        <f t="shared" si="118"/>
        <v>1.5435705246133045E-12</v>
      </c>
      <c r="CC133" s="59">
        <f t="shared" si="119"/>
        <v>283.91028339343364</v>
      </c>
      <c r="CD133" s="59">
        <f ca="1">AVERAGE(OFFSET($CC$3,0,0,'Données projet'!$E$12+1,1))-AVERAGE(OFFSET($H$3,0,0,'Données projet'!$E$12+1,1))</f>
        <v>357.68828740212223</v>
      </c>
      <c r="CE133" s="59">
        <f t="shared" ref="CE133:CE196" si="148">$CE$3</f>
        <v>236.76626845829483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55.934783497478136</v>
      </c>
      <c r="CL133" s="21">
        <f>EXP(-LN(2)/25)*CL132+(1-EXP(-LN(2)/25))/(LN(2)/25)*Calculateur!CG133*Calculateur!CI133*VLOOKUP('Données projet'!$B$12,Paramètres!$A$1:$I$89,3,0)*0.475*44/12</f>
        <v>36.10937318415975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92.044156681637887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257.00000000000006</v>
      </c>
      <c r="CU133" s="17">
        <f>CT133*VLOOKUP('Données projet'!$B$13,Paramètres!$A$1:$I$89,3,0)*VLOOKUP('Données projet'!$B$13,Paramètres!$A$1:$I$89,5,0)</f>
        <v>168.38640000000004</v>
      </c>
      <c r="CV133" s="13">
        <f t="shared" ref="CV133:CV153" si="149">EXP(-1.0587+0.8836*LN(CU133)+0.284)</f>
        <v>42.728430513203243</v>
      </c>
      <c r="CW133" s="20">
        <f t="shared" si="121"/>
        <v>367.69166314382898</v>
      </c>
      <c r="CX133" s="59">
        <f t="shared" si="122"/>
        <v>651.60194653726103</v>
      </c>
      <c r="CY133" s="59">
        <f ca="1">AVERAGE(OFFSET($CX$3,0,0,'Données projet'!$E$13+1,1))-AVERAGE(OFFSET($H$3,0,0,'Données projet'!$E$13+1,1))</f>
        <v>220.18342986563667</v>
      </c>
      <c r="CZ133" s="59">
        <f t="shared" ref="CZ133:CZ196" si="150">$CZ$3</f>
        <v>347.84382145531163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9.1429360856890922E-15</v>
      </c>
      <c r="DI133" s="22">
        <f t="shared" si="123"/>
        <v>9.1429360856890922E-15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5.7639226724859328E-14</v>
      </c>
      <c r="DQ133" s="13">
        <f t="shared" ref="DQ133:DQ153" si="151">EXP(-1.0587+0.8836*LN(DP133)+0.284)</f>
        <v>9.2325701996134334E-13</v>
      </c>
      <c r="DR133" s="20">
        <f t="shared" si="124"/>
        <v>1.708394296311803E-12</v>
      </c>
      <c r="DS133" s="59">
        <f t="shared" si="125"/>
        <v>283.91028339343382</v>
      </c>
      <c r="DT133" s="59">
        <f ca="1">AVERAGE(OFFSET($DS$3,0,0,'Données projet'!$E$14+1,1))-AVERAGE(OFFSET($H$3,0,0,'Données projet'!$E$14+1,1))</f>
        <v>392.49465607243178</v>
      </c>
      <c r="DU133" s="59">
        <f t="shared" ref="DU133:DU196" si="152">$DU$3</f>
        <v>258.031856676031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62.685533229932389</v>
      </c>
      <c r="EB133" s="21">
        <f>EXP(-LN(2)/25)*EB132+(1-EXP(-LN(2)/25))/(LN(2)/25)*Calculateur!DW133*Calculateur!DY133*VLOOKUP('Données projet'!$B$14,Paramètres!$A$1:$I$89,3,0)*0.475*44/12</f>
        <v>40.467400982247987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103.15293421218038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294.24530606293143</v>
      </c>
      <c r="EP133" s="59">
        <f t="shared" ref="EP133:EP196" si="154">$EP$3</f>
        <v>275.88160405468193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53.023793086950647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53.023793086950647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1.1368683772161603E-13</v>
      </c>
      <c r="FF133" s="17">
        <f>FE133*VLOOKUP('Données projet'!$B$16,Paramètres!$A$1:$I$89,3,0)*VLOOKUP('Données projet'!$B$16,Paramètres!$A$1:$I$89,5,0)</f>
        <v>8.3355189417488869E-14</v>
      </c>
      <c r="FG133" s="13">
        <f t="shared" ref="FG133:FG153" si="155">EXP(-1.0587+0.8836*LN(FF133)+0.284)</f>
        <v>1.2790518435140618E-12</v>
      </c>
      <c r="FH133" s="20">
        <f t="shared" si="130"/>
        <v>2.3728589156891171E-12</v>
      </c>
      <c r="FI133" s="59">
        <f t="shared" si="131"/>
        <v>283.9102833934345</v>
      </c>
      <c r="FJ133" s="59">
        <f ca="1">AVERAGE(OFFSET($FI$3,0,0,'Données projet'!$E$16+1,1))-AVERAGE(OFFSET($H$3,0,0,'Données projet'!$E$16+1,1))</f>
        <v>214.31585175697521</v>
      </c>
      <c r="FK133" s="59">
        <f t="shared" ref="FK133:FK196" si="156">$FK$3</f>
        <v>244.60383864821372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24.624605093114702</v>
      </c>
      <c r="FR133" s="21">
        <f>EXP(-LN(2)/25)*FR132+(1-EXP(-LN(2)/25))/(LN(2)/25)*Calculateur!FM133*Calculateur!FO133*VLOOKUP('Données projet'!$B$16,Paramètres!$A$1:$I$89,3,0)*0.475*44/12</f>
        <v>0</v>
      </c>
      <c r="FS133" s="21">
        <f>EXP(-LN(2)/2)*FS132+(1-EXP(-LN(2)/2))/(LN(2)/2)*FM133*FP133*VLOOKUP('Données projet'!$B$16,Paramètres!$A$1:$I$89,3,0)*0.475*44/12</f>
        <v>0</v>
      </c>
      <c r="FT133" s="22">
        <f t="shared" si="132"/>
        <v>24.624605093114702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-5.6843418860808015E-14</v>
      </c>
      <c r="GA133" s="17">
        <f>FZ133*VLOOKUP('Données projet'!$B$17,Paramètres!$A$1:$I$89,3,0)*VLOOKUP('Données projet'!$B$17,Paramètres!$A$1:$I$89,5,0)</f>
        <v>-4.5224624045658861E-14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308.33954512886351</v>
      </c>
      <c r="GF133" s="59">
        <f t="shared" ref="GF133:GF196" si="158">$GF$3</f>
        <v>408.79075392716277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34.096486930795741</v>
      </c>
      <c r="GM133" s="21">
        <f>EXP(-LN(2)/25)*GM132+(1-EXP(-LN(2)/25))/(LN(2)/25)*Calculateur!GH133*Calculateur!GJ133*VLOOKUP('Données projet'!$B$17,Paramètres!$A$1:$I$89,3,0)*0.475*44/12</f>
        <v>0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34.096486930795741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342.84342155097613</v>
      </c>
      <c r="T134" s="59">
        <f t="shared" si="142"/>
        <v>565.68976940602215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31.506474862774553</v>
      </c>
      <c r="AA134" s="21">
        <f>EXP(-LN(2)/25)*AA133+(1-EXP(-LN(2)/25))/(LN(2)/25)*Calculateur!V134*Calculateur!X134*VLOOKUP('Données projet'!$B$9,Paramètres!$A$1:$I$89,3,0)*0.475*44/12</f>
        <v>8.139517241615783</v>
      </c>
      <c r="AB134" s="21">
        <f>EXP(-LN(2)/2)*AB133+(1-EXP(-LN(2)/2))/(LN(2)/2)*V134*Y134*VLOOKUP('Données projet'!$B$9,Paramètres!$A$1:$I$89,3,0)*0.475*44/12</f>
        <v>4.7054924357681465E-12</v>
      </c>
      <c r="AC134" s="22">
        <f t="shared" si="111"/>
        <v>39.645992104395042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320.33056209214476</v>
      </c>
      <c r="AO134" s="59">
        <f t="shared" si="144"/>
        <v>299.27200854723446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16.446499799957277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16.446499799957277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256.85706398254547</v>
      </c>
      <c r="BJ134" s="59">
        <f t="shared" si="146"/>
        <v>363.68094621014734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35.88932843069901</v>
      </c>
      <c r="BQ134" s="21">
        <f>EXP(-LN(2)/25)*BQ133+(1-EXP(-LN(2)/25))/(LN(2)/25)*Calculateur!BL134*Calculateur!BN134*VLOOKUP('Données projet'!$B$11,Paramètres!$A$1:$I$89,3,0)*0.475*44/12</f>
        <v>7.5346440209656427</v>
      </c>
      <c r="BR134" s="21">
        <f>EXP(-LN(2)/2)*BR133+(1-EXP(-LN(2)/2))/(LN(2)/2)*BL134*BO134*VLOOKUP('Données projet'!$B$11,Paramètres!$A$1:$I$89,3,0)*0.475*44/12</f>
        <v>4.4539271893157394E-10</v>
      </c>
      <c r="BS134" s="22">
        <f t="shared" si="117"/>
        <v>43.423972452110043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5.6843418860808015E-14</v>
      </c>
      <c r="BZ134" s="13">
        <f>BY134*VLOOKUP('Données projet'!$B$12,Paramètres!$A$1:$I$89,3,0)*VLOOKUP('Données projet'!$B$12,Paramètres!$A$1:$I$89,5,0)</f>
        <v>5.1431925385259088E-14</v>
      </c>
      <c r="CA134" s="13">
        <f t="shared" si="147"/>
        <v>8.3482866290946129E-13</v>
      </c>
      <c r="CB134" s="20">
        <f t="shared" si="118"/>
        <v>1.5435705246133045E-12</v>
      </c>
      <c r="CC134" s="59">
        <f t="shared" si="119"/>
        <v>284.07375224310726</v>
      </c>
      <c r="CD134" s="59">
        <f ca="1">AVERAGE(OFFSET($CC$3,0,0,'Données projet'!$E$12+1,1))-AVERAGE(OFFSET($H$3,0,0,'Données projet'!$E$12+1,1))</f>
        <v>357.68828740212223</v>
      </c>
      <c r="CE134" s="59">
        <f t="shared" si="148"/>
        <v>236.76626845829483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54.837936509941763</v>
      </c>
      <c r="CL134" s="21">
        <f>EXP(-LN(2)/25)*CL133+(1-EXP(-LN(2)/25))/(LN(2)/25)*Calculateur!CG134*Calculateur!CI134*VLOOKUP('Données projet'!$B$12,Paramètres!$A$1:$I$89,3,0)*0.475*44/12</f>
        <v>35.121960475529498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89.959896985471261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257.00000000000006</v>
      </c>
      <c r="CU134" s="17">
        <f>CT134*VLOOKUP('Données projet'!$B$13,Paramètres!$A$1:$I$89,3,0)*VLOOKUP('Données projet'!$B$13,Paramètres!$A$1:$I$89,5,0)</f>
        <v>168.38640000000004</v>
      </c>
      <c r="CV134" s="13">
        <f t="shared" si="149"/>
        <v>42.728430513203243</v>
      </c>
      <c r="CW134" s="20">
        <f t="shared" si="121"/>
        <v>367.69166314382898</v>
      </c>
      <c r="CX134" s="59">
        <f t="shared" si="122"/>
        <v>651.76541538693471</v>
      </c>
      <c r="CY134" s="59">
        <f ca="1">AVERAGE(OFFSET($CX$3,0,0,'Données projet'!$E$13+1,1))-AVERAGE(OFFSET($H$3,0,0,'Données projet'!$E$13+1,1))</f>
        <v>220.18342986563667</v>
      </c>
      <c r="CZ134" s="59">
        <f t="shared" si="150"/>
        <v>347.84382145531163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6.4650321061459464E-15</v>
      </c>
      <c r="DI134" s="22">
        <f t="shared" si="123"/>
        <v>6.4650321061459464E-15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5.7639226724859328E-14</v>
      </c>
      <c r="DQ134" s="13">
        <f t="shared" si="151"/>
        <v>9.2325701996134334E-13</v>
      </c>
      <c r="DR134" s="20">
        <f t="shared" si="124"/>
        <v>1.708394296311803E-12</v>
      </c>
      <c r="DS134" s="59">
        <f t="shared" si="125"/>
        <v>284.07375224310744</v>
      </c>
      <c r="DT134" s="59">
        <f ca="1">AVERAGE(OFFSET($DS$3,0,0,'Données projet'!$E$14+1,1))-AVERAGE(OFFSET($H$3,0,0,'Données projet'!$E$14+1,1))</f>
        <v>392.49465607243178</v>
      </c>
      <c r="DU134" s="59">
        <f t="shared" si="152"/>
        <v>258.031856676031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61.45630815769335</v>
      </c>
      <c r="EB134" s="21">
        <f>EXP(-LN(2)/25)*EB133+(1-EXP(-LN(2)/25))/(LN(2)/25)*Calculateur!DW134*Calculateur!DY134*VLOOKUP('Données projet'!$B$14,Paramètres!$A$1:$I$89,3,0)*0.475*44/12</f>
        <v>39.360817774300287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100.81712593199364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294.24530606293143</v>
      </c>
      <c r="EP134" s="59">
        <f t="shared" si="154"/>
        <v>275.88160405468193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51.984028845835887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51.984028845835887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1.1368683772161603E-13</v>
      </c>
      <c r="FF134" s="17">
        <f>FE134*VLOOKUP('Données projet'!$B$16,Paramètres!$A$1:$I$89,3,0)*VLOOKUP('Données projet'!$B$16,Paramètres!$A$1:$I$89,5,0)</f>
        <v>8.3355189417488869E-14</v>
      </c>
      <c r="FG134" s="13">
        <f t="shared" si="155"/>
        <v>1.2790518435140618E-12</v>
      </c>
      <c r="FH134" s="20">
        <f t="shared" si="130"/>
        <v>2.3728589156891171E-12</v>
      </c>
      <c r="FI134" s="59">
        <f t="shared" si="131"/>
        <v>284.07375224310812</v>
      </c>
      <c r="FJ134" s="59">
        <f ca="1">AVERAGE(OFFSET($FI$3,0,0,'Données projet'!$E$16+1,1))-AVERAGE(OFFSET($H$3,0,0,'Données projet'!$E$16+1,1))</f>
        <v>214.31585175697521</v>
      </c>
      <c r="FK134" s="59">
        <f t="shared" si="156"/>
        <v>244.60383864821372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24.141731606764775</v>
      </c>
      <c r="FR134" s="21">
        <f>EXP(-LN(2)/25)*FR133+(1-EXP(-LN(2)/25))/(LN(2)/25)*Calculateur!FM134*Calculateur!FO134*VLOOKUP('Données projet'!$B$16,Paramètres!$A$1:$I$89,3,0)*0.475*44/12</f>
        <v>0</v>
      </c>
      <c r="FS134" s="21">
        <f>EXP(-LN(2)/2)*FS133+(1-EXP(-LN(2)/2))/(LN(2)/2)*FM134*FP134*VLOOKUP('Données projet'!$B$16,Paramètres!$A$1:$I$89,3,0)*0.475*44/12</f>
        <v>0</v>
      </c>
      <c r="FT134" s="22">
        <f t="shared" si="132"/>
        <v>24.141731606764775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-5.6843418860808015E-14</v>
      </c>
      <c r="GA134" s="17">
        <f>FZ134*VLOOKUP('Données projet'!$B$17,Paramètres!$A$1:$I$89,3,0)*VLOOKUP('Données projet'!$B$17,Paramètres!$A$1:$I$89,5,0)</f>
        <v>-4.5224624045658861E-14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308.33954512886351</v>
      </c>
      <c r="GF134" s="59">
        <f t="shared" si="158"/>
        <v>408.79075392716277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33.427875618886354</v>
      </c>
      <c r="GM134" s="21">
        <f>EXP(-LN(2)/25)*GM133+(1-EXP(-LN(2)/25))/(LN(2)/25)*Calculateur!GH134*Calculateur!GJ134*VLOOKUP('Données projet'!$B$17,Paramètres!$A$1:$I$89,3,0)*0.475*44/12</f>
        <v>0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33.427875618886354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342.84342155097613</v>
      </c>
      <c r="T135" s="59">
        <f t="shared" si="142"/>
        <v>565.68976940602215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30.888652107767683</v>
      </c>
      <c r="AA135" s="21">
        <f>EXP(-LN(2)/25)*AA134+(1-EXP(-LN(2)/25))/(LN(2)/25)*Calculateur!V135*Calculateur!X135*VLOOKUP('Données projet'!$B$9,Paramètres!$A$1:$I$89,3,0)*0.475*44/12</f>
        <v>7.9169417146051906</v>
      </c>
      <c r="AB135" s="21">
        <f>EXP(-LN(2)/2)*AB134+(1-EXP(-LN(2)/2))/(LN(2)/2)*V135*Y135*VLOOKUP('Données projet'!$B$9,Paramètres!$A$1:$I$89,3,0)*0.475*44/12</f>
        <v>3.3272856101536613E-12</v>
      </c>
      <c r="AC135" s="22">
        <f t="shared" si="111"/>
        <v>38.805593822376196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320.33056209214476</v>
      </c>
      <c r="AO135" s="59">
        <f t="shared" si="144"/>
        <v>299.27200854723446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15.996769398043609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15.996769398043609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256.85706398254547</v>
      </c>
      <c r="BJ135" s="59">
        <f t="shared" si="146"/>
        <v>363.68094621014734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35.185560590501858</v>
      </c>
      <c r="BQ135" s="21">
        <f>EXP(-LN(2)/25)*BQ134+(1-EXP(-LN(2)/25))/(LN(2)/25)*Calculateur!BL135*Calculateur!BN135*VLOOKUP('Données projet'!$B$11,Paramètres!$A$1:$I$89,3,0)*0.475*44/12</f>
        <v>7.328608783982629</v>
      </c>
      <c r="BR135" s="21">
        <f>EXP(-LN(2)/2)*BR134+(1-EXP(-LN(2)/2))/(LN(2)/2)*BL135*BO135*VLOOKUP('Données projet'!$B$11,Paramètres!$A$1:$I$89,3,0)*0.475*44/12</f>
        <v>3.1494021184762991E-10</v>
      </c>
      <c r="BS135" s="22">
        <f t="shared" si="117"/>
        <v>42.51416937479943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5.6843418860808015E-14</v>
      </c>
      <c r="BZ135" s="13">
        <f>BY135*VLOOKUP('Données projet'!$B$12,Paramètres!$A$1:$I$89,3,0)*VLOOKUP('Données projet'!$B$12,Paramètres!$A$1:$I$89,5,0)</f>
        <v>5.1431925385259088E-14</v>
      </c>
      <c r="CA135" s="13">
        <f t="shared" si="147"/>
        <v>8.3482866290946129E-13</v>
      </c>
      <c r="CB135" s="20">
        <f t="shared" si="118"/>
        <v>1.5435705246133045E-12</v>
      </c>
      <c r="CC135" s="59">
        <f t="shared" si="119"/>
        <v>284.2343852737007</v>
      </c>
      <c r="CD135" s="59">
        <f ca="1">AVERAGE(OFFSET($CC$3,0,0,'Données projet'!$E$12+1,1))-AVERAGE(OFFSET($H$3,0,0,'Données projet'!$E$12+1,1))</f>
        <v>357.68828740212223</v>
      </c>
      <c r="CE135" s="59">
        <f t="shared" si="148"/>
        <v>236.76626845829483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53.762598022820377</v>
      </c>
      <c r="CL135" s="21">
        <f>EXP(-LN(2)/25)*CL134+(1-EXP(-LN(2)/25))/(LN(2)/25)*Calculateur!CG135*Calculateur!CI135*VLOOKUP('Données projet'!$B$12,Paramètres!$A$1:$I$89,3,0)*0.475*44/12</f>
        <v>34.161548619342518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87.924146642162896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257.00000000000006</v>
      </c>
      <c r="CU135" s="17">
        <f>CT135*VLOOKUP('Données projet'!$B$13,Paramètres!$A$1:$I$89,3,0)*VLOOKUP('Données projet'!$B$13,Paramètres!$A$1:$I$89,5,0)</f>
        <v>168.38640000000004</v>
      </c>
      <c r="CV135" s="13">
        <f t="shared" si="149"/>
        <v>42.728430513203243</v>
      </c>
      <c r="CW135" s="20">
        <f t="shared" si="121"/>
        <v>367.69166314382898</v>
      </c>
      <c r="CX135" s="59">
        <f t="shared" si="122"/>
        <v>651.92604841752814</v>
      </c>
      <c r="CY135" s="59">
        <f ca="1">AVERAGE(OFFSET($CX$3,0,0,'Données projet'!$E$13+1,1))-AVERAGE(OFFSET($H$3,0,0,'Données projet'!$E$13+1,1))</f>
        <v>220.18342986563667</v>
      </c>
      <c r="CZ135" s="59">
        <f t="shared" si="150"/>
        <v>347.84382145531163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4.5714680428445461E-15</v>
      </c>
      <c r="DI135" s="22">
        <f t="shared" si="123"/>
        <v>4.5714680428445461E-15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5.7639226724859328E-14</v>
      </c>
      <c r="DQ135" s="13">
        <f t="shared" si="151"/>
        <v>9.2325701996134334E-13</v>
      </c>
      <c r="DR135" s="20">
        <f t="shared" si="124"/>
        <v>1.708394296311803E-12</v>
      </c>
      <c r="DS135" s="59">
        <f t="shared" si="125"/>
        <v>284.23438527370087</v>
      </c>
      <c r="DT135" s="59">
        <f ca="1">AVERAGE(OFFSET($DS$3,0,0,'Données projet'!$E$14+1,1))-AVERAGE(OFFSET($H$3,0,0,'Données projet'!$E$14+1,1))</f>
        <v>392.49465607243178</v>
      </c>
      <c r="DU135" s="59">
        <f t="shared" si="152"/>
        <v>258.031856676031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60.251187439367655</v>
      </c>
      <c r="EB135" s="21">
        <f>EXP(-LN(2)/25)*EB134+(1-EXP(-LN(2)/25))/(LN(2)/25)*Calculateur!DW135*Calculateur!DY135*VLOOKUP('Données projet'!$B$14,Paramètres!$A$1:$I$89,3,0)*0.475*44/12</f>
        <v>38.284494142366597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98.535681581734252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294.24530606293143</v>
      </c>
      <c r="EP135" s="59">
        <f t="shared" si="154"/>
        <v>275.88160405468193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50.96465374729582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50.96465374729582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1.1368683772161603E-13</v>
      </c>
      <c r="FF135" s="17">
        <f>FE135*VLOOKUP('Données projet'!$B$16,Paramètres!$A$1:$I$89,3,0)*VLOOKUP('Données projet'!$B$16,Paramètres!$A$1:$I$89,5,0)</f>
        <v>8.3355189417488869E-14</v>
      </c>
      <c r="FG135" s="13">
        <f t="shared" si="155"/>
        <v>1.2790518435140618E-12</v>
      </c>
      <c r="FH135" s="20">
        <f t="shared" si="130"/>
        <v>2.3728589156891171E-12</v>
      </c>
      <c r="FI135" s="59">
        <f t="shared" si="131"/>
        <v>284.23438527370155</v>
      </c>
      <c r="FJ135" s="59">
        <f ca="1">AVERAGE(OFFSET($FI$3,0,0,'Données projet'!$E$16+1,1))-AVERAGE(OFFSET($H$3,0,0,'Données projet'!$E$16+1,1))</f>
        <v>214.31585175697521</v>
      </c>
      <c r="FK135" s="59">
        <f t="shared" si="156"/>
        <v>244.60383864821372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23.668326974958426</v>
      </c>
      <c r="FR135" s="21">
        <f>EXP(-LN(2)/25)*FR134+(1-EXP(-LN(2)/25))/(LN(2)/25)*Calculateur!FM135*Calculateur!FO135*VLOOKUP('Données projet'!$B$16,Paramètres!$A$1:$I$89,3,0)*0.475*44/12</f>
        <v>0</v>
      </c>
      <c r="FS135" s="21">
        <f>EXP(-LN(2)/2)*FS134+(1-EXP(-LN(2)/2))/(LN(2)/2)*FM135*FP135*VLOOKUP('Données projet'!$B$16,Paramètres!$A$1:$I$89,3,0)*0.475*44/12</f>
        <v>0</v>
      </c>
      <c r="FT135" s="22">
        <f t="shared" si="132"/>
        <v>23.668326974958426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-5.6843418860808015E-14</v>
      </c>
      <c r="GA135" s="17">
        <f>FZ135*VLOOKUP('Données projet'!$B$17,Paramètres!$A$1:$I$89,3,0)*VLOOKUP('Données projet'!$B$17,Paramètres!$A$1:$I$89,5,0)</f>
        <v>-4.5224624045658861E-14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308.33954512886351</v>
      </c>
      <c r="GF135" s="59">
        <f t="shared" si="158"/>
        <v>408.79075392716277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32.772375366990872</v>
      </c>
      <c r="GM135" s="21">
        <f>EXP(-LN(2)/25)*GM134+(1-EXP(-LN(2)/25))/(LN(2)/25)*Calculateur!GH135*Calculateur!GJ135*VLOOKUP('Données projet'!$B$17,Paramètres!$A$1:$I$89,3,0)*0.475*44/12</f>
        <v>0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32.772375366990872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342.84342155097613</v>
      </c>
      <c r="T136" s="59">
        <f t="shared" si="142"/>
        <v>565.68976940602215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30.282944480151826</v>
      </c>
      <c r="AA136" s="21">
        <f>EXP(-LN(2)/25)*AA135+(1-EXP(-LN(2)/25))/(LN(2)/25)*Calculateur!V136*Calculateur!X136*VLOOKUP('Données projet'!$B$9,Paramètres!$A$1:$I$89,3,0)*0.475*44/12</f>
        <v>7.7004525270854414</v>
      </c>
      <c r="AB136" s="21">
        <f>EXP(-LN(2)/2)*AB135+(1-EXP(-LN(2)/2))/(LN(2)/2)*V136*Y136*VLOOKUP('Données projet'!$B$9,Paramètres!$A$1:$I$89,3,0)*0.475*44/12</f>
        <v>2.3527462178840733E-12</v>
      </c>
      <c r="AC136" s="22">
        <f t="shared" si="111"/>
        <v>37.983397007239617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320.33056209214476</v>
      </c>
      <c r="AO136" s="59">
        <f t="shared" si="144"/>
        <v>299.27200854723446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15.559336897620565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15.559336897620565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256.85706398254547</v>
      </c>
      <c r="BJ136" s="59">
        <f t="shared" si="146"/>
        <v>363.68094621014734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34.495593208394972</v>
      </c>
      <c r="BQ136" s="21">
        <f>EXP(-LN(2)/25)*BQ135+(1-EXP(-LN(2)/25))/(LN(2)/25)*Calculateur!BL136*Calculateur!BN136*VLOOKUP('Données projet'!$B$11,Paramètres!$A$1:$I$89,3,0)*0.475*44/12</f>
        <v>7.1282075913898382</v>
      </c>
      <c r="BR136" s="21">
        <f>EXP(-LN(2)/2)*BR135+(1-EXP(-LN(2)/2))/(LN(2)/2)*BL136*BO136*VLOOKUP('Données projet'!$B$11,Paramètres!$A$1:$I$89,3,0)*0.475*44/12</f>
        <v>2.2269635946578697E-10</v>
      </c>
      <c r="BS136" s="22">
        <f t="shared" si="117"/>
        <v>41.623800800007508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5.6843418860808015E-14</v>
      </c>
      <c r="BZ136" s="13">
        <f>BY136*VLOOKUP('Données projet'!$B$12,Paramètres!$A$1:$I$89,3,0)*VLOOKUP('Données projet'!$B$12,Paramètres!$A$1:$I$89,5,0)</f>
        <v>5.1431925385259088E-14</v>
      </c>
      <c r="CA136" s="13">
        <f t="shared" si="147"/>
        <v>8.3482866290946129E-13</v>
      </c>
      <c r="CB136" s="20">
        <f t="shared" si="118"/>
        <v>1.5435705246133045E-12</v>
      </c>
      <c r="CC136" s="59">
        <f t="shared" si="119"/>
        <v>284.39223168033493</v>
      </c>
      <c r="CD136" s="59">
        <f ca="1">AVERAGE(OFFSET($CC$3,0,0,'Données projet'!$E$12+1,1))-AVERAGE(OFFSET($H$3,0,0,'Données projet'!$E$12+1,1))</f>
        <v>357.68828740212223</v>
      </c>
      <c r="CE136" s="59">
        <f t="shared" si="148"/>
        <v>236.76626845829483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52.708346267539724</v>
      </c>
      <c r="CL136" s="21">
        <f>EXP(-LN(2)/25)*CL135+(1-EXP(-LN(2)/25))/(LN(2)/25)*Calculateur!CG136*Calculateur!CI136*VLOOKUP('Données projet'!$B$12,Paramètres!$A$1:$I$89,3,0)*0.475*44/12</f>
        <v>33.227399275868834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85.935745543408558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257.00000000000006</v>
      </c>
      <c r="CU136" s="17">
        <f>CT136*VLOOKUP('Données projet'!$B$13,Paramètres!$A$1:$I$89,3,0)*VLOOKUP('Données projet'!$B$13,Paramètres!$A$1:$I$89,5,0)</f>
        <v>168.38640000000004</v>
      </c>
      <c r="CV136" s="13">
        <f t="shared" si="149"/>
        <v>42.728430513203243</v>
      </c>
      <c r="CW136" s="20">
        <f t="shared" si="121"/>
        <v>367.69166314382898</v>
      </c>
      <c r="CX136" s="59">
        <f t="shared" si="122"/>
        <v>652.08389482416237</v>
      </c>
      <c r="CY136" s="59">
        <f ca="1">AVERAGE(OFFSET($CX$3,0,0,'Données projet'!$E$13+1,1))-AVERAGE(OFFSET($H$3,0,0,'Données projet'!$E$13+1,1))</f>
        <v>220.18342986563667</v>
      </c>
      <c r="CZ136" s="59">
        <f t="shared" si="150"/>
        <v>347.84382145531163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3.2325160530729732E-15</v>
      </c>
      <c r="DI136" s="22">
        <f t="shared" si="123"/>
        <v>3.2325160530729732E-15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5.7639226724859328E-14</v>
      </c>
      <c r="DQ136" s="13">
        <f t="shared" si="151"/>
        <v>9.2325701996134334E-13</v>
      </c>
      <c r="DR136" s="20">
        <f t="shared" si="124"/>
        <v>1.708394296311803E-12</v>
      </c>
      <c r="DS136" s="59">
        <f t="shared" si="125"/>
        <v>284.3922316803351</v>
      </c>
      <c r="DT136" s="59">
        <f ca="1">AVERAGE(OFFSET($DS$3,0,0,'Données projet'!$E$14+1,1))-AVERAGE(OFFSET($H$3,0,0,'Données projet'!$E$14+1,1))</f>
        <v>392.49465607243178</v>
      </c>
      <c r="DU136" s="59">
        <f t="shared" si="152"/>
        <v>258.031856676031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59.069698403277272</v>
      </c>
      <c r="EB136" s="21">
        <f>EXP(-LN(2)/25)*EB135+(1-EXP(-LN(2)/25))/(LN(2)/25)*Calculateur!DW136*Calculateur!DY136*VLOOKUP('Données projet'!$B$14,Paramètres!$A$1:$I$89,3,0)*0.475*44/12</f>
        <v>37.237602636749536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96.3073010400268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294.24530606293143</v>
      </c>
      <c r="EP136" s="59">
        <f t="shared" si="154"/>
        <v>275.88160405468193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49.965267972680707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49.965267972680707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1.1368683772161603E-13</v>
      </c>
      <c r="FF136" s="17">
        <f>FE136*VLOOKUP('Données projet'!$B$16,Paramètres!$A$1:$I$89,3,0)*VLOOKUP('Données projet'!$B$16,Paramètres!$A$1:$I$89,5,0)</f>
        <v>8.3355189417488869E-14</v>
      </c>
      <c r="FG136" s="13">
        <f t="shared" si="155"/>
        <v>1.2790518435140618E-12</v>
      </c>
      <c r="FH136" s="20">
        <f t="shared" si="130"/>
        <v>2.3728589156891171E-12</v>
      </c>
      <c r="FI136" s="59">
        <f t="shared" si="131"/>
        <v>284.39223168033578</v>
      </c>
      <c r="FJ136" s="59">
        <f ca="1">AVERAGE(OFFSET($FI$3,0,0,'Données projet'!$E$16+1,1))-AVERAGE(OFFSET($H$3,0,0,'Données projet'!$E$16+1,1))</f>
        <v>214.31585175697521</v>
      </c>
      <c r="FK136" s="59">
        <f t="shared" si="156"/>
        <v>244.60383864821372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23.204205519233483</v>
      </c>
      <c r="FR136" s="21">
        <f>EXP(-LN(2)/25)*FR135+(1-EXP(-LN(2)/25))/(LN(2)/25)*Calculateur!FM136*Calculateur!FO136*VLOOKUP('Données projet'!$B$16,Paramètres!$A$1:$I$89,3,0)*0.475*44/12</f>
        <v>0</v>
      </c>
      <c r="FS136" s="21">
        <f>EXP(-LN(2)/2)*FS135+(1-EXP(-LN(2)/2))/(LN(2)/2)*FM136*FP136*VLOOKUP('Données projet'!$B$16,Paramètres!$A$1:$I$89,3,0)*0.475*44/12</f>
        <v>0</v>
      </c>
      <c r="FT136" s="22">
        <f t="shared" si="132"/>
        <v>23.204205519233483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-5.6843418860808015E-14</v>
      </c>
      <c r="GA136" s="17">
        <f>FZ136*VLOOKUP('Données projet'!$B$17,Paramètres!$A$1:$I$89,3,0)*VLOOKUP('Données projet'!$B$17,Paramètres!$A$1:$I$89,5,0)</f>
        <v>-4.5224624045658861E-14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308.33954512886351</v>
      </c>
      <c r="GF136" s="59">
        <f t="shared" si="158"/>
        <v>408.79075392716277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32.129729075219387</v>
      </c>
      <c r="GM136" s="21">
        <f>EXP(-LN(2)/25)*GM135+(1-EXP(-LN(2)/25))/(LN(2)/25)*Calculateur!GH136*Calculateur!GJ136*VLOOKUP('Données projet'!$B$17,Paramètres!$A$1:$I$89,3,0)*0.475*44/12</f>
        <v>0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32.129729075219387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342.84342155097613</v>
      </c>
      <c r="T137" s="59">
        <f t="shared" si="142"/>
        <v>565.68976940602215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29.689114409668345</v>
      </c>
      <c r="AA137" s="21">
        <f>EXP(-LN(2)/25)*AA136+(1-EXP(-LN(2)/25))/(LN(2)/25)*Calculateur!V137*Calculateur!X137*VLOOKUP('Données projet'!$B$9,Paramètres!$A$1:$I$89,3,0)*0.475*44/12</f>
        <v>7.4898832477830908</v>
      </c>
      <c r="AB137" s="21">
        <f>EXP(-LN(2)/2)*AB136+(1-EXP(-LN(2)/2))/(LN(2)/2)*V137*Y137*VLOOKUP('Données projet'!$B$9,Paramètres!$A$1:$I$89,3,0)*0.475*44/12</f>
        <v>1.6636428050768307E-12</v>
      </c>
      <c r="AC137" s="22">
        <f t="shared" si="111"/>
        <v>37.178997657453095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320.33056209214476</v>
      </c>
      <c r="AO137" s="59">
        <f t="shared" si="144"/>
        <v>299.27200854723446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15.133866011925164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15.133866011925164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256.85706398254547</v>
      </c>
      <c r="BJ137" s="59">
        <f t="shared" si="146"/>
        <v>363.68094621014734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33.819155665812652</v>
      </c>
      <c r="BQ137" s="21">
        <f>EXP(-LN(2)/25)*BQ136+(1-EXP(-LN(2)/25))/(LN(2)/25)*Calculateur!BL137*Calculateur!BN137*VLOOKUP('Données projet'!$B$11,Paramètres!$A$1:$I$89,3,0)*0.475*44/12</f>
        <v>6.9332863799471376</v>
      </c>
      <c r="BR137" s="21">
        <f>EXP(-LN(2)/2)*BR136+(1-EXP(-LN(2)/2))/(LN(2)/2)*BL137*BO137*VLOOKUP('Données projet'!$B$11,Paramètres!$A$1:$I$89,3,0)*0.475*44/12</f>
        <v>1.5747010592381496E-10</v>
      </c>
      <c r="BS137" s="22">
        <f t="shared" si="117"/>
        <v>40.752442045917263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5.6843418860808015E-14</v>
      </c>
      <c r="BZ137" s="13">
        <f>BY137*VLOOKUP('Données projet'!$B$12,Paramètres!$A$1:$I$89,3,0)*VLOOKUP('Données projet'!$B$12,Paramètres!$A$1:$I$89,5,0)</f>
        <v>5.1431925385259088E-14</v>
      </c>
      <c r="CA137" s="13">
        <f t="shared" si="147"/>
        <v>8.3482866290946129E-13</v>
      </c>
      <c r="CB137" s="20">
        <f t="shared" si="118"/>
        <v>1.5435705246133045E-12</v>
      </c>
      <c r="CC137" s="59">
        <f t="shared" si="119"/>
        <v>284.54733980470581</v>
      </c>
      <c r="CD137" s="59">
        <f ca="1">AVERAGE(OFFSET($CC$3,0,0,'Données projet'!$E$12+1,1))-AVERAGE(OFFSET($H$3,0,0,'Données projet'!$E$12+1,1))</f>
        <v>357.68828740212223</v>
      </c>
      <c r="CE137" s="59">
        <f t="shared" si="148"/>
        <v>236.76626845829483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51.674767746150053</v>
      </c>
      <c r="CL137" s="21">
        <f>EXP(-LN(2)/25)*CL136+(1-EXP(-LN(2)/25))/(LN(2)/25)*Calculateur!CG137*Calculateur!CI137*VLOOKUP('Données projet'!$B$12,Paramètres!$A$1:$I$89,3,0)*0.475*44/12</f>
        <v>32.318794295317218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83.993562041467271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257.00000000000006</v>
      </c>
      <c r="CU137" s="17">
        <f>CT137*VLOOKUP('Données projet'!$B$13,Paramètres!$A$1:$I$89,3,0)*VLOOKUP('Données projet'!$B$13,Paramètres!$A$1:$I$89,5,0)</f>
        <v>168.38640000000004</v>
      </c>
      <c r="CV137" s="13">
        <f t="shared" si="149"/>
        <v>42.728430513203243</v>
      </c>
      <c r="CW137" s="20">
        <f t="shared" si="121"/>
        <v>367.69166314382898</v>
      </c>
      <c r="CX137" s="59">
        <f t="shared" si="122"/>
        <v>652.2390029485332</v>
      </c>
      <c r="CY137" s="59">
        <f ca="1">AVERAGE(OFFSET($CX$3,0,0,'Données projet'!$E$13+1,1))-AVERAGE(OFFSET($H$3,0,0,'Données projet'!$E$13+1,1))</f>
        <v>220.18342986563667</v>
      </c>
      <c r="CZ137" s="59">
        <f t="shared" si="150"/>
        <v>347.84382145531163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2.2857340214222731E-15</v>
      </c>
      <c r="DI137" s="22">
        <f t="shared" si="123"/>
        <v>2.2857340214222731E-15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5.7639226724859328E-14</v>
      </c>
      <c r="DQ137" s="13">
        <f t="shared" si="151"/>
        <v>9.2325701996134334E-13</v>
      </c>
      <c r="DR137" s="20">
        <f t="shared" si="124"/>
        <v>1.708394296311803E-12</v>
      </c>
      <c r="DS137" s="59">
        <f t="shared" si="125"/>
        <v>284.54733980470598</v>
      </c>
      <c r="DT137" s="59">
        <f ca="1">AVERAGE(OFFSET($DS$3,0,0,'Données projet'!$E$14+1,1))-AVERAGE(OFFSET($H$3,0,0,'Données projet'!$E$14+1,1))</f>
        <v>392.49465607243178</v>
      </c>
      <c r="DU137" s="59">
        <f t="shared" si="152"/>
        <v>258.031856676031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57.911377646547464</v>
      </c>
      <c r="EB137" s="21">
        <f>EXP(-LN(2)/25)*EB136+(1-EXP(-LN(2)/25))/(LN(2)/25)*Calculateur!DW137*Calculateur!DY137*VLOOKUP('Données projet'!$B$14,Paramètres!$A$1:$I$89,3,0)*0.475*44/12</f>
        <v>36.219338434407206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94.13071608095467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294.24530606293143</v>
      </c>
      <c r="EP137" s="59">
        <f t="shared" si="154"/>
        <v>275.88160405468193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48.985479543540663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48.985479543540663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1.1368683772161603E-13</v>
      </c>
      <c r="FF137" s="17">
        <f>FE137*VLOOKUP('Données projet'!$B$16,Paramètres!$A$1:$I$89,3,0)*VLOOKUP('Données projet'!$B$16,Paramètres!$A$1:$I$89,5,0)</f>
        <v>8.3355189417488869E-14</v>
      </c>
      <c r="FG137" s="13">
        <f t="shared" si="155"/>
        <v>1.2790518435140618E-12</v>
      </c>
      <c r="FH137" s="20">
        <f t="shared" si="130"/>
        <v>2.3728589156891171E-12</v>
      </c>
      <c r="FI137" s="59">
        <f t="shared" si="131"/>
        <v>284.54733980470667</v>
      </c>
      <c r="FJ137" s="59">
        <f ca="1">AVERAGE(OFFSET($FI$3,0,0,'Données projet'!$E$16+1,1))-AVERAGE(OFFSET($H$3,0,0,'Données projet'!$E$16+1,1))</f>
        <v>214.31585175697521</v>
      </c>
      <c r="FK137" s="59">
        <f t="shared" si="156"/>
        <v>244.60383864821372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22.749185202169173</v>
      </c>
      <c r="FR137" s="21">
        <f>EXP(-LN(2)/25)*FR136+(1-EXP(-LN(2)/25))/(LN(2)/25)*Calculateur!FM137*Calculateur!FO137*VLOOKUP('Données projet'!$B$16,Paramètres!$A$1:$I$89,3,0)*0.475*44/12</f>
        <v>0</v>
      </c>
      <c r="FS137" s="21">
        <f>EXP(-LN(2)/2)*FS136+(1-EXP(-LN(2)/2))/(LN(2)/2)*FM137*FP137*VLOOKUP('Données projet'!$B$16,Paramètres!$A$1:$I$89,3,0)*0.475*44/12</f>
        <v>0</v>
      </c>
      <c r="FT137" s="22">
        <f t="shared" si="132"/>
        <v>22.749185202169173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-5.6843418860808015E-14</v>
      </c>
      <c r="GA137" s="17">
        <f>FZ137*VLOOKUP('Données projet'!$B$17,Paramètres!$A$1:$I$89,3,0)*VLOOKUP('Données projet'!$B$17,Paramètres!$A$1:$I$89,5,0)</f>
        <v>-4.5224624045658861E-14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308.33954512886351</v>
      </c>
      <c r="GF137" s="59">
        <f t="shared" si="158"/>
        <v>408.79075392716277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31.499684685254007</v>
      </c>
      <c r="GM137" s="21">
        <f>EXP(-LN(2)/25)*GM136+(1-EXP(-LN(2)/25))/(LN(2)/25)*Calculateur!GH137*Calculateur!GJ137*VLOOKUP('Données projet'!$B$17,Paramètres!$A$1:$I$89,3,0)*0.475*44/12</f>
        <v>0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31.499684685254007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342.84342155097613</v>
      </c>
      <c r="T138" s="59">
        <f t="shared" si="142"/>
        <v>565.68976940602215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29.106928984666467</v>
      </c>
      <c r="AA138" s="21">
        <f>EXP(-LN(2)/25)*AA137+(1-EXP(-LN(2)/25))/(LN(2)/25)*Calculateur!V138*Calculateur!X138*VLOOKUP('Données projet'!$B$9,Paramètres!$A$1:$I$89,3,0)*0.475*44/12</f>
        <v>7.2850719964966206</v>
      </c>
      <c r="AB138" s="21">
        <f>EXP(-LN(2)/2)*AB137+(1-EXP(-LN(2)/2))/(LN(2)/2)*V138*Y138*VLOOKUP('Données projet'!$B$9,Paramètres!$A$1:$I$89,3,0)*0.475*44/12</f>
        <v>1.1763731089420366E-12</v>
      </c>
      <c r="AC138" s="22">
        <f t="shared" si="111"/>
        <v>36.392000981164266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320.33056209214476</v>
      </c>
      <c r="AO138" s="59">
        <f t="shared" si="144"/>
        <v>299.27200854723446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14.720029649973647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14.720029649973647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256.85706398254547</v>
      </c>
      <c r="BJ138" s="59">
        <f t="shared" si="146"/>
        <v>363.68094621014734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33.155982650854213</v>
      </c>
      <c r="BQ138" s="21">
        <f>EXP(-LN(2)/25)*BQ137+(1-EXP(-LN(2)/25))/(LN(2)/25)*Calculateur!BL138*Calculateur!BN138*VLOOKUP('Données projet'!$B$11,Paramètres!$A$1:$I$89,3,0)*0.475*44/12</f>
        <v>6.7436952992817982</v>
      </c>
      <c r="BR138" s="21">
        <f>EXP(-LN(2)/2)*BR137+(1-EXP(-LN(2)/2))/(LN(2)/2)*BL138*BO138*VLOOKUP('Données projet'!$B$11,Paramètres!$A$1:$I$89,3,0)*0.475*44/12</f>
        <v>1.1134817973289348E-10</v>
      </c>
      <c r="BS138" s="22">
        <f t="shared" si="117"/>
        <v>39.899677950247359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5.6843418860808015E-14</v>
      </c>
      <c r="BZ138" s="13">
        <f>BY138*VLOOKUP('Données projet'!$B$12,Paramètres!$A$1:$I$89,3,0)*VLOOKUP('Données projet'!$B$12,Paramètres!$A$1:$I$89,5,0)</f>
        <v>5.1431925385259088E-14</v>
      </c>
      <c r="CA138" s="13">
        <f t="shared" si="147"/>
        <v>8.3482866290946129E-13</v>
      </c>
      <c r="CB138" s="20">
        <f t="shared" si="118"/>
        <v>1.5435705246133045E-12</v>
      </c>
      <c r="CC138" s="59">
        <f t="shared" si="119"/>
        <v>284.69975714988868</v>
      </c>
      <c r="CD138" s="59">
        <f ca="1">AVERAGE(OFFSET($CC$3,0,0,'Données projet'!$E$12+1,1))-AVERAGE(OFFSET($H$3,0,0,'Données projet'!$E$12+1,1))</f>
        <v>357.68828740212223</v>
      </c>
      <c r="CE138" s="59">
        <f t="shared" si="148"/>
        <v>236.76626845829483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50.661457069144184</v>
      </c>
      <c r="CL138" s="21">
        <f>EXP(-LN(2)/25)*CL137+(1-EXP(-LN(2)/25))/(LN(2)/25)*Calculateur!CG138*Calculateur!CI138*VLOOKUP('Données projet'!$B$12,Paramètres!$A$1:$I$89,3,0)*0.475*44/12</f>
        <v>31.435035165740242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82.096492234884423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257.00000000000006</v>
      </c>
      <c r="CU138" s="17">
        <f>CT138*VLOOKUP('Données projet'!$B$13,Paramètres!$A$1:$I$89,3,0)*VLOOKUP('Données projet'!$B$13,Paramètres!$A$1:$I$89,5,0)</f>
        <v>168.38640000000004</v>
      </c>
      <c r="CV138" s="13">
        <f t="shared" si="149"/>
        <v>42.728430513203243</v>
      </c>
      <c r="CW138" s="20">
        <f t="shared" si="121"/>
        <v>367.69166314382898</v>
      </c>
      <c r="CX138" s="59">
        <f t="shared" si="122"/>
        <v>652.39142029371612</v>
      </c>
      <c r="CY138" s="59">
        <f ca="1">AVERAGE(OFFSET($CX$3,0,0,'Données projet'!$E$13+1,1))-AVERAGE(OFFSET($H$3,0,0,'Données projet'!$E$13+1,1))</f>
        <v>220.18342986563667</v>
      </c>
      <c r="CZ138" s="59">
        <f t="shared" si="150"/>
        <v>347.84382145531163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1.6162580265364866E-15</v>
      </c>
      <c r="DI138" s="22">
        <f t="shared" si="123"/>
        <v>1.6162580265364866E-15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5.7639226724859328E-14</v>
      </c>
      <c r="DQ138" s="13">
        <f t="shared" si="151"/>
        <v>9.2325701996134334E-13</v>
      </c>
      <c r="DR138" s="20">
        <f t="shared" si="124"/>
        <v>1.708394296311803E-12</v>
      </c>
      <c r="DS138" s="59">
        <f t="shared" si="125"/>
        <v>284.69975714988885</v>
      </c>
      <c r="DT138" s="59">
        <f ca="1">AVERAGE(OFFSET($DS$3,0,0,'Données projet'!$E$14+1,1))-AVERAGE(OFFSET($H$3,0,0,'Données projet'!$E$14+1,1))</f>
        <v>392.49465607243178</v>
      </c>
      <c r="DU138" s="59">
        <f t="shared" si="152"/>
        <v>258.031856676031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56.775770853351233</v>
      </c>
      <c r="EB138" s="21">
        <f>EXP(-LN(2)/25)*EB137+(1-EXP(-LN(2)/25))/(LN(2)/25)*Calculateur!DW138*Calculateur!DY138*VLOOKUP('Données projet'!$B$14,Paramètres!$A$1:$I$89,3,0)*0.475*44/12</f>
        <v>35.228918720226112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92.004689573577338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294.24530606293143</v>
      </c>
      <c r="EP138" s="59">
        <f t="shared" si="154"/>
        <v>275.88160405468193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48.024904167884124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48.024904167884124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1.1368683772161603E-13</v>
      </c>
      <c r="FF138" s="17">
        <f>FE138*VLOOKUP('Données projet'!$B$16,Paramètres!$A$1:$I$89,3,0)*VLOOKUP('Données projet'!$B$16,Paramètres!$A$1:$I$89,5,0)</f>
        <v>8.3355189417488869E-14</v>
      </c>
      <c r="FG138" s="13">
        <f t="shared" si="155"/>
        <v>1.2790518435140618E-12</v>
      </c>
      <c r="FH138" s="20">
        <f t="shared" si="130"/>
        <v>2.3728589156891171E-12</v>
      </c>
      <c r="FI138" s="59">
        <f t="shared" si="131"/>
        <v>284.69975714988954</v>
      </c>
      <c r="FJ138" s="59">
        <f ca="1">AVERAGE(OFFSET($FI$3,0,0,'Données projet'!$E$16+1,1))-AVERAGE(OFFSET($H$3,0,0,'Données projet'!$E$16+1,1))</f>
        <v>214.31585175697521</v>
      </c>
      <c r="FK138" s="59">
        <f t="shared" si="156"/>
        <v>244.60383864821372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22.303087555987503</v>
      </c>
      <c r="FR138" s="21">
        <f>EXP(-LN(2)/25)*FR137+(1-EXP(-LN(2)/25))/(LN(2)/25)*Calculateur!FM138*Calculateur!FO138*VLOOKUP('Données projet'!$B$16,Paramètres!$A$1:$I$89,3,0)*0.475*44/12</f>
        <v>0</v>
      </c>
      <c r="FS138" s="21">
        <f>EXP(-LN(2)/2)*FS137+(1-EXP(-LN(2)/2))/(LN(2)/2)*FM138*FP138*VLOOKUP('Données projet'!$B$16,Paramètres!$A$1:$I$89,3,0)*0.475*44/12</f>
        <v>0</v>
      </c>
      <c r="FT138" s="22">
        <f t="shared" si="132"/>
        <v>22.303087555987503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-5.6843418860808015E-14</v>
      </c>
      <c r="GA138" s="17">
        <f>FZ138*VLOOKUP('Données projet'!$B$17,Paramètres!$A$1:$I$89,3,0)*VLOOKUP('Données projet'!$B$17,Paramètres!$A$1:$I$89,5,0)</f>
        <v>-4.5224624045658861E-14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308.33954512886351</v>
      </c>
      <c r="GF138" s="59">
        <f t="shared" si="158"/>
        <v>408.79075392716277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30.881995081486718</v>
      </c>
      <c r="GM138" s="21">
        <f>EXP(-LN(2)/25)*GM137+(1-EXP(-LN(2)/25))/(LN(2)/25)*Calculateur!GH138*Calculateur!GJ138*VLOOKUP('Données projet'!$B$17,Paramètres!$A$1:$I$89,3,0)*0.475*44/12</f>
        <v>0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30.881995081486718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342.84342155097613</v>
      </c>
      <c r="T139" s="59">
        <f t="shared" si="142"/>
        <v>565.68976940602215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28.536159860750828</v>
      </c>
      <c r="AA139" s="21">
        <f>EXP(-LN(2)/25)*AA138+(1-EXP(-LN(2)/25))/(LN(2)/25)*Calculateur!V139*Calculateur!X139*VLOOKUP('Données projet'!$B$9,Paramètres!$A$1:$I$89,3,0)*0.475*44/12</f>
        <v>7.0858613196471341</v>
      </c>
      <c r="AB139" s="21">
        <f>EXP(-LN(2)/2)*AB138+(1-EXP(-LN(2)/2))/(LN(2)/2)*V139*Y139*VLOOKUP('Données projet'!$B$9,Paramètres!$A$1:$I$89,3,0)*0.475*44/12</f>
        <v>8.3182140253841534E-13</v>
      </c>
      <c r="AC139" s="22">
        <f t="shared" si="111"/>
        <v>35.622021180398797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320.33056209214476</v>
      </c>
      <c r="AO139" s="59">
        <f t="shared" si="144"/>
        <v>299.27200854723446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14.317509665102401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14.317509665102401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256.85706398254547</v>
      </c>
      <c r="BJ139" s="59">
        <f t="shared" si="146"/>
        <v>363.68094621014734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32.505814054223507</v>
      </c>
      <c r="BQ139" s="21">
        <f>EXP(-LN(2)/25)*BQ138+(1-EXP(-LN(2)/25))/(LN(2)/25)*Calculateur!BL139*Calculateur!BN139*VLOOKUP('Données projet'!$B$11,Paramètres!$A$1:$I$89,3,0)*0.475*44/12</f>
        <v>6.5592885966874146</v>
      </c>
      <c r="BR139" s="21">
        <f>EXP(-LN(2)/2)*BR138+(1-EXP(-LN(2)/2))/(LN(2)/2)*BL139*BO139*VLOOKUP('Données projet'!$B$11,Paramètres!$A$1:$I$89,3,0)*0.475*44/12</f>
        <v>7.8735052961907478E-11</v>
      </c>
      <c r="BS139" s="22">
        <f t="shared" si="117"/>
        <v>39.065102650989658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5.6843418860808015E-14</v>
      </c>
      <c r="BZ139" s="13">
        <f>BY139*VLOOKUP('Données projet'!$B$12,Paramètres!$A$1:$I$89,3,0)*VLOOKUP('Données projet'!$B$12,Paramètres!$A$1:$I$89,5,0)</f>
        <v>5.1431925385259088E-14</v>
      </c>
      <c r="CA139" s="13">
        <f t="shared" si="147"/>
        <v>8.3482866290946129E-13</v>
      </c>
      <c r="CB139" s="20">
        <f t="shared" si="118"/>
        <v>1.5435705246133045E-12</v>
      </c>
      <c r="CC139" s="59">
        <f t="shared" si="119"/>
        <v>284.84953039488676</v>
      </c>
      <c r="CD139" s="59">
        <f ca="1">AVERAGE(OFFSET($CC$3,0,0,'Données projet'!$E$12+1,1))-AVERAGE(OFFSET($H$3,0,0,'Données projet'!$E$12+1,1))</f>
        <v>357.68828740212223</v>
      </c>
      <c r="CE139" s="59">
        <f t="shared" si="148"/>
        <v>236.76626845829483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49.668016796455916</v>
      </c>
      <c r="CL139" s="21">
        <f>EXP(-LN(2)/25)*CL138+(1-EXP(-LN(2)/25))/(LN(2)/25)*Calculateur!CG139*Calculateur!CI139*VLOOKUP('Données projet'!$B$12,Paramètres!$A$1:$I$89,3,0)*0.475*44/12</f>
        <v>30.575442476036422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80.243459272492345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257.00000000000006</v>
      </c>
      <c r="CU139" s="17">
        <f>CT139*VLOOKUP('Données projet'!$B$13,Paramètres!$A$1:$I$89,3,0)*VLOOKUP('Données projet'!$B$13,Paramètres!$A$1:$I$89,5,0)</f>
        <v>168.38640000000004</v>
      </c>
      <c r="CV139" s="13">
        <f t="shared" si="149"/>
        <v>42.728430513203243</v>
      </c>
      <c r="CW139" s="20">
        <f t="shared" si="121"/>
        <v>367.69166314382898</v>
      </c>
      <c r="CX139" s="59">
        <f t="shared" si="122"/>
        <v>652.5411935387142</v>
      </c>
      <c r="CY139" s="59">
        <f ca="1">AVERAGE(OFFSET($CX$3,0,0,'Données projet'!$E$13+1,1))-AVERAGE(OFFSET($H$3,0,0,'Données projet'!$E$13+1,1))</f>
        <v>220.18342986563667</v>
      </c>
      <c r="CZ139" s="59">
        <f t="shared" si="150"/>
        <v>347.84382145531163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1.1428670107111365E-15</v>
      </c>
      <c r="DI139" s="22">
        <f t="shared" si="123"/>
        <v>1.1428670107111365E-15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5.7639226724859328E-14</v>
      </c>
      <c r="DQ139" s="13">
        <f t="shared" si="151"/>
        <v>9.2325701996134334E-13</v>
      </c>
      <c r="DR139" s="20">
        <f t="shared" si="124"/>
        <v>1.708394296311803E-12</v>
      </c>
      <c r="DS139" s="59">
        <f t="shared" si="125"/>
        <v>284.84953039488693</v>
      </c>
      <c r="DT139" s="59">
        <f ca="1">AVERAGE(OFFSET($DS$3,0,0,'Données projet'!$E$14+1,1))-AVERAGE(OFFSET($H$3,0,0,'Données projet'!$E$14+1,1))</f>
        <v>392.49465607243178</v>
      </c>
      <c r="DU139" s="59">
        <f t="shared" si="152"/>
        <v>258.031856676031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55.66243261671783</v>
      </c>
      <c r="EB139" s="21">
        <f>EXP(-LN(2)/25)*EB138+(1-EXP(-LN(2)/25))/(LN(2)/25)*Calculateur!DW139*Calculateur!DY139*VLOOKUP('Données projet'!$B$14,Paramètres!$A$1:$I$89,3,0)*0.475*44/12</f>
        <v>34.265582085213211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89.928014701931033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294.24530606293143</v>
      </c>
      <c r="EP139" s="59">
        <f t="shared" si="154"/>
        <v>275.88160405468193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47.083165089451086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47.083165089451086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1.1368683772161603E-13</v>
      </c>
      <c r="FF139" s="17">
        <f>FE139*VLOOKUP('Données projet'!$B$16,Paramètres!$A$1:$I$89,3,0)*VLOOKUP('Données projet'!$B$16,Paramètres!$A$1:$I$89,5,0)</f>
        <v>8.3355189417488869E-14</v>
      </c>
      <c r="FG139" s="13">
        <f t="shared" si="155"/>
        <v>1.2790518435140618E-12</v>
      </c>
      <c r="FH139" s="20">
        <f t="shared" si="130"/>
        <v>2.3728589156891171E-12</v>
      </c>
      <c r="FI139" s="59">
        <f t="shared" si="131"/>
        <v>284.84953039488761</v>
      </c>
      <c r="FJ139" s="59">
        <f ca="1">AVERAGE(OFFSET($FI$3,0,0,'Données projet'!$E$16+1,1))-AVERAGE(OFFSET($H$3,0,0,'Données projet'!$E$16+1,1))</f>
        <v>214.31585175697521</v>
      </c>
      <c r="FK139" s="59">
        <f t="shared" si="156"/>
        <v>244.60383864821372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21.86573761255476</v>
      </c>
      <c r="FR139" s="21">
        <f>EXP(-LN(2)/25)*FR138+(1-EXP(-LN(2)/25))/(LN(2)/25)*Calculateur!FM139*Calculateur!FO139*VLOOKUP('Données projet'!$B$16,Paramètres!$A$1:$I$89,3,0)*0.475*44/12</f>
        <v>0</v>
      </c>
      <c r="FS139" s="21">
        <f>EXP(-LN(2)/2)*FS138+(1-EXP(-LN(2)/2))/(LN(2)/2)*FM139*FP139*VLOOKUP('Données projet'!$B$16,Paramètres!$A$1:$I$89,3,0)*0.475*44/12</f>
        <v>0</v>
      </c>
      <c r="FT139" s="22">
        <f t="shared" si="132"/>
        <v>21.86573761255476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-5.6843418860808015E-14</v>
      </c>
      <c r="GA139" s="17">
        <f>FZ139*VLOOKUP('Données projet'!$B$17,Paramètres!$A$1:$I$89,3,0)*VLOOKUP('Données projet'!$B$17,Paramètres!$A$1:$I$89,5,0)</f>
        <v>-4.5224624045658861E-14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308.33954512886351</v>
      </c>
      <c r="GF139" s="59">
        <f t="shared" si="158"/>
        <v>408.79075392716277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30.276417994095848</v>
      </c>
      <c r="GM139" s="21">
        <f>EXP(-LN(2)/25)*GM138+(1-EXP(-LN(2)/25))/(LN(2)/25)*Calculateur!GH139*Calculateur!GJ139*VLOOKUP('Données projet'!$B$17,Paramètres!$A$1:$I$89,3,0)*0.475*44/12</f>
        <v>0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30.276417994095848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342.84342155097613</v>
      </c>
      <c r="T140" s="59">
        <f t="shared" si="142"/>
        <v>565.68976940602215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27.976583171220387</v>
      </c>
      <c r="AA140" s="21">
        <f>EXP(-LN(2)/25)*AA139+(1-EXP(-LN(2)/25))/(LN(2)/25)*Calculateur!V140*Calculateur!X140*VLOOKUP('Données projet'!$B$9,Paramètres!$A$1:$I$89,3,0)*0.475*44/12</f>
        <v>6.892098069232131</v>
      </c>
      <c r="AB140" s="21">
        <f>EXP(-LN(2)/2)*AB139+(1-EXP(-LN(2)/2))/(LN(2)/2)*V140*Y140*VLOOKUP('Données projet'!$B$9,Paramètres!$A$1:$I$89,3,0)*0.475*44/12</f>
        <v>5.8818655447101831E-13</v>
      </c>
      <c r="AC140" s="22">
        <f t="shared" si="111"/>
        <v>34.868681240453107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320.33056209214476</v>
      </c>
      <c r="AO140" s="59">
        <f t="shared" si="144"/>
        <v>299.27200854723446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13.925996610385065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13.925996610385065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256.85706398254547</v>
      </c>
      <c r="BJ140" s="59">
        <f t="shared" si="146"/>
        <v>363.68094621014734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31.868394867209044</v>
      </c>
      <c r="BQ140" s="21">
        <f>EXP(-LN(2)/25)*BQ139+(1-EXP(-LN(2)/25))/(LN(2)/25)*Calculateur!BL140*Calculateur!BN140*VLOOKUP('Données projet'!$B$11,Paramètres!$A$1:$I$89,3,0)*0.475*44/12</f>
        <v>6.3799245050730011</v>
      </c>
      <c r="BR140" s="21">
        <f>EXP(-LN(2)/2)*BR139+(1-EXP(-LN(2)/2))/(LN(2)/2)*BL140*BO140*VLOOKUP('Données projet'!$B$11,Paramètres!$A$1:$I$89,3,0)*0.475*44/12</f>
        <v>5.5674089866446742E-11</v>
      </c>
      <c r="BS140" s="22">
        <f t="shared" si="117"/>
        <v>38.248319372337718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5.6843418860808015E-14</v>
      </c>
      <c r="BZ140" s="13">
        <f>BY140*VLOOKUP('Données projet'!$B$12,Paramètres!$A$1:$I$89,3,0)*VLOOKUP('Données projet'!$B$12,Paramètres!$A$1:$I$89,5,0)</f>
        <v>5.1431925385259088E-14</v>
      </c>
      <c r="CA140" s="13">
        <f t="shared" si="147"/>
        <v>8.3482866290946129E-13</v>
      </c>
      <c r="CB140" s="20">
        <f t="shared" si="118"/>
        <v>1.5435705246133045E-12</v>
      </c>
      <c r="CC140" s="59">
        <f t="shared" si="119"/>
        <v>284.99670540892691</v>
      </c>
      <c r="CD140" s="59">
        <f ca="1">AVERAGE(OFFSET($CC$3,0,0,'Données projet'!$E$12+1,1))-AVERAGE(OFFSET($H$3,0,0,'Données projet'!$E$12+1,1))</f>
        <v>357.68828740212223</v>
      </c>
      <c r="CE140" s="59">
        <f t="shared" si="148"/>
        <v>236.76626845829483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48.694057281576328</v>
      </c>
      <c r="CL140" s="21">
        <f>EXP(-LN(2)/25)*CL139+(1-EXP(-LN(2)/25))/(LN(2)/25)*Calculateur!CG140*Calculateur!CI140*VLOOKUP('Données projet'!$B$12,Paramètres!$A$1:$I$89,3,0)*0.475*44/12</f>
        <v>29.739355393636568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78.433412675212892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257.00000000000006</v>
      </c>
      <c r="CU140" s="17">
        <f>CT140*VLOOKUP('Données projet'!$B$13,Paramètres!$A$1:$I$89,3,0)*VLOOKUP('Données projet'!$B$13,Paramètres!$A$1:$I$89,5,0)</f>
        <v>168.38640000000004</v>
      </c>
      <c r="CV140" s="13">
        <f t="shared" si="149"/>
        <v>42.728430513203243</v>
      </c>
      <c r="CW140" s="20">
        <f t="shared" si="121"/>
        <v>367.69166314382898</v>
      </c>
      <c r="CX140" s="59">
        <f t="shared" si="122"/>
        <v>652.68836855275435</v>
      </c>
      <c r="CY140" s="59">
        <f ca="1">AVERAGE(OFFSET($CX$3,0,0,'Données projet'!$E$13+1,1))-AVERAGE(OFFSET($H$3,0,0,'Données projet'!$E$13+1,1))</f>
        <v>220.18342986563667</v>
      </c>
      <c r="CZ140" s="59">
        <f t="shared" si="150"/>
        <v>347.84382145531163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8.081290132682433E-16</v>
      </c>
      <c r="DI140" s="22">
        <f t="shared" si="123"/>
        <v>8.081290132682433E-16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5.7639226724859328E-14</v>
      </c>
      <c r="DQ140" s="13">
        <f t="shared" si="151"/>
        <v>9.2325701996134334E-13</v>
      </c>
      <c r="DR140" s="20">
        <f t="shared" si="124"/>
        <v>1.708394296311803E-12</v>
      </c>
      <c r="DS140" s="59">
        <f t="shared" si="125"/>
        <v>284.99670540892708</v>
      </c>
      <c r="DT140" s="59">
        <f ca="1">AVERAGE(OFFSET($DS$3,0,0,'Données projet'!$E$14+1,1))-AVERAGE(OFFSET($H$3,0,0,'Données projet'!$E$14+1,1))</f>
        <v>392.49465607243178</v>
      </c>
      <c r="DU140" s="59">
        <f t="shared" si="152"/>
        <v>258.031856676031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54.570926263835531</v>
      </c>
      <c r="EB140" s="21">
        <f>EXP(-LN(2)/25)*EB139+(1-EXP(-LN(2)/25))/(LN(2)/25)*Calculateur!DW140*Calculateur!DY140*VLOOKUP('Données projet'!$B$14,Paramètres!$A$1:$I$89,3,0)*0.475*44/12</f>
        <v>33.328587941144406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87.899514204979937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294.24530606293143</v>
      </c>
      <c r="EP140" s="59">
        <f t="shared" si="154"/>
        <v>275.88160405468193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46.159892939941997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46.159892939941997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1.1368683772161603E-13</v>
      </c>
      <c r="FF140" s="17">
        <f>FE140*VLOOKUP('Données projet'!$B$16,Paramètres!$A$1:$I$89,3,0)*VLOOKUP('Données projet'!$B$16,Paramètres!$A$1:$I$89,5,0)</f>
        <v>8.3355189417488869E-14</v>
      </c>
      <c r="FG140" s="13">
        <f t="shared" si="155"/>
        <v>1.2790518435140618E-12</v>
      </c>
      <c r="FH140" s="20">
        <f t="shared" si="130"/>
        <v>2.3728589156891171E-12</v>
      </c>
      <c r="FI140" s="59">
        <f t="shared" si="131"/>
        <v>284.99670540892777</v>
      </c>
      <c r="FJ140" s="59">
        <f ca="1">AVERAGE(OFFSET($FI$3,0,0,'Données projet'!$E$16+1,1))-AVERAGE(OFFSET($H$3,0,0,'Données projet'!$E$16+1,1))</f>
        <v>214.31585175697521</v>
      </c>
      <c r="FK140" s="59">
        <f t="shared" si="156"/>
        <v>244.60383864821372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21.436963834755606</v>
      </c>
      <c r="FR140" s="21">
        <f>EXP(-LN(2)/25)*FR139+(1-EXP(-LN(2)/25))/(LN(2)/25)*Calculateur!FM140*Calculateur!FO140*VLOOKUP('Données projet'!$B$16,Paramètres!$A$1:$I$89,3,0)*0.475*44/12</f>
        <v>0</v>
      </c>
      <c r="FS140" s="21">
        <f>EXP(-LN(2)/2)*FS139+(1-EXP(-LN(2)/2))/(LN(2)/2)*FM140*FP140*VLOOKUP('Données projet'!$B$16,Paramètres!$A$1:$I$89,3,0)*0.475*44/12</f>
        <v>0</v>
      </c>
      <c r="FT140" s="22">
        <f t="shared" si="132"/>
        <v>21.436963834755606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-5.6843418860808015E-14</v>
      </c>
      <c r="GA140" s="17">
        <f>FZ140*VLOOKUP('Données projet'!$B$17,Paramètres!$A$1:$I$89,3,0)*VLOOKUP('Données projet'!$B$17,Paramètres!$A$1:$I$89,5,0)</f>
        <v>-4.5224624045658861E-14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308.33954512886351</v>
      </c>
      <c r="GF140" s="59">
        <f t="shared" si="158"/>
        <v>408.79075392716277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29.682715904023162</v>
      </c>
      <c r="GM140" s="21">
        <f>EXP(-LN(2)/25)*GM139+(1-EXP(-LN(2)/25))/(LN(2)/25)*Calculateur!GH140*Calculateur!GJ140*VLOOKUP('Données projet'!$B$17,Paramètres!$A$1:$I$89,3,0)*0.475*44/12</f>
        <v>0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29.682715904023162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342.84342155097613</v>
      </c>
      <c r="T141" s="59">
        <f t="shared" si="142"/>
        <v>565.68976940602215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27.427979439263556</v>
      </c>
      <c r="AA141" s="21">
        <f>EXP(-LN(2)/25)*AA140+(1-EXP(-LN(2)/25))/(LN(2)/25)*Calculateur!V141*Calculateur!X141*VLOOKUP('Données projet'!$B$9,Paramètres!$A$1:$I$89,3,0)*0.475*44/12</f>
        <v>6.7036332850892926</v>
      </c>
      <c r="AB141" s="21">
        <f>EXP(-LN(2)/2)*AB140+(1-EXP(-LN(2)/2))/(LN(2)/2)*V141*Y141*VLOOKUP('Données projet'!$B$9,Paramètres!$A$1:$I$89,3,0)*0.475*44/12</f>
        <v>4.1591070126920767E-13</v>
      </c>
      <c r="AC141" s="22">
        <f t="shared" si="111"/>
        <v>34.131612724353268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320.33056209214476</v>
      </c>
      <c r="AO141" s="59">
        <f t="shared" si="144"/>
        <v>299.27200854723446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13.545189500737752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13.545189500737752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256.85706398254547</v>
      </c>
      <c r="BJ141" s="59">
        <f t="shared" si="146"/>
        <v>363.68094621014734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31.24347508166462</v>
      </c>
      <c r="BQ141" s="21">
        <f>EXP(-LN(2)/25)*BQ140+(1-EXP(-LN(2)/25))/(LN(2)/25)*Calculateur!BL141*Calculateur!BN141*VLOOKUP('Données projet'!$B$11,Paramètres!$A$1:$I$89,3,0)*0.475*44/12</f>
        <v>6.2054651339761318</v>
      </c>
      <c r="BR141" s="21">
        <f>EXP(-LN(2)/2)*BR140+(1-EXP(-LN(2)/2))/(LN(2)/2)*BL141*BO141*VLOOKUP('Données projet'!$B$11,Paramètres!$A$1:$I$89,3,0)*0.475*44/12</f>
        <v>3.9367526480953739E-11</v>
      </c>
      <c r="BS141" s="22">
        <f t="shared" si="117"/>
        <v>37.448940215680118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5.6843418860808015E-14</v>
      </c>
      <c r="BZ141" s="13">
        <f>BY141*VLOOKUP('Données projet'!$B$12,Paramètres!$A$1:$I$89,3,0)*VLOOKUP('Données projet'!$B$12,Paramètres!$A$1:$I$89,5,0)</f>
        <v>5.1431925385259088E-14</v>
      </c>
      <c r="CA141" s="13">
        <f t="shared" si="147"/>
        <v>8.3482866290946129E-13</v>
      </c>
      <c r="CB141" s="20">
        <f t="shared" si="118"/>
        <v>1.5435705246133045E-12</v>
      </c>
      <c r="CC141" s="59">
        <f t="shared" si="119"/>
        <v>285.14132726550747</v>
      </c>
      <c r="CD141" s="59">
        <f ca="1">AVERAGE(OFFSET($CC$3,0,0,'Données projet'!$E$12+1,1))-AVERAGE(OFFSET($H$3,0,0,'Données projet'!$E$12+1,1))</f>
        <v>357.68828740212223</v>
      </c>
      <c r="CE141" s="59">
        <f t="shared" si="148"/>
        <v>236.76626845829483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47.739196518726885</v>
      </c>
      <c r="CL141" s="21">
        <f>EXP(-LN(2)/25)*CL140+(1-EXP(-LN(2)/25))/(LN(2)/25)*Calculateur!CG141*Calculateur!CI141*VLOOKUP('Données projet'!$B$12,Paramètres!$A$1:$I$89,3,0)*0.475*44/12</f>
        <v>28.926131156472845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76.665327675199734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257.00000000000006</v>
      </c>
      <c r="CU141" s="17">
        <f>CT141*VLOOKUP('Données projet'!$B$13,Paramètres!$A$1:$I$89,3,0)*VLOOKUP('Données projet'!$B$13,Paramètres!$A$1:$I$89,5,0)</f>
        <v>168.38640000000004</v>
      </c>
      <c r="CV141" s="13">
        <f t="shared" si="149"/>
        <v>42.728430513203243</v>
      </c>
      <c r="CW141" s="20">
        <f t="shared" si="121"/>
        <v>367.69166314382898</v>
      </c>
      <c r="CX141" s="59">
        <f t="shared" si="122"/>
        <v>652.83299040933491</v>
      </c>
      <c r="CY141" s="59">
        <f ca="1">AVERAGE(OFFSET($CX$3,0,0,'Données projet'!$E$13+1,1))-AVERAGE(OFFSET($H$3,0,0,'Données projet'!$E$13+1,1))</f>
        <v>220.18342986563667</v>
      </c>
      <c r="CZ141" s="59">
        <f t="shared" si="150"/>
        <v>347.84382145531163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5.7143350535556826E-16</v>
      </c>
      <c r="DI141" s="22">
        <f t="shared" si="123"/>
        <v>5.7143350535556826E-16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5.7639226724859328E-14</v>
      </c>
      <c r="DQ141" s="13">
        <f t="shared" si="151"/>
        <v>9.2325701996134334E-13</v>
      </c>
      <c r="DR141" s="20">
        <f t="shared" si="124"/>
        <v>1.708394296311803E-12</v>
      </c>
      <c r="DS141" s="59">
        <f t="shared" si="125"/>
        <v>285.14132726550764</v>
      </c>
      <c r="DT141" s="59">
        <f ca="1">AVERAGE(OFFSET($DS$3,0,0,'Données projet'!$E$14+1,1))-AVERAGE(OFFSET($H$3,0,0,'Données projet'!$E$14+1,1))</f>
        <v>392.49465607243178</v>
      </c>
      <c r="DU141" s="59">
        <f t="shared" si="152"/>
        <v>258.031856676031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53.500823684780116</v>
      </c>
      <c r="EB141" s="21">
        <f>EXP(-LN(2)/25)*EB140+(1-EXP(-LN(2)/25))/(LN(2)/25)*Calculateur!DW141*Calculateur!DY141*VLOOKUP('Données projet'!$B$14,Paramètres!$A$1:$I$89,3,0)*0.475*44/12</f>
        <v>32.417215951219546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85.918039635999662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294.24530606293143</v>
      </c>
      <c r="EP141" s="59">
        <f t="shared" si="154"/>
        <v>275.88160405468193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45.254725594144375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45.254725594144375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1.1368683772161603E-13</v>
      </c>
      <c r="FF141" s="17">
        <f>FE141*VLOOKUP('Données projet'!$B$16,Paramètres!$A$1:$I$89,3,0)*VLOOKUP('Données projet'!$B$16,Paramètres!$A$1:$I$89,5,0)</f>
        <v>8.3355189417488869E-14</v>
      </c>
      <c r="FG141" s="13">
        <f t="shared" si="155"/>
        <v>1.2790518435140618E-12</v>
      </c>
      <c r="FH141" s="20">
        <f t="shared" si="130"/>
        <v>2.3728589156891171E-12</v>
      </c>
      <c r="FI141" s="59">
        <f t="shared" si="131"/>
        <v>285.14132726550832</v>
      </c>
      <c r="FJ141" s="59">
        <f ca="1">AVERAGE(OFFSET($FI$3,0,0,'Données projet'!$E$16+1,1))-AVERAGE(OFFSET($H$3,0,0,'Données projet'!$E$16+1,1))</f>
        <v>214.31585175697521</v>
      </c>
      <c r="FK141" s="59">
        <f t="shared" si="156"/>
        <v>244.60383864821372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21.016598049212913</v>
      </c>
      <c r="FR141" s="21">
        <f>EXP(-LN(2)/25)*FR140+(1-EXP(-LN(2)/25))/(LN(2)/25)*Calculateur!FM141*Calculateur!FO141*VLOOKUP('Données projet'!$B$16,Paramètres!$A$1:$I$89,3,0)*0.475*44/12</f>
        <v>0</v>
      </c>
      <c r="FS141" s="21">
        <f>EXP(-LN(2)/2)*FS140+(1-EXP(-LN(2)/2))/(LN(2)/2)*FM141*FP141*VLOOKUP('Données projet'!$B$16,Paramètres!$A$1:$I$89,3,0)*0.475*44/12</f>
        <v>0</v>
      </c>
      <c r="FT141" s="22">
        <f t="shared" si="132"/>
        <v>21.016598049212913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-5.6843418860808015E-14</v>
      </c>
      <c r="GA141" s="17">
        <f>FZ141*VLOOKUP('Données projet'!$B$17,Paramètres!$A$1:$I$89,3,0)*VLOOKUP('Données projet'!$B$17,Paramètres!$A$1:$I$89,5,0)</f>
        <v>-4.5224624045658861E-14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308.33954512886351</v>
      </c>
      <c r="GF141" s="59">
        <f t="shared" si="158"/>
        <v>408.79075392716277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29.100655949814282</v>
      </c>
      <c r="GM141" s="21">
        <f>EXP(-LN(2)/25)*GM140+(1-EXP(-LN(2)/25))/(LN(2)/25)*Calculateur!GH141*Calculateur!GJ141*VLOOKUP('Données projet'!$B$17,Paramètres!$A$1:$I$89,3,0)*0.475*44/12</f>
        <v>0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29.100655949814282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342.84342155097613</v>
      </c>
      <c r="T142" s="59">
        <f t="shared" si="142"/>
        <v>565.68976940602215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26.890133491875162</v>
      </c>
      <c r="AA142" s="21">
        <f>EXP(-LN(2)/25)*AA141+(1-EXP(-LN(2)/25))/(LN(2)/25)*Calculateur!V142*Calculateur!X142*VLOOKUP('Données projet'!$B$9,Paramètres!$A$1:$I$89,3,0)*0.475*44/12</f>
        <v>6.5203220803797723</v>
      </c>
      <c r="AB142" s="21">
        <f>EXP(-LN(2)/2)*AB141+(1-EXP(-LN(2)/2))/(LN(2)/2)*V142*Y142*VLOOKUP('Données projet'!$B$9,Paramètres!$A$1:$I$89,3,0)*0.475*44/12</f>
        <v>2.9409327723550916E-13</v>
      </c>
      <c r="AC142" s="22">
        <f t="shared" si="111"/>
        <v>33.410455572255223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320.33056209214476</v>
      </c>
      <c r="AO142" s="59">
        <f t="shared" si="144"/>
        <v>299.27200854723446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13.174795581529521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13.174795581529521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256.85706398254547</v>
      </c>
      <c r="BJ142" s="59">
        <f t="shared" si="146"/>
        <v>363.68094621014734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30.630809591951291</v>
      </c>
      <c r="BQ142" s="21">
        <f>EXP(-LN(2)/25)*BQ141+(1-EXP(-LN(2)/25))/(LN(2)/25)*Calculateur!BL142*Calculateur!BN142*VLOOKUP('Données projet'!$B$11,Paramètres!$A$1:$I$89,3,0)*0.475*44/12</f>
        <v>6.0357763635563257</v>
      </c>
      <c r="BR142" s="21">
        <f>EXP(-LN(2)/2)*BR141+(1-EXP(-LN(2)/2))/(LN(2)/2)*BL142*BO142*VLOOKUP('Données projet'!$B$11,Paramètres!$A$1:$I$89,3,0)*0.475*44/12</f>
        <v>2.7837044933223371E-11</v>
      </c>
      <c r="BS142" s="22">
        <f t="shared" si="117"/>
        <v>36.666585955535453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5.6843418860808015E-14</v>
      </c>
      <c r="BZ142" s="13">
        <f>BY142*VLOOKUP('Données projet'!$B$12,Paramètres!$A$1:$I$89,3,0)*VLOOKUP('Données projet'!$B$12,Paramètres!$A$1:$I$89,5,0)</f>
        <v>5.1431925385259088E-14</v>
      </c>
      <c r="CA142" s="13">
        <f t="shared" si="147"/>
        <v>8.3482866290946129E-13</v>
      </c>
      <c r="CB142" s="20">
        <f t="shared" si="118"/>
        <v>1.5435705246133045E-12</v>
      </c>
      <c r="CC142" s="59">
        <f t="shared" si="119"/>
        <v>285.28344025620243</v>
      </c>
      <c r="CD142" s="59">
        <f ca="1">AVERAGE(OFFSET($CC$3,0,0,'Données projet'!$E$12+1,1))-AVERAGE(OFFSET($H$3,0,0,'Données projet'!$E$12+1,1))</f>
        <v>357.68828740212223</v>
      </c>
      <c r="CE142" s="59">
        <f t="shared" si="148"/>
        <v>236.76626845829483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46.803059993029358</v>
      </c>
      <c r="CL142" s="21">
        <f>EXP(-LN(2)/25)*CL141+(1-EXP(-LN(2)/25))/(LN(2)/25)*Calculateur!CG142*Calculateur!CI142*VLOOKUP('Données projet'!$B$12,Paramètres!$A$1:$I$89,3,0)*0.475*44/12</f>
        <v>28.13514457883997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74.938204571869335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257.00000000000006</v>
      </c>
      <c r="CU142" s="17">
        <f>CT142*VLOOKUP('Données projet'!$B$13,Paramètres!$A$1:$I$89,3,0)*VLOOKUP('Données projet'!$B$13,Paramètres!$A$1:$I$89,5,0)</f>
        <v>168.38640000000004</v>
      </c>
      <c r="CV142" s="13">
        <f t="shared" si="149"/>
        <v>42.728430513203243</v>
      </c>
      <c r="CW142" s="20">
        <f t="shared" si="121"/>
        <v>367.69166314382898</v>
      </c>
      <c r="CX142" s="59">
        <f t="shared" si="122"/>
        <v>652.97510340002987</v>
      </c>
      <c r="CY142" s="59">
        <f ca="1">AVERAGE(OFFSET($CX$3,0,0,'Données projet'!$E$13+1,1))-AVERAGE(OFFSET($H$3,0,0,'Données projet'!$E$13+1,1))</f>
        <v>220.18342986563667</v>
      </c>
      <c r="CZ142" s="59">
        <f t="shared" si="150"/>
        <v>347.84382145531163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4.0406450663412165E-16</v>
      </c>
      <c r="DI142" s="22">
        <f t="shared" si="123"/>
        <v>4.0406450663412165E-16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5.7639226724859328E-14</v>
      </c>
      <c r="DQ142" s="13">
        <f t="shared" si="151"/>
        <v>9.2325701996134334E-13</v>
      </c>
      <c r="DR142" s="20">
        <f t="shared" si="124"/>
        <v>1.708394296311803E-12</v>
      </c>
      <c r="DS142" s="59">
        <f t="shared" si="125"/>
        <v>285.2834402562026</v>
      </c>
      <c r="DT142" s="59">
        <f ca="1">AVERAGE(OFFSET($DS$3,0,0,'Données projet'!$E$14+1,1))-AVERAGE(OFFSET($H$3,0,0,'Données projet'!$E$14+1,1))</f>
        <v>392.49465607243178</v>
      </c>
      <c r="DU142" s="59">
        <f t="shared" si="152"/>
        <v>258.031856676031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52.451705164601854</v>
      </c>
      <c r="EB142" s="21">
        <f>EXP(-LN(2)/25)*EB141+(1-EXP(-LN(2)/25))/(LN(2)/25)*Calculateur!DW142*Calculateur!DY142*VLOOKUP('Données projet'!$B$14,Paramètres!$A$1:$I$89,3,0)*0.475*44/12</f>
        <v>31.530765476286152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83.98247064088801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294.24530606293143</v>
      </c>
      <c r="EP142" s="59">
        <f t="shared" si="154"/>
        <v>275.88160405468193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44.367308027900279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44.367308027900279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1.1368683772161603E-13</v>
      </c>
      <c r="FF142" s="17">
        <f>FE142*VLOOKUP('Données projet'!$B$16,Paramètres!$A$1:$I$89,3,0)*VLOOKUP('Données projet'!$B$16,Paramètres!$A$1:$I$89,5,0)</f>
        <v>8.3355189417488869E-14</v>
      </c>
      <c r="FG142" s="13">
        <f t="shared" si="155"/>
        <v>1.2790518435140618E-12</v>
      </c>
      <c r="FH142" s="20">
        <f t="shared" si="130"/>
        <v>2.3728589156891171E-12</v>
      </c>
      <c r="FI142" s="59">
        <f t="shared" si="131"/>
        <v>285.28344025620328</v>
      </c>
      <c r="FJ142" s="59">
        <f ca="1">AVERAGE(OFFSET($FI$3,0,0,'Données projet'!$E$16+1,1))-AVERAGE(OFFSET($H$3,0,0,'Données projet'!$E$16+1,1))</f>
        <v>214.31585175697521</v>
      </c>
      <c r="FK142" s="59">
        <f t="shared" si="156"/>
        <v>244.60383864821372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20.6044753803269</v>
      </c>
      <c r="FR142" s="21">
        <f>EXP(-LN(2)/25)*FR141+(1-EXP(-LN(2)/25))/(LN(2)/25)*Calculateur!FM142*Calculateur!FO142*VLOOKUP('Données projet'!$B$16,Paramètres!$A$1:$I$89,3,0)*0.475*44/12</f>
        <v>0</v>
      </c>
      <c r="FS142" s="21">
        <f>EXP(-LN(2)/2)*FS141+(1-EXP(-LN(2)/2))/(LN(2)/2)*FM142*FP142*VLOOKUP('Données projet'!$B$16,Paramètres!$A$1:$I$89,3,0)*0.475*44/12</f>
        <v>0</v>
      </c>
      <c r="FT142" s="22">
        <f t="shared" si="132"/>
        <v>20.6044753803269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-5.6843418860808015E-14</v>
      </c>
      <c r="GA142" s="17">
        <f>FZ142*VLOOKUP('Données projet'!$B$17,Paramètres!$A$1:$I$89,3,0)*VLOOKUP('Données projet'!$B$17,Paramètres!$A$1:$I$89,5,0)</f>
        <v>-4.5224624045658861E-14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308.33954512886351</v>
      </c>
      <c r="GF142" s="59">
        <f t="shared" si="158"/>
        <v>408.79075392716277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28.53000983628592</v>
      </c>
      <c r="GM142" s="21">
        <f>EXP(-LN(2)/25)*GM141+(1-EXP(-LN(2)/25))/(LN(2)/25)*Calculateur!GH142*Calculateur!GJ142*VLOOKUP('Données projet'!$B$17,Paramètres!$A$1:$I$89,3,0)*0.475*44/12</f>
        <v>0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28.53000983628592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342.84342155097613</v>
      </c>
      <c r="T143" s="59">
        <f t="shared" si="142"/>
        <v>565.68976940602215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26.362834375461421</v>
      </c>
      <c r="AA143" s="21">
        <f>EXP(-LN(2)/25)*AA142+(1-EXP(-LN(2)/25))/(LN(2)/25)*Calculateur!V143*Calculateur!X143*VLOOKUP('Données projet'!$B$9,Paramètres!$A$1:$I$89,3,0)*0.475*44/12</f>
        <v>6.342023530202952</v>
      </c>
      <c r="AB143" s="21">
        <f>EXP(-LN(2)/2)*AB142+(1-EXP(-LN(2)/2))/(LN(2)/2)*V143*Y143*VLOOKUP('Données projet'!$B$9,Paramètres!$A$1:$I$89,3,0)*0.475*44/12</f>
        <v>2.0795535063460383E-13</v>
      </c>
      <c r="AC143" s="22">
        <f t="shared" si="111"/>
        <v>32.704857905664582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320.33056209214476</v>
      </c>
      <c r="AO143" s="59">
        <f t="shared" si="144"/>
        <v>299.27200854723446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12.814530103520209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12.814530103520209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256.85706398254547</v>
      </c>
      <c r="BJ143" s="59">
        <f t="shared" si="146"/>
        <v>363.68094621014734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30.03015809880219</v>
      </c>
      <c r="BQ143" s="21">
        <f>EXP(-LN(2)/25)*BQ142+(1-EXP(-LN(2)/25))/(LN(2)/25)*Calculateur!BL143*Calculateur!BN143*VLOOKUP('Données projet'!$B$11,Paramètres!$A$1:$I$89,3,0)*0.475*44/12</f>
        <v>5.8707277414871939</v>
      </c>
      <c r="BR143" s="21">
        <f>EXP(-LN(2)/2)*BR142+(1-EXP(-LN(2)/2))/(LN(2)/2)*BL143*BO143*VLOOKUP('Données projet'!$B$11,Paramètres!$A$1:$I$89,3,0)*0.475*44/12</f>
        <v>1.968376324047687E-11</v>
      </c>
      <c r="BS143" s="22">
        <f t="shared" si="117"/>
        <v>35.900885840309066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5.6843418860808015E-14</v>
      </c>
      <c r="BZ143" s="13">
        <f>BY143*VLOOKUP('Données projet'!$B$12,Paramètres!$A$1:$I$89,3,0)*VLOOKUP('Données projet'!$B$12,Paramètres!$A$1:$I$89,5,0)</f>
        <v>5.1431925385259088E-14</v>
      </c>
      <c r="CA143" s="13">
        <f t="shared" si="147"/>
        <v>8.3482866290946129E-13</v>
      </c>
      <c r="CB143" s="20">
        <f t="shared" si="118"/>
        <v>1.5435705246133045E-12</v>
      </c>
      <c r="CC143" s="59">
        <f t="shared" si="119"/>
        <v>285.42308790422589</v>
      </c>
      <c r="CD143" s="59">
        <f ca="1">AVERAGE(OFFSET($CC$3,0,0,'Données projet'!$E$12+1,1))-AVERAGE(OFFSET($H$3,0,0,'Données projet'!$E$12+1,1))</f>
        <v>357.68828740212223</v>
      </c>
      <c r="CE143" s="59">
        <f t="shared" si="148"/>
        <v>236.76626845829483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45.885280533613859</v>
      </c>
      <c r="CL143" s="21">
        <f>EXP(-LN(2)/25)*CL142+(1-EXP(-LN(2)/25))/(LN(2)/25)*Calculateur!CG143*Calculateur!CI143*VLOOKUP('Données projet'!$B$12,Paramètres!$A$1:$I$89,3,0)*0.475*44/12</f>
        <v>27.365787570768642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73.251068104382497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257.00000000000006</v>
      </c>
      <c r="CU143" s="17">
        <f>CT143*VLOOKUP('Données projet'!$B$13,Paramètres!$A$1:$I$89,3,0)*VLOOKUP('Données projet'!$B$13,Paramètres!$A$1:$I$89,5,0)</f>
        <v>168.38640000000004</v>
      </c>
      <c r="CV143" s="13">
        <f t="shared" si="149"/>
        <v>42.728430513203243</v>
      </c>
      <c r="CW143" s="20">
        <f t="shared" si="121"/>
        <v>367.69166314382898</v>
      </c>
      <c r="CX143" s="59">
        <f t="shared" si="122"/>
        <v>653.11475104805334</v>
      </c>
      <c r="CY143" s="59">
        <f ca="1">AVERAGE(OFFSET($CX$3,0,0,'Données projet'!$E$13+1,1))-AVERAGE(OFFSET($H$3,0,0,'Données projet'!$E$13+1,1))</f>
        <v>220.18342986563667</v>
      </c>
      <c r="CZ143" s="59">
        <f t="shared" si="150"/>
        <v>347.84382145531163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2.8571675267778413E-16</v>
      </c>
      <c r="DI143" s="22">
        <f t="shared" si="123"/>
        <v>2.8571675267778413E-16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5.7639226724859328E-14</v>
      </c>
      <c r="DQ143" s="13">
        <f t="shared" si="151"/>
        <v>9.2325701996134334E-13</v>
      </c>
      <c r="DR143" s="20">
        <f t="shared" si="124"/>
        <v>1.708394296311803E-12</v>
      </c>
      <c r="DS143" s="59">
        <f t="shared" si="125"/>
        <v>285.42308790422607</v>
      </c>
      <c r="DT143" s="59">
        <f ca="1">AVERAGE(OFFSET($DS$3,0,0,'Données projet'!$E$14+1,1))-AVERAGE(OFFSET($H$3,0,0,'Données projet'!$E$14+1,1))</f>
        <v>392.49465607243178</v>
      </c>
      <c r="DU143" s="59">
        <f t="shared" si="152"/>
        <v>258.031856676031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51.42315921870518</v>
      </c>
      <c r="EB143" s="21">
        <f>EXP(-LN(2)/25)*EB142+(1-EXP(-LN(2)/25))/(LN(2)/25)*Calculateur!DW143*Calculateur!DY143*VLOOKUP('Données projet'!$B$14,Paramètres!$A$1:$I$89,3,0)*0.475*44/12</f>
        <v>30.668555036206214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82.091714254911395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294.24530606293143</v>
      </c>
      <c r="EP143" s="59">
        <f t="shared" si="154"/>
        <v>275.88160405468193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43.497292178858963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43.497292178858963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1.1368683772161603E-13</v>
      </c>
      <c r="FF143" s="17">
        <f>FE143*VLOOKUP('Données projet'!$B$16,Paramètres!$A$1:$I$89,3,0)*VLOOKUP('Données projet'!$B$16,Paramètres!$A$1:$I$89,5,0)</f>
        <v>8.3355189417488869E-14</v>
      </c>
      <c r="FG143" s="13">
        <f t="shared" si="155"/>
        <v>1.2790518435140618E-12</v>
      </c>
      <c r="FH143" s="20">
        <f t="shared" si="130"/>
        <v>2.3728589156891171E-12</v>
      </c>
      <c r="FI143" s="59">
        <f t="shared" si="131"/>
        <v>285.42308790422675</v>
      </c>
      <c r="FJ143" s="59">
        <f ca="1">AVERAGE(OFFSET($FI$3,0,0,'Données projet'!$E$16+1,1))-AVERAGE(OFFSET($H$3,0,0,'Données projet'!$E$16+1,1))</f>
        <v>214.31585175697521</v>
      </c>
      <c r="FK143" s="59">
        <f t="shared" si="156"/>
        <v>244.60383864821372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20.200434185607733</v>
      </c>
      <c r="FR143" s="21">
        <f>EXP(-LN(2)/25)*FR142+(1-EXP(-LN(2)/25))/(LN(2)/25)*Calculateur!FM143*Calculateur!FO143*VLOOKUP('Données projet'!$B$16,Paramètres!$A$1:$I$89,3,0)*0.475*44/12</f>
        <v>0</v>
      </c>
      <c r="FS143" s="21">
        <f>EXP(-LN(2)/2)*FS142+(1-EXP(-LN(2)/2))/(LN(2)/2)*FM143*FP143*VLOOKUP('Données projet'!$B$16,Paramètres!$A$1:$I$89,3,0)*0.475*44/12</f>
        <v>0</v>
      </c>
      <c r="FT143" s="22">
        <f t="shared" si="132"/>
        <v>20.200434185607733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-5.6843418860808015E-14</v>
      </c>
      <c r="GA143" s="17">
        <f>FZ143*VLOOKUP('Données projet'!$B$17,Paramètres!$A$1:$I$89,3,0)*VLOOKUP('Données projet'!$B$17,Paramètres!$A$1:$I$89,5,0)</f>
        <v>-4.5224624045658861E-14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308.33954512886351</v>
      </c>
      <c r="GF143" s="59">
        <f t="shared" si="158"/>
        <v>408.79075392716277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27.970553744984091</v>
      </c>
      <c r="GM143" s="21">
        <f>EXP(-LN(2)/25)*GM142+(1-EXP(-LN(2)/25))/(LN(2)/25)*Calculateur!GH143*Calculateur!GJ143*VLOOKUP('Données projet'!$B$17,Paramètres!$A$1:$I$89,3,0)*0.475*44/12</f>
        <v>0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27.970553744984091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342.84342155097613</v>
      </c>
      <c r="T144" s="59">
        <f t="shared" si="142"/>
        <v>565.68976940602215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25.84587527309985</v>
      </c>
      <c r="AA144" s="21">
        <f>EXP(-LN(2)/25)*AA143+(1-EXP(-LN(2)/25))/(LN(2)/25)*Calculateur!V144*Calculateur!X144*VLOOKUP('Données projet'!$B$9,Paramètres!$A$1:$I$89,3,0)*0.475*44/12</f>
        <v>6.16860056325703</v>
      </c>
      <c r="AB144" s="21">
        <f>EXP(-LN(2)/2)*AB143+(1-EXP(-LN(2)/2))/(LN(2)/2)*V144*Y144*VLOOKUP('Données projet'!$B$9,Paramètres!$A$1:$I$89,3,0)*0.475*44/12</f>
        <v>1.4704663861775458E-13</v>
      </c>
      <c r="AC144" s="22">
        <f t="shared" si="111"/>
        <v>32.014475836357029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320.33056209214476</v>
      </c>
      <c r="AO144" s="59">
        <f t="shared" si="144"/>
        <v>299.27200854723446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12.464116103952598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12.464116103952598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256.85706398254547</v>
      </c>
      <c r="BJ144" s="59">
        <f t="shared" si="146"/>
        <v>363.68094621014734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29.441285015072506</v>
      </c>
      <c r="BQ144" s="21">
        <f>EXP(-LN(2)/25)*BQ143+(1-EXP(-LN(2)/25))/(LN(2)/25)*Calculateur!BL144*Calculateur!BN144*VLOOKUP('Données projet'!$B$11,Paramètres!$A$1:$I$89,3,0)*0.475*44/12</f>
        <v>5.7101923826680725</v>
      </c>
      <c r="BR144" s="21">
        <f>EXP(-LN(2)/2)*BR143+(1-EXP(-LN(2)/2))/(LN(2)/2)*BL144*BO144*VLOOKUP('Données projet'!$B$11,Paramètres!$A$1:$I$89,3,0)*0.475*44/12</f>
        <v>1.3918522466611686E-11</v>
      </c>
      <c r="BS144" s="22">
        <f t="shared" si="117"/>
        <v>35.151477397754498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5.6843418860808015E-14</v>
      </c>
      <c r="BZ144" s="13">
        <f>BY144*VLOOKUP('Données projet'!$B$12,Paramètres!$A$1:$I$89,3,0)*VLOOKUP('Données projet'!$B$12,Paramètres!$A$1:$I$89,5,0)</f>
        <v>5.1431925385259088E-14</v>
      </c>
      <c r="CA144" s="13">
        <f t="shared" si="147"/>
        <v>8.3482866290946129E-13</v>
      </c>
      <c r="CB144" s="20">
        <f t="shared" si="118"/>
        <v>1.5435705246133045E-12</v>
      </c>
      <c r="CC144" s="59">
        <f t="shared" si="119"/>
        <v>285.56031297776155</v>
      </c>
      <c r="CD144" s="59">
        <f ca="1">AVERAGE(OFFSET($CC$3,0,0,'Données projet'!$E$12+1,1))-AVERAGE(OFFSET($H$3,0,0,'Données projet'!$E$12+1,1))</f>
        <v>357.68828740212223</v>
      </c>
      <c r="CE144" s="59">
        <f t="shared" si="148"/>
        <v>236.76626845829483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44.985498169607304</v>
      </c>
      <c r="CL144" s="21">
        <f>EXP(-LN(2)/25)*CL143+(1-EXP(-LN(2)/25))/(LN(2)/25)*Calculateur!CG144*Calculateur!CI144*VLOOKUP('Données projet'!$B$12,Paramètres!$A$1:$I$89,3,0)*0.475*44/12</f>
        <v>26.617468670541751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71.602966840149051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257.00000000000006</v>
      </c>
      <c r="CU144" s="17">
        <f>CT144*VLOOKUP('Données projet'!$B$13,Paramètres!$A$1:$I$89,3,0)*VLOOKUP('Données projet'!$B$13,Paramètres!$A$1:$I$89,5,0)</f>
        <v>168.38640000000004</v>
      </c>
      <c r="CV144" s="13">
        <f t="shared" si="149"/>
        <v>42.728430513203243</v>
      </c>
      <c r="CW144" s="20">
        <f t="shared" si="121"/>
        <v>367.69166314382898</v>
      </c>
      <c r="CX144" s="59">
        <f t="shared" si="122"/>
        <v>653.251976121589</v>
      </c>
      <c r="CY144" s="59">
        <f ca="1">AVERAGE(OFFSET($CX$3,0,0,'Données projet'!$E$13+1,1))-AVERAGE(OFFSET($H$3,0,0,'Données projet'!$E$13+1,1))</f>
        <v>220.18342986563667</v>
      </c>
      <c r="CZ144" s="59">
        <f t="shared" si="150"/>
        <v>347.84382145531163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2.0203225331706082E-16</v>
      </c>
      <c r="DI144" s="22">
        <f t="shared" si="123"/>
        <v>2.0203225331706082E-16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5.7639226724859328E-14</v>
      </c>
      <c r="DQ144" s="13">
        <f t="shared" si="151"/>
        <v>9.2325701996134334E-13</v>
      </c>
      <c r="DR144" s="20">
        <f t="shared" si="124"/>
        <v>1.708394296311803E-12</v>
      </c>
      <c r="DS144" s="59">
        <f t="shared" si="125"/>
        <v>285.56031297776173</v>
      </c>
      <c r="DT144" s="59">
        <f ca="1">AVERAGE(OFFSET($DS$3,0,0,'Données projet'!$E$14+1,1))-AVERAGE(OFFSET($H$3,0,0,'Données projet'!$E$14+1,1))</f>
        <v>392.49465607243178</v>
      </c>
      <c r="DU144" s="59">
        <f t="shared" si="152"/>
        <v>258.031856676031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50.414782431456459</v>
      </c>
      <c r="EB144" s="21">
        <f>EXP(-LN(2)/25)*EB143+(1-EXP(-LN(2)/25))/(LN(2)/25)*Calculateur!DW144*Calculateur!DY144*VLOOKUP('Données projet'!$B$14,Paramètres!$A$1:$I$89,3,0)*0.475*44/12</f>
        <v>29.829921785951939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80.244704217408398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294.24530606293143</v>
      </c>
      <c r="EP144" s="59">
        <f t="shared" si="154"/>
        <v>275.88160405468193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42.644336809960073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42.644336809960073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1.1368683772161603E-13</v>
      </c>
      <c r="FF144" s="17">
        <f>FE144*VLOOKUP('Données projet'!$B$16,Paramètres!$A$1:$I$89,3,0)*VLOOKUP('Données projet'!$B$16,Paramètres!$A$1:$I$89,5,0)</f>
        <v>8.3355189417488869E-14</v>
      </c>
      <c r="FG144" s="13">
        <f t="shared" si="155"/>
        <v>1.2790518435140618E-12</v>
      </c>
      <c r="FH144" s="20">
        <f t="shared" si="130"/>
        <v>2.3728589156891171E-12</v>
      </c>
      <c r="FI144" s="59">
        <f t="shared" si="131"/>
        <v>285.56031297776241</v>
      </c>
      <c r="FJ144" s="59">
        <f ca="1">AVERAGE(OFFSET($FI$3,0,0,'Données projet'!$E$16+1,1))-AVERAGE(OFFSET($H$3,0,0,'Données projet'!$E$16+1,1))</f>
        <v>214.31585175697521</v>
      </c>
      <c r="FK144" s="59">
        <f t="shared" si="156"/>
        <v>244.60383864821372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19.804315992276216</v>
      </c>
      <c r="FR144" s="21">
        <f>EXP(-LN(2)/25)*FR143+(1-EXP(-LN(2)/25))/(LN(2)/25)*Calculateur!FM144*Calculateur!FO144*VLOOKUP('Données projet'!$B$16,Paramètres!$A$1:$I$89,3,0)*0.475*44/12</f>
        <v>0</v>
      </c>
      <c r="FS144" s="21">
        <f>EXP(-LN(2)/2)*FS143+(1-EXP(-LN(2)/2))/(LN(2)/2)*FM144*FP144*VLOOKUP('Données projet'!$B$16,Paramètres!$A$1:$I$89,3,0)*0.475*44/12</f>
        <v>0</v>
      </c>
      <c r="FT144" s="22">
        <f t="shared" si="132"/>
        <v>19.804315992276216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-5.6843418860808015E-14</v>
      </c>
      <c r="GA144" s="17">
        <f>FZ144*VLOOKUP('Données projet'!$B$17,Paramètres!$A$1:$I$89,3,0)*VLOOKUP('Données projet'!$B$17,Paramètres!$A$1:$I$89,5,0)</f>
        <v>-4.5224624045658861E-14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308.33954512886351</v>
      </c>
      <c r="GF144" s="59">
        <f t="shared" si="158"/>
        <v>408.79075392716277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27.422068246398169</v>
      </c>
      <c r="GM144" s="21">
        <f>EXP(-LN(2)/25)*GM143+(1-EXP(-LN(2)/25))/(LN(2)/25)*Calculateur!GH144*Calculateur!GJ144*VLOOKUP('Données projet'!$B$17,Paramètres!$A$1:$I$89,3,0)*0.475*44/12</f>
        <v>0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27.422068246398169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342.84342155097613</v>
      </c>
      <c r="T145" s="59">
        <f t="shared" si="142"/>
        <v>565.68976940602215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25.339053423421671</v>
      </c>
      <c r="AA145" s="21">
        <f>EXP(-LN(2)/25)*AA144+(1-EXP(-LN(2)/25))/(LN(2)/25)*Calculateur!V145*Calculateur!X145*VLOOKUP('Données projet'!$B$9,Paramètres!$A$1:$I$89,3,0)*0.475*44/12</f>
        <v>5.999919856462161</v>
      </c>
      <c r="AB145" s="21">
        <f>EXP(-LN(2)/2)*AB144+(1-EXP(-LN(2)/2))/(LN(2)/2)*V145*Y145*VLOOKUP('Données projet'!$B$9,Paramètres!$A$1:$I$89,3,0)*0.475*44/12</f>
        <v>1.0397767531730192E-13</v>
      </c>
      <c r="AC145" s="22">
        <f t="shared" si="111"/>
        <v>31.338973279883934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320.33056209214476</v>
      </c>
      <c r="AO145" s="59">
        <f t="shared" si="144"/>
        <v>299.27200854723446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12.123284193630635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12.123284193630635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256.85706398254547</v>
      </c>
      <c r="BJ145" s="59">
        <f t="shared" si="146"/>
        <v>363.68094621014734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28.863959373337646</v>
      </c>
      <c r="BQ145" s="21">
        <f>EXP(-LN(2)/25)*BQ144+(1-EXP(-LN(2)/25))/(LN(2)/25)*Calculateur!BL145*Calculateur!BN145*VLOOKUP('Données projet'!$B$11,Paramètres!$A$1:$I$89,3,0)*0.475*44/12</f>
        <v>5.5540468716780476</v>
      </c>
      <c r="BR145" s="21">
        <f>EXP(-LN(2)/2)*BR144+(1-EXP(-LN(2)/2))/(LN(2)/2)*BL145*BO145*VLOOKUP('Données projet'!$B$11,Paramètres!$A$1:$I$89,3,0)*0.475*44/12</f>
        <v>9.8418816202384348E-12</v>
      </c>
      <c r="BS145" s="22">
        <f t="shared" si="117"/>
        <v>34.418006245025538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5.6843418860808015E-14</v>
      </c>
      <c r="BZ145" s="13">
        <f>BY145*VLOOKUP('Données projet'!$B$12,Paramètres!$A$1:$I$89,3,0)*VLOOKUP('Données projet'!$B$12,Paramètres!$A$1:$I$89,5,0)</f>
        <v>5.1431925385259088E-14</v>
      </c>
      <c r="CA145" s="13">
        <f t="shared" si="147"/>
        <v>8.3482866290946129E-13</v>
      </c>
      <c r="CB145" s="20">
        <f t="shared" si="118"/>
        <v>1.5435705246133045E-12</v>
      </c>
      <c r="CC145" s="59">
        <f t="shared" si="119"/>
        <v>285.69515750306061</v>
      </c>
      <c r="CD145" s="59">
        <f ca="1">AVERAGE(OFFSET($CC$3,0,0,'Données projet'!$E$12+1,1))-AVERAGE(OFFSET($H$3,0,0,'Données projet'!$E$12+1,1))</f>
        <v>357.68828740212223</v>
      </c>
      <c r="CE145" s="59">
        <f t="shared" si="148"/>
        <v>236.76626845829483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44.103359988945869</v>
      </c>
      <c r="CL145" s="21">
        <f>EXP(-LN(2)/25)*CL144+(1-EXP(-LN(2)/25))/(LN(2)/25)*Calculateur!CG145*Calculateur!CI145*VLOOKUP('Données projet'!$B$12,Paramètres!$A$1:$I$89,3,0)*0.475*44/12</f>
        <v>25.889612589993945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69.992972578939813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257.00000000000006</v>
      </c>
      <c r="CU145" s="17">
        <f>CT145*VLOOKUP('Données projet'!$B$13,Paramètres!$A$1:$I$89,3,0)*VLOOKUP('Données projet'!$B$13,Paramètres!$A$1:$I$89,5,0)</f>
        <v>168.38640000000004</v>
      </c>
      <c r="CV145" s="13">
        <f t="shared" si="149"/>
        <v>42.728430513203243</v>
      </c>
      <c r="CW145" s="20">
        <f t="shared" si="121"/>
        <v>367.69166314382898</v>
      </c>
      <c r="CX145" s="59">
        <f t="shared" si="122"/>
        <v>653.38682064688805</v>
      </c>
      <c r="CY145" s="59">
        <f ca="1">AVERAGE(OFFSET($CX$3,0,0,'Données projet'!$E$13+1,1))-AVERAGE(OFFSET($H$3,0,0,'Données projet'!$E$13+1,1))</f>
        <v>220.18342986563667</v>
      </c>
      <c r="CZ145" s="59">
        <f t="shared" si="150"/>
        <v>347.84382145531163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1.4285837633889207E-16</v>
      </c>
      <c r="DI145" s="22">
        <f t="shared" si="123"/>
        <v>1.4285837633889207E-16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5.7639226724859328E-14</v>
      </c>
      <c r="DQ145" s="13">
        <f t="shared" si="151"/>
        <v>9.2325701996134334E-13</v>
      </c>
      <c r="DR145" s="20">
        <f t="shared" si="124"/>
        <v>1.708394296311803E-12</v>
      </c>
      <c r="DS145" s="59">
        <f t="shared" si="125"/>
        <v>285.69515750306078</v>
      </c>
      <c r="DT145" s="59">
        <f ca="1">AVERAGE(OFFSET($DS$3,0,0,'Données projet'!$E$14+1,1))-AVERAGE(OFFSET($H$3,0,0,'Données projet'!$E$14+1,1))</f>
        <v>392.49465607243178</v>
      </c>
      <c r="DU145" s="59">
        <f t="shared" si="152"/>
        <v>258.031856676031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49.426179297956573</v>
      </c>
      <c r="EB145" s="21">
        <f>EXP(-LN(2)/25)*EB144+(1-EXP(-LN(2)/25))/(LN(2)/25)*Calculateur!DW145*Calculateur!DY145*VLOOKUP('Données projet'!$B$14,Paramètres!$A$1:$I$89,3,0)*0.475*44/12</f>
        <v>29.014221006027672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78.440400303984248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294.24530606293143</v>
      </c>
      <c r="EP145" s="59">
        <f t="shared" si="154"/>
        <v>275.88160405468193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41.808107375593892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41.808107375593892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1.1368683772161603E-13</v>
      </c>
      <c r="FF145" s="17">
        <f>FE145*VLOOKUP('Données projet'!$B$16,Paramètres!$A$1:$I$89,3,0)*VLOOKUP('Données projet'!$B$16,Paramètres!$A$1:$I$89,5,0)</f>
        <v>8.3355189417488869E-14</v>
      </c>
      <c r="FG145" s="13">
        <f t="shared" si="155"/>
        <v>1.2790518435140618E-12</v>
      </c>
      <c r="FH145" s="20">
        <f t="shared" si="130"/>
        <v>2.3728589156891171E-12</v>
      </c>
      <c r="FI145" s="59">
        <f t="shared" si="131"/>
        <v>285.69515750306147</v>
      </c>
      <c r="FJ145" s="59">
        <f ca="1">AVERAGE(OFFSET($FI$3,0,0,'Données projet'!$E$16+1,1))-AVERAGE(OFFSET($H$3,0,0,'Données projet'!$E$16+1,1))</f>
        <v>214.31585175697521</v>
      </c>
      <c r="FK145" s="59">
        <f t="shared" si="156"/>
        <v>244.60383864821372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19.41596543510769</v>
      </c>
      <c r="FR145" s="21">
        <f>EXP(-LN(2)/25)*FR144+(1-EXP(-LN(2)/25))/(LN(2)/25)*Calculateur!FM145*Calculateur!FO145*VLOOKUP('Données projet'!$B$16,Paramètres!$A$1:$I$89,3,0)*0.475*44/12</f>
        <v>0</v>
      </c>
      <c r="FS145" s="21">
        <f>EXP(-LN(2)/2)*FS144+(1-EXP(-LN(2)/2))/(LN(2)/2)*FM145*FP145*VLOOKUP('Données projet'!$B$16,Paramètres!$A$1:$I$89,3,0)*0.475*44/12</f>
        <v>0</v>
      </c>
      <c r="FT145" s="22">
        <f t="shared" si="132"/>
        <v>19.41596543510769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-5.6843418860808015E-14</v>
      </c>
      <c r="GA145" s="17">
        <f>FZ145*VLOOKUP('Données projet'!$B$17,Paramètres!$A$1:$I$89,3,0)*VLOOKUP('Données projet'!$B$17,Paramètres!$A$1:$I$89,5,0)</f>
        <v>-4.5224624045658861E-14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308.33954512886351</v>
      </c>
      <c r="GF145" s="59">
        <f t="shared" si="158"/>
        <v>408.79075392716277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26.884338213896395</v>
      </c>
      <c r="GM145" s="21">
        <f>EXP(-LN(2)/25)*GM144+(1-EXP(-LN(2)/25))/(LN(2)/25)*Calculateur!GH145*Calculateur!GJ145*VLOOKUP('Données projet'!$B$17,Paramètres!$A$1:$I$89,3,0)*0.475*44/12</f>
        <v>0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26.884338213896395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342.84342155097613</v>
      </c>
      <c r="T146" s="59">
        <f t="shared" si="142"/>
        <v>565.68976940602215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24.842170041084877</v>
      </c>
      <c r="AA146" s="21">
        <f>EXP(-LN(2)/25)*AA145+(1-EXP(-LN(2)/25))/(LN(2)/25)*Calculateur!V146*Calculateur!X146*VLOOKUP('Données projet'!$B$9,Paramètres!$A$1:$I$89,3,0)*0.475*44/12</f>
        <v>5.8358517324651311</v>
      </c>
      <c r="AB146" s="21">
        <f>EXP(-LN(2)/2)*AB145+(1-EXP(-LN(2)/2))/(LN(2)/2)*V146*Y146*VLOOKUP('Données projet'!$B$9,Paramètres!$A$1:$I$89,3,0)*0.475*44/12</f>
        <v>7.3523319308877289E-14</v>
      </c>
      <c r="AC146" s="22">
        <f t="shared" si="111"/>
        <v>30.678021773550082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320.33056209214476</v>
      </c>
      <c r="AO146" s="59">
        <f t="shared" si="144"/>
        <v>299.27200854723446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11.791772349819997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11.791772349819997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256.85706398254547</v>
      </c>
      <c r="BJ146" s="59">
        <f t="shared" si="146"/>
        <v>363.68094621014734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28.297954735303335</v>
      </c>
      <c r="BQ146" s="21">
        <f>EXP(-LN(2)/25)*BQ145+(1-EXP(-LN(2)/25))/(LN(2)/25)*Calculateur!BL146*Calculateur!BN146*VLOOKUP('Données projet'!$B$11,Paramètres!$A$1:$I$89,3,0)*0.475*44/12</f>
        <v>5.4021711678973805</v>
      </c>
      <c r="BR146" s="21">
        <f>EXP(-LN(2)/2)*BR145+(1-EXP(-LN(2)/2))/(LN(2)/2)*BL146*BO146*VLOOKUP('Données projet'!$B$11,Paramètres!$A$1:$I$89,3,0)*0.475*44/12</f>
        <v>6.9592612333058428E-12</v>
      </c>
      <c r="BS146" s="22">
        <f t="shared" si="117"/>
        <v>33.70012590320767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5.6843418860808015E-14</v>
      </c>
      <c r="BZ146" s="13">
        <f>BY146*VLOOKUP('Données projet'!$B$12,Paramètres!$A$1:$I$89,3,0)*VLOOKUP('Données projet'!$B$12,Paramètres!$A$1:$I$89,5,0)</f>
        <v>5.1431925385259088E-14</v>
      </c>
      <c r="CA146" s="13">
        <f t="shared" si="147"/>
        <v>8.3482866290946129E-13</v>
      </c>
      <c r="CB146" s="20">
        <f t="shared" si="118"/>
        <v>1.5435705246133045E-12</v>
      </c>
      <c r="CC146" s="59">
        <f t="shared" si="119"/>
        <v>285.82766277731298</v>
      </c>
      <c r="CD146" s="59">
        <f ca="1">AVERAGE(OFFSET($CC$3,0,0,'Données projet'!$E$12+1,1))-AVERAGE(OFFSET($H$3,0,0,'Données projet'!$E$12+1,1))</f>
        <v>357.68828740212223</v>
      </c>
      <c r="CE146" s="59">
        <f t="shared" si="148"/>
        <v>236.76626845829483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43.23851999995604</v>
      </c>
      <c r="CL146" s="21">
        <f>EXP(-LN(2)/25)*CL145+(1-EXP(-LN(2)/25))/(LN(2)/25)*Calculateur!CG146*Calculateur!CI146*VLOOKUP('Données projet'!$B$12,Paramètres!$A$1:$I$89,3,0)*0.475*44/12</f>
        <v>25.181659772245006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68.420179772201038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257.00000000000006</v>
      </c>
      <c r="CU146" s="17">
        <f>CT146*VLOOKUP('Données projet'!$B$13,Paramètres!$A$1:$I$89,3,0)*VLOOKUP('Données projet'!$B$13,Paramètres!$A$1:$I$89,5,0)</f>
        <v>168.38640000000004</v>
      </c>
      <c r="CV146" s="13">
        <f t="shared" si="149"/>
        <v>42.728430513203243</v>
      </c>
      <c r="CW146" s="20">
        <f t="shared" si="121"/>
        <v>367.69166314382898</v>
      </c>
      <c r="CX146" s="59">
        <f t="shared" si="122"/>
        <v>653.51932592114042</v>
      </c>
      <c r="CY146" s="59">
        <f ca="1">AVERAGE(OFFSET($CX$3,0,0,'Données projet'!$E$13+1,1))-AVERAGE(OFFSET($H$3,0,0,'Données projet'!$E$13+1,1))</f>
        <v>220.18342986563667</v>
      </c>
      <c r="CZ146" s="59">
        <f t="shared" si="150"/>
        <v>347.84382145531163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1.0101612665853041E-16</v>
      </c>
      <c r="DI146" s="22">
        <f t="shared" si="123"/>
        <v>1.0101612665853041E-16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5.7639226724859328E-14</v>
      </c>
      <c r="DQ146" s="13">
        <f t="shared" si="151"/>
        <v>9.2325701996134334E-13</v>
      </c>
      <c r="DR146" s="20">
        <f t="shared" si="124"/>
        <v>1.708394296311803E-12</v>
      </c>
      <c r="DS146" s="59">
        <f t="shared" si="125"/>
        <v>285.82766277731315</v>
      </c>
      <c r="DT146" s="59">
        <f ca="1">AVERAGE(OFFSET($DS$3,0,0,'Données projet'!$E$14+1,1))-AVERAGE(OFFSET($H$3,0,0,'Données projet'!$E$14+1,1))</f>
        <v>392.49465607243178</v>
      </c>
      <c r="DU146" s="59">
        <f t="shared" si="152"/>
        <v>258.031856676031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48.456962068916248</v>
      </c>
      <c r="EB146" s="21">
        <f>EXP(-LN(2)/25)*EB145+(1-EXP(-LN(2)/25))/(LN(2)/25)*Calculateur!DW146*Calculateur!DY146*VLOOKUP('Données projet'!$B$14,Paramètres!$A$1:$I$89,3,0)*0.475*44/12</f>
        <v>28.220825606826274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76.677787675742522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294.24530606293143</v>
      </c>
      <c r="EP146" s="59">
        <f t="shared" si="154"/>
        <v>275.88160405468193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40.988275890386035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40.988275890386035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1.1368683772161603E-13</v>
      </c>
      <c r="FF146" s="17">
        <f>FE146*VLOOKUP('Données projet'!$B$16,Paramètres!$A$1:$I$89,3,0)*VLOOKUP('Données projet'!$B$16,Paramètres!$A$1:$I$89,5,0)</f>
        <v>8.3355189417488869E-14</v>
      </c>
      <c r="FG146" s="13">
        <f t="shared" si="155"/>
        <v>1.2790518435140618E-12</v>
      </c>
      <c r="FH146" s="20">
        <f t="shared" si="130"/>
        <v>2.3728589156891171E-12</v>
      </c>
      <c r="FI146" s="59">
        <f t="shared" si="131"/>
        <v>285.82766277731383</v>
      </c>
      <c r="FJ146" s="59">
        <f ca="1">AVERAGE(OFFSET($FI$3,0,0,'Données projet'!$E$16+1,1))-AVERAGE(OFFSET($H$3,0,0,'Données projet'!$E$16+1,1))</f>
        <v>214.31585175697521</v>
      </c>
      <c r="FK146" s="59">
        <f t="shared" si="156"/>
        <v>244.60383864821372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19.035230195494787</v>
      </c>
      <c r="FR146" s="21">
        <f>EXP(-LN(2)/25)*FR145+(1-EXP(-LN(2)/25))/(LN(2)/25)*Calculateur!FM146*Calculateur!FO146*VLOOKUP('Données projet'!$B$16,Paramètres!$A$1:$I$89,3,0)*0.475*44/12</f>
        <v>0</v>
      </c>
      <c r="FS146" s="21">
        <f>EXP(-LN(2)/2)*FS145+(1-EXP(-LN(2)/2))/(LN(2)/2)*FM146*FP146*VLOOKUP('Données projet'!$B$16,Paramètres!$A$1:$I$89,3,0)*0.475*44/12</f>
        <v>0</v>
      </c>
      <c r="FT146" s="22">
        <f t="shared" si="132"/>
        <v>19.035230195494787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-5.6843418860808015E-14</v>
      </c>
      <c r="GA146" s="17">
        <f>FZ146*VLOOKUP('Données projet'!$B$17,Paramètres!$A$1:$I$89,3,0)*VLOOKUP('Données projet'!$B$17,Paramètres!$A$1:$I$89,5,0)</f>
        <v>-4.5224624045658861E-14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308.33954512886351</v>
      </c>
      <c r="GF146" s="59">
        <f t="shared" si="158"/>
        <v>408.79075392716277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26.357152739349047</v>
      </c>
      <c r="GM146" s="21">
        <f>EXP(-LN(2)/25)*GM145+(1-EXP(-LN(2)/25))/(LN(2)/25)*Calculateur!GH146*Calculateur!GJ146*VLOOKUP('Données projet'!$B$17,Paramètres!$A$1:$I$89,3,0)*0.475*44/12</f>
        <v>0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26.357152739349047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342.84342155097613</v>
      </c>
      <c r="T147" s="59">
        <f t="shared" si="142"/>
        <v>565.68976940602215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24.355030238806769</v>
      </c>
      <c r="AA147" s="21">
        <f>EXP(-LN(2)/25)*AA146+(1-EXP(-LN(2)/25))/(LN(2)/25)*Calculateur!V147*Calculateur!X147*VLOOKUP('Données projet'!$B$9,Paramètres!$A$1:$I$89,3,0)*0.475*44/12</f>
        <v>5.6762700599467673</v>
      </c>
      <c r="AB147" s="21">
        <f>EXP(-LN(2)/2)*AB146+(1-EXP(-LN(2)/2))/(LN(2)/2)*V147*Y147*VLOOKUP('Données projet'!$B$9,Paramètres!$A$1:$I$89,3,0)*0.475*44/12</f>
        <v>5.1988837658650958E-14</v>
      </c>
      <c r="AC147" s="22">
        <f t="shared" si="111"/>
        <v>30.031300298753589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320.33056209214476</v>
      </c>
      <c r="AO147" s="59">
        <f t="shared" si="144"/>
        <v>299.27200854723446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11.469325714811811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11.469325714811811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256.85706398254547</v>
      </c>
      <c r="BJ147" s="59">
        <f t="shared" si="146"/>
        <v>363.68094621014734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27.743049102992138</v>
      </c>
      <c r="BQ147" s="21">
        <f>EXP(-LN(2)/25)*BQ146+(1-EXP(-LN(2)/25))/(LN(2)/25)*Calculateur!BL147*Calculateur!BN147*VLOOKUP('Données projet'!$B$11,Paramètres!$A$1:$I$89,3,0)*0.475*44/12</f>
        <v>5.2544485132233918</v>
      </c>
      <c r="BR147" s="21">
        <f>EXP(-LN(2)/2)*BR146+(1-EXP(-LN(2)/2))/(LN(2)/2)*BL147*BO147*VLOOKUP('Données projet'!$B$11,Paramètres!$A$1:$I$89,3,0)*0.475*44/12</f>
        <v>4.9209408101192174E-12</v>
      </c>
      <c r="BS147" s="22">
        <f t="shared" si="117"/>
        <v>32.997497616220457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5.6843418860808015E-14</v>
      </c>
      <c r="BZ147" s="13">
        <f>BY147*VLOOKUP('Données projet'!$B$12,Paramètres!$A$1:$I$89,3,0)*VLOOKUP('Données projet'!$B$12,Paramètres!$A$1:$I$89,5,0)</f>
        <v>5.1431925385259088E-14</v>
      </c>
      <c r="CA147" s="13">
        <f t="shared" si="147"/>
        <v>8.3482866290946129E-13</v>
      </c>
      <c r="CB147" s="20">
        <f t="shared" si="118"/>
        <v>1.5435705246133045E-12</v>
      </c>
      <c r="CC147" s="59">
        <f t="shared" si="119"/>
        <v>285.95786938129442</v>
      </c>
      <c r="CD147" s="59">
        <f ca="1">AVERAGE(OFFSET($CC$3,0,0,'Données projet'!$E$12+1,1))-AVERAGE(OFFSET($H$3,0,0,'Données projet'!$E$12+1,1))</f>
        <v>357.68828740212223</v>
      </c>
      <c r="CE147" s="59">
        <f t="shared" si="148"/>
        <v>236.76626845829483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42.390638995649994</v>
      </c>
      <c r="CL147" s="21">
        <f>EXP(-LN(2)/25)*CL146+(1-EXP(-LN(2)/25))/(LN(2)/25)*Calculateur!CG147*Calculateur!CI147*VLOOKUP('Données projet'!$B$12,Paramètres!$A$1:$I$89,3,0)*0.475*44/12</f>
        <v>24.493065961527034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66.883704957177031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257.00000000000006</v>
      </c>
      <c r="CU147" s="17">
        <f>CT147*VLOOKUP('Données projet'!$B$13,Paramètres!$A$1:$I$89,3,0)*VLOOKUP('Données projet'!$B$13,Paramètres!$A$1:$I$89,5,0)</f>
        <v>168.38640000000004</v>
      </c>
      <c r="CV147" s="13">
        <f t="shared" si="149"/>
        <v>42.728430513203243</v>
      </c>
      <c r="CW147" s="20">
        <f t="shared" si="121"/>
        <v>367.69166314382898</v>
      </c>
      <c r="CX147" s="59">
        <f t="shared" si="122"/>
        <v>653.64953252512191</v>
      </c>
      <c r="CY147" s="59">
        <f ca="1">AVERAGE(OFFSET($CX$3,0,0,'Données projet'!$E$13+1,1))-AVERAGE(OFFSET($H$3,0,0,'Données projet'!$E$13+1,1))</f>
        <v>220.18342986563667</v>
      </c>
      <c r="CZ147" s="59">
        <f t="shared" si="150"/>
        <v>347.84382145531163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7.1429188169446033E-17</v>
      </c>
      <c r="DI147" s="22">
        <f t="shared" si="123"/>
        <v>7.1429188169446033E-17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5.7639226724859328E-14</v>
      </c>
      <c r="DQ147" s="13">
        <f t="shared" si="151"/>
        <v>9.2325701996134334E-13</v>
      </c>
      <c r="DR147" s="20">
        <f t="shared" si="124"/>
        <v>1.708394296311803E-12</v>
      </c>
      <c r="DS147" s="59">
        <f t="shared" si="125"/>
        <v>285.95786938129459</v>
      </c>
      <c r="DT147" s="59">
        <f ca="1">AVERAGE(OFFSET($DS$3,0,0,'Données projet'!$E$14+1,1))-AVERAGE(OFFSET($H$3,0,0,'Données projet'!$E$14+1,1))</f>
        <v>392.49465607243178</v>
      </c>
      <c r="DU147" s="59">
        <f t="shared" si="152"/>
        <v>258.031856676031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47.506750598573269</v>
      </c>
      <c r="EB147" s="21">
        <f>EXP(-LN(2)/25)*EB146+(1-EXP(-LN(2)/25))/(LN(2)/25)*Calculateur!DW147*Calculateur!DY147*VLOOKUP('Données projet'!$B$14,Paramètres!$A$1:$I$89,3,0)*0.475*44/12</f>
        <v>27.449125646538892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74.955876245112165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294.24530606293143</v>
      </c>
      <c r="EP147" s="59">
        <f t="shared" si="154"/>
        <v>275.88160405468193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40.184520800555276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40.184520800555276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1.1368683772161603E-13</v>
      </c>
      <c r="FF147" s="17">
        <f>FE147*VLOOKUP('Données projet'!$B$16,Paramètres!$A$1:$I$89,3,0)*VLOOKUP('Données projet'!$B$16,Paramètres!$A$1:$I$89,5,0)</f>
        <v>8.3355189417488869E-14</v>
      </c>
      <c r="FG147" s="13">
        <f t="shared" si="155"/>
        <v>1.2790518435140618E-12</v>
      </c>
      <c r="FH147" s="20">
        <f t="shared" si="130"/>
        <v>2.3728589156891171E-12</v>
      </c>
      <c r="FI147" s="59">
        <f t="shared" si="131"/>
        <v>285.95786938129527</v>
      </c>
      <c r="FJ147" s="59">
        <f ca="1">AVERAGE(OFFSET($FI$3,0,0,'Données projet'!$E$16+1,1))-AVERAGE(OFFSET($H$3,0,0,'Données projet'!$E$16+1,1))</f>
        <v>214.31585175697521</v>
      </c>
      <c r="FK147" s="59">
        <f t="shared" si="156"/>
        <v>244.60383864821372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18.661960941705129</v>
      </c>
      <c r="FR147" s="21">
        <f>EXP(-LN(2)/25)*FR146+(1-EXP(-LN(2)/25))/(LN(2)/25)*Calculateur!FM147*Calculateur!FO147*VLOOKUP('Données projet'!$B$16,Paramètres!$A$1:$I$89,3,0)*0.475*44/12</f>
        <v>0</v>
      </c>
      <c r="FS147" s="21">
        <f>EXP(-LN(2)/2)*FS146+(1-EXP(-LN(2)/2))/(LN(2)/2)*FM147*FP147*VLOOKUP('Données projet'!$B$16,Paramètres!$A$1:$I$89,3,0)*0.475*44/12</f>
        <v>0</v>
      </c>
      <c r="FT147" s="22">
        <f t="shared" si="132"/>
        <v>18.661960941705129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-5.6843418860808015E-14</v>
      </c>
      <c r="GA147" s="17">
        <f>FZ147*VLOOKUP('Données projet'!$B$17,Paramètres!$A$1:$I$89,3,0)*VLOOKUP('Données projet'!$B$17,Paramètres!$A$1:$I$89,5,0)</f>
        <v>-4.5224624045658861E-14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308.33954512886351</v>
      </c>
      <c r="GF147" s="59">
        <f t="shared" si="158"/>
        <v>408.79075392716277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25.840305050406183</v>
      </c>
      <c r="GM147" s="21">
        <f>EXP(-LN(2)/25)*GM146+(1-EXP(-LN(2)/25))/(LN(2)/25)*Calculateur!GH147*Calculateur!GJ147*VLOOKUP('Données projet'!$B$17,Paramètres!$A$1:$I$89,3,0)*0.475*44/12</f>
        <v>0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25.840305050406183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342.84342155097613</v>
      </c>
      <c r="T148" s="59">
        <f t="shared" si="142"/>
        <v>565.68976940602215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23.877442950925396</v>
      </c>
      <c r="AA148" s="21">
        <f>EXP(-LN(2)/25)*AA147+(1-EXP(-LN(2)/25))/(LN(2)/25)*Calculateur!V148*Calculateur!X148*VLOOKUP('Données projet'!$B$9,Paramètres!$A$1:$I$89,3,0)*0.475*44/12</f>
        <v>5.521052156655454</v>
      </c>
      <c r="AB148" s="21">
        <f>EXP(-LN(2)/2)*AB147+(1-EXP(-LN(2)/2))/(LN(2)/2)*V148*Y148*VLOOKUP('Données projet'!$B$9,Paramètres!$A$1:$I$89,3,0)*0.475*44/12</f>
        <v>3.6761659654438645E-14</v>
      </c>
      <c r="AC148" s="22">
        <f t="shared" si="111"/>
        <v>29.398495107580885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320.33056209214476</v>
      </c>
      <c r="AO148" s="59">
        <f t="shared" si="144"/>
        <v>299.27200854723446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11.155696399994657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11.155696399994657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256.85706398254547</v>
      </c>
      <c r="BJ148" s="59">
        <f t="shared" si="146"/>
        <v>363.68094621014734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27.199024831671547</v>
      </c>
      <c r="BQ148" s="21">
        <f>EXP(-LN(2)/25)*BQ147+(1-EXP(-LN(2)/25))/(LN(2)/25)*Calculateur!BL148*Calculateur!BN148*VLOOKUP('Données projet'!$B$11,Paramètres!$A$1:$I$89,3,0)*0.475*44/12</f>
        <v>5.1107653423098602</v>
      </c>
      <c r="BR148" s="21">
        <f>EXP(-LN(2)/2)*BR147+(1-EXP(-LN(2)/2))/(LN(2)/2)*BL148*BO148*VLOOKUP('Données projet'!$B$11,Paramètres!$A$1:$I$89,3,0)*0.475*44/12</f>
        <v>3.4796306166529214E-12</v>
      </c>
      <c r="BS148" s="22">
        <f t="shared" si="117"/>
        <v>32.309790173984887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5.6843418860808015E-14</v>
      </c>
      <c r="BZ148" s="13">
        <f>BY148*VLOOKUP('Données projet'!$B$12,Paramètres!$A$1:$I$89,3,0)*VLOOKUP('Données projet'!$B$12,Paramètres!$A$1:$I$89,5,0)</f>
        <v>5.1431925385259088E-14</v>
      </c>
      <c r="CA148" s="13">
        <f t="shared" si="147"/>
        <v>8.3482866290946129E-13</v>
      </c>
      <c r="CB148" s="20">
        <f t="shared" si="118"/>
        <v>1.5435705246133045E-12</v>
      </c>
      <c r="CC148" s="59">
        <f t="shared" si="119"/>
        <v>286.08581719179512</v>
      </c>
      <c r="CD148" s="59">
        <f ca="1">AVERAGE(OFFSET($CC$3,0,0,'Données projet'!$E$12+1,1))-AVERAGE(OFFSET($H$3,0,0,'Données projet'!$E$12+1,1))</f>
        <v>357.68828740212223</v>
      </c>
      <c r="CE148" s="59">
        <f t="shared" si="148"/>
        <v>236.76626845829483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41.559384420682044</v>
      </c>
      <c r="CL148" s="21">
        <f>EXP(-LN(2)/25)*CL147+(1-EXP(-LN(2)/25))/(LN(2)/25)*Calculateur!CG148*Calculateur!CI148*VLOOKUP('Données projet'!$B$12,Paramètres!$A$1:$I$89,3,0)*0.475*44/12</f>
        <v>23.823301784774717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65.382686205456764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257.00000000000006</v>
      </c>
      <c r="CU148" s="17">
        <f>CT148*VLOOKUP('Données projet'!$B$13,Paramètres!$A$1:$I$89,3,0)*VLOOKUP('Données projet'!$B$13,Paramètres!$A$1:$I$89,5,0)</f>
        <v>168.38640000000004</v>
      </c>
      <c r="CV148" s="13">
        <f t="shared" si="149"/>
        <v>42.728430513203243</v>
      </c>
      <c r="CW148" s="20">
        <f t="shared" si="121"/>
        <v>367.69166314382898</v>
      </c>
      <c r="CX148" s="59">
        <f t="shared" si="122"/>
        <v>653.77748033562261</v>
      </c>
      <c r="CY148" s="59">
        <f ca="1">AVERAGE(OFFSET($CX$3,0,0,'Données projet'!$E$13+1,1))-AVERAGE(OFFSET($H$3,0,0,'Données projet'!$E$13+1,1))</f>
        <v>220.18342986563667</v>
      </c>
      <c r="CZ148" s="59">
        <f t="shared" si="150"/>
        <v>347.84382145531163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5.0508063329265206E-17</v>
      </c>
      <c r="DI148" s="22">
        <f t="shared" si="123"/>
        <v>5.0508063329265206E-17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5.7639226724859328E-14</v>
      </c>
      <c r="DQ148" s="13">
        <f t="shared" si="151"/>
        <v>9.2325701996134334E-13</v>
      </c>
      <c r="DR148" s="20">
        <f t="shared" si="124"/>
        <v>1.708394296311803E-12</v>
      </c>
      <c r="DS148" s="59">
        <f t="shared" si="125"/>
        <v>286.08581719179529</v>
      </c>
      <c r="DT148" s="59">
        <f ca="1">AVERAGE(OFFSET($DS$3,0,0,'Données projet'!$E$14+1,1))-AVERAGE(OFFSET($H$3,0,0,'Données projet'!$E$14+1,1))</f>
        <v>392.49465607243178</v>
      </c>
      <c r="DU148" s="59">
        <f t="shared" si="152"/>
        <v>258.031856676031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46.575172195591946</v>
      </c>
      <c r="EB148" s="21">
        <f>EXP(-LN(2)/25)*EB147+(1-EXP(-LN(2)/25))/(LN(2)/25)*Calculateur!DW148*Calculateur!DY148*VLOOKUP('Données projet'!$B$14,Paramètres!$A$1:$I$89,3,0)*0.475*44/12</f>
        <v>26.698527862247506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73.273700057839449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294.24530606293143</v>
      </c>
      <c r="EP148" s="59">
        <f t="shared" si="154"/>
        <v>275.88160405468193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39.396526857793901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39.396526857793901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1.1368683772161603E-13</v>
      </c>
      <c r="FF148" s="17">
        <f>FE148*VLOOKUP('Données projet'!$B$16,Paramètres!$A$1:$I$89,3,0)*VLOOKUP('Données projet'!$B$16,Paramètres!$A$1:$I$89,5,0)</f>
        <v>8.3355189417488869E-14</v>
      </c>
      <c r="FG148" s="13">
        <f t="shared" si="155"/>
        <v>1.2790518435140618E-12</v>
      </c>
      <c r="FH148" s="20">
        <f t="shared" si="130"/>
        <v>2.3728589156891171E-12</v>
      </c>
      <c r="FI148" s="59">
        <f t="shared" si="131"/>
        <v>286.08581719179597</v>
      </c>
      <c r="FJ148" s="59">
        <f ca="1">AVERAGE(OFFSET($FI$3,0,0,'Données projet'!$E$16+1,1))-AVERAGE(OFFSET($H$3,0,0,'Données projet'!$E$16+1,1))</f>
        <v>214.31585175697521</v>
      </c>
      <c r="FK148" s="59">
        <f t="shared" si="156"/>
        <v>244.60383864821372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18.296011270310519</v>
      </c>
      <c r="FR148" s="21">
        <f>EXP(-LN(2)/25)*FR147+(1-EXP(-LN(2)/25))/(LN(2)/25)*Calculateur!FM148*Calculateur!FO148*VLOOKUP('Données projet'!$B$16,Paramètres!$A$1:$I$89,3,0)*0.475*44/12</f>
        <v>0</v>
      </c>
      <c r="FS148" s="21">
        <f>EXP(-LN(2)/2)*FS147+(1-EXP(-LN(2)/2))/(LN(2)/2)*FM148*FP148*VLOOKUP('Données projet'!$B$16,Paramètres!$A$1:$I$89,3,0)*0.475*44/12</f>
        <v>0</v>
      </c>
      <c r="FT148" s="22">
        <f t="shared" si="132"/>
        <v>18.296011270310519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-5.6843418860808015E-14</v>
      </c>
      <c r="GA148" s="17">
        <f>FZ148*VLOOKUP('Données projet'!$B$17,Paramètres!$A$1:$I$89,3,0)*VLOOKUP('Données projet'!$B$17,Paramètres!$A$1:$I$89,5,0)</f>
        <v>-4.5224624045658861E-14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308.33954512886351</v>
      </c>
      <c r="GF148" s="59">
        <f t="shared" si="158"/>
        <v>408.79075392716277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25.333592429397527</v>
      </c>
      <c r="GM148" s="21">
        <f>EXP(-LN(2)/25)*GM147+(1-EXP(-LN(2)/25))/(LN(2)/25)*Calculateur!GH148*Calculateur!GJ148*VLOOKUP('Données projet'!$B$17,Paramètres!$A$1:$I$89,3,0)*0.475*44/12</f>
        <v>0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25.333592429397527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342.84342155097613</v>
      </c>
      <c r="T149" s="59">
        <f t="shared" si="142"/>
        <v>565.68976940602215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23.409220858459893</v>
      </c>
      <c r="AA149" s="21">
        <f>EXP(-LN(2)/25)*AA148+(1-EXP(-LN(2)/25))/(LN(2)/25)*Calculateur!V149*Calculateur!X149*VLOOKUP('Données projet'!$B$9,Paramètres!$A$1:$I$89,3,0)*0.475*44/12</f>
        <v>5.3700786950921966</v>
      </c>
      <c r="AB149" s="21">
        <f>EXP(-LN(2)/2)*AB148+(1-EXP(-LN(2)/2))/(LN(2)/2)*V149*Y149*VLOOKUP('Données projet'!$B$9,Paramètres!$A$1:$I$89,3,0)*0.475*44/12</f>
        <v>2.5994418829325479E-14</v>
      </c>
      <c r="AC149" s="22">
        <f t="shared" si="111"/>
        <v>28.779299553552114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320.33056209214476</v>
      </c>
      <c r="AO149" s="59">
        <f t="shared" si="144"/>
        <v>299.27200854723446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10.850643295284225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10.850643295284225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256.85706398254547</v>
      </c>
      <c r="BJ149" s="59">
        <f t="shared" si="146"/>
        <v>363.68094621014734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26.665668544489513</v>
      </c>
      <c r="BQ149" s="21">
        <f>EXP(-LN(2)/25)*BQ148+(1-EXP(-LN(2)/25))/(LN(2)/25)*Calculateur!BL149*Calculateur!BN149*VLOOKUP('Données projet'!$B$11,Paramètres!$A$1:$I$89,3,0)*0.475*44/12</f>
        <v>4.9710111952609282</v>
      </c>
      <c r="BR149" s="21">
        <f>EXP(-LN(2)/2)*BR148+(1-EXP(-LN(2)/2))/(LN(2)/2)*BL149*BO149*VLOOKUP('Données projet'!$B$11,Paramètres!$A$1:$I$89,3,0)*0.475*44/12</f>
        <v>2.4604704050596087E-12</v>
      </c>
      <c r="BS149" s="22">
        <f t="shared" si="117"/>
        <v>31.636679739752903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5.6843418860808015E-14</v>
      </c>
      <c r="BZ149" s="13">
        <f>BY149*VLOOKUP('Données projet'!$B$12,Paramètres!$A$1:$I$89,3,0)*VLOOKUP('Données projet'!$B$12,Paramètres!$A$1:$I$89,5,0)</f>
        <v>5.1431925385259088E-14</v>
      </c>
      <c r="CA149" s="13">
        <f t="shared" si="147"/>
        <v>8.3482866290946129E-13</v>
      </c>
      <c r="CB149" s="20">
        <f t="shared" si="118"/>
        <v>1.5435705246133045E-12</v>
      </c>
      <c r="CC149" s="59">
        <f t="shared" si="119"/>
        <v>286.21154539383218</v>
      </c>
      <c r="CD149" s="59">
        <f ca="1">AVERAGE(OFFSET($CC$3,0,0,'Données projet'!$E$12+1,1))-AVERAGE(OFFSET($H$3,0,0,'Données projet'!$E$12+1,1))</f>
        <v>357.68828740212223</v>
      </c>
      <c r="CE149" s="59">
        <f t="shared" si="148"/>
        <v>236.76626845829483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40.744430240913985</v>
      </c>
      <c r="CL149" s="21">
        <f>EXP(-LN(2)/25)*CL148+(1-EXP(-LN(2)/25))/(LN(2)/25)*Calculateur!CG149*Calculateur!CI149*VLOOKUP('Données projet'!$B$12,Paramètres!$A$1:$I$89,3,0)*0.475*44/12</f>
        <v>23.171852344657061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63.916282585571047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257.00000000000006</v>
      </c>
      <c r="CU149" s="17">
        <f>CT149*VLOOKUP('Données projet'!$B$13,Paramètres!$A$1:$I$89,3,0)*VLOOKUP('Données projet'!$B$13,Paramètres!$A$1:$I$89,5,0)</f>
        <v>168.38640000000004</v>
      </c>
      <c r="CV149" s="13">
        <f t="shared" si="149"/>
        <v>42.728430513203243</v>
      </c>
      <c r="CW149" s="20">
        <f t="shared" si="121"/>
        <v>367.69166314382898</v>
      </c>
      <c r="CX149" s="59">
        <f t="shared" si="122"/>
        <v>653.90320853765957</v>
      </c>
      <c r="CY149" s="59">
        <f ca="1">AVERAGE(OFFSET($CX$3,0,0,'Données projet'!$E$13+1,1))-AVERAGE(OFFSET($H$3,0,0,'Données projet'!$E$13+1,1))</f>
        <v>220.18342986563667</v>
      </c>
      <c r="CZ149" s="59">
        <f t="shared" si="150"/>
        <v>347.84382145531163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3.5714594084723016E-17</v>
      </c>
      <c r="DI149" s="22">
        <f t="shared" si="123"/>
        <v>3.5714594084723016E-17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5.7639226724859328E-14</v>
      </c>
      <c r="DQ149" s="13">
        <f t="shared" si="151"/>
        <v>9.2325701996134334E-13</v>
      </c>
      <c r="DR149" s="20">
        <f t="shared" si="124"/>
        <v>1.708394296311803E-12</v>
      </c>
      <c r="DS149" s="59">
        <f t="shared" si="125"/>
        <v>286.21154539383235</v>
      </c>
      <c r="DT149" s="59">
        <f ca="1">AVERAGE(OFFSET($DS$3,0,0,'Données projet'!$E$14+1,1))-AVERAGE(OFFSET($H$3,0,0,'Données projet'!$E$14+1,1))</f>
        <v>392.49465607243178</v>
      </c>
      <c r="DU149" s="59">
        <f t="shared" si="152"/>
        <v>258.031856676031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45.661861476886365</v>
      </c>
      <c r="EB149" s="21">
        <f>EXP(-LN(2)/25)*EB148+(1-EXP(-LN(2)/25))/(LN(2)/25)*Calculateur!DW149*Calculateur!DY149*VLOOKUP('Données projet'!$B$14,Paramètres!$A$1:$I$89,3,0)*0.475*44/12</f>
        <v>25.968455213839789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71.630316690726147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294.24530606293143</v>
      </c>
      <c r="EP149" s="59">
        <f t="shared" si="154"/>
        <v>275.88160405468193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38.623984995621228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38.623984995621228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1.1368683772161603E-13</v>
      </c>
      <c r="FF149" s="17">
        <f>FE149*VLOOKUP('Données projet'!$B$16,Paramètres!$A$1:$I$89,3,0)*VLOOKUP('Données projet'!$B$16,Paramètres!$A$1:$I$89,5,0)</f>
        <v>8.3355189417488869E-14</v>
      </c>
      <c r="FG149" s="13">
        <f t="shared" si="155"/>
        <v>1.2790518435140618E-12</v>
      </c>
      <c r="FH149" s="20">
        <f t="shared" si="130"/>
        <v>2.3728589156891171E-12</v>
      </c>
      <c r="FI149" s="59">
        <f t="shared" si="131"/>
        <v>286.21154539383303</v>
      </c>
      <c r="FJ149" s="59">
        <f ca="1">AVERAGE(OFFSET($FI$3,0,0,'Données projet'!$E$16+1,1))-AVERAGE(OFFSET($H$3,0,0,'Données projet'!$E$16+1,1))</f>
        <v>214.31585175697521</v>
      </c>
      <c r="FK149" s="59">
        <f t="shared" si="156"/>
        <v>244.60383864821372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17.9372376487647</v>
      </c>
      <c r="FR149" s="21">
        <f>EXP(-LN(2)/25)*FR148+(1-EXP(-LN(2)/25))/(LN(2)/25)*Calculateur!FM149*Calculateur!FO149*VLOOKUP('Données projet'!$B$16,Paramètres!$A$1:$I$89,3,0)*0.475*44/12</f>
        <v>0</v>
      </c>
      <c r="FS149" s="21">
        <f>EXP(-LN(2)/2)*FS148+(1-EXP(-LN(2)/2))/(LN(2)/2)*FM149*FP149*VLOOKUP('Données projet'!$B$16,Paramètres!$A$1:$I$89,3,0)*0.475*44/12</f>
        <v>0</v>
      </c>
      <c r="FT149" s="22">
        <f t="shared" si="132"/>
        <v>17.9372376487647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-5.6843418860808015E-14</v>
      </c>
      <c r="GA149" s="17">
        <f>FZ149*VLOOKUP('Données projet'!$B$17,Paramètres!$A$1:$I$89,3,0)*VLOOKUP('Données projet'!$B$17,Paramètres!$A$1:$I$89,5,0)</f>
        <v>-4.5224624045658861E-14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308.33954512886351</v>
      </c>
      <c r="GF149" s="59">
        <f t="shared" si="158"/>
        <v>408.79075392716277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24.836816133822669</v>
      </c>
      <c r="GM149" s="21">
        <f>EXP(-LN(2)/25)*GM148+(1-EXP(-LN(2)/25))/(LN(2)/25)*Calculateur!GH149*Calculateur!GJ149*VLOOKUP('Données projet'!$B$17,Paramètres!$A$1:$I$89,3,0)*0.475*44/12</f>
        <v>0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24.836816133822669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342.84342155097613</v>
      </c>
      <c r="T150" s="59">
        <f t="shared" si="142"/>
        <v>565.68976940602215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22.95018031564036</v>
      </c>
      <c r="AA150" s="21">
        <f>EXP(-LN(2)/25)*AA149+(1-EXP(-LN(2)/25))/(LN(2)/25)*Calculateur!V150*Calculateur!X150*VLOOKUP('Données projet'!$B$9,Paramètres!$A$1:$I$89,3,0)*0.475*44/12</f>
        <v>5.2232336107747352</v>
      </c>
      <c r="AB150" s="21">
        <f>EXP(-LN(2)/2)*AB149+(1-EXP(-LN(2)/2))/(LN(2)/2)*V150*Y150*VLOOKUP('Données projet'!$B$9,Paramètres!$A$1:$I$89,3,0)*0.475*44/12</f>
        <v>1.8380829827219322E-14</v>
      </c>
      <c r="AC150" s="22">
        <f t="shared" si="111"/>
        <v>28.173413926415112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320.33056209214476</v>
      </c>
      <c r="AO150" s="59">
        <f t="shared" si="144"/>
        <v>299.27200854723446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10.553931883764147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10.553931883764147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256.85706398254547</v>
      </c>
      <c r="BJ150" s="59">
        <f t="shared" si="146"/>
        <v>363.68094621014734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26.142771048783906</v>
      </c>
      <c r="BQ150" s="21">
        <f>EXP(-LN(2)/25)*BQ149+(1-EXP(-LN(2)/25))/(LN(2)/25)*Calculateur!BL150*Calculateur!BN150*VLOOKUP('Données projet'!$B$11,Paramètres!$A$1:$I$89,3,0)*0.475*44/12</f>
        <v>4.8350786327124009</v>
      </c>
      <c r="BR150" s="21">
        <f>EXP(-LN(2)/2)*BR149+(1-EXP(-LN(2)/2))/(LN(2)/2)*BL150*BO150*VLOOKUP('Données projet'!$B$11,Paramètres!$A$1:$I$89,3,0)*0.475*44/12</f>
        <v>1.7398153083264607E-12</v>
      </c>
      <c r="BS150" s="22">
        <f t="shared" si="117"/>
        <v>30.97784968149805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5.6843418860808015E-14</v>
      </c>
      <c r="BZ150" s="13">
        <f>BY150*VLOOKUP('Données projet'!$B$12,Paramètres!$A$1:$I$89,3,0)*VLOOKUP('Données projet'!$B$12,Paramètres!$A$1:$I$89,5,0)</f>
        <v>5.1431925385259088E-14</v>
      </c>
      <c r="CA150" s="13">
        <f t="shared" si="147"/>
        <v>8.3482866290946129E-13</v>
      </c>
      <c r="CB150" s="20">
        <f t="shared" si="118"/>
        <v>1.5435705246133045E-12</v>
      </c>
      <c r="CC150" s="59">
        <f t="shared" si="119"/>
        <v>286.33509249264995</v>
      </c>
      <c r="CD150" s="59">
        <f ca="1">AVERAGE(OFFSET($CC$3,0,0,'Données projet'!$E$12+1,1))-AVERAGE(OFFSET($H$3,0,0,'Données projet'!$E$12+1,1))</f>
        <v>357.68828740212223</v>
      </c>
      <c r="CE150" s="59">
        <f t="shared" si="148"/>
        <v>236.76626845829483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39.945456815538215</v>
      </c>
      <c r="CL150" s="21">
        <f>EXP(-LN(2)/25)*CL149+(1-EXP(-LN(2)/25))/(LN(2)/25)*Calculateur!CG150*Calculateur!CI150*VLOOKUP('Données projet'!$B$12,Paramètres!$A$1:$I$89,3,0)*0.475*44/12</f>
        <v>22.53821682373766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62.483673639275878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257.00000000000006</v>
      </c>
      <c r="CU150" s="17">
        <f>CT150*VLOOKUP('Données projet'!$B$13,Paramètres!$A$1:$I$89,3,0)*VLOOKUP('Données projet'!$B$13,Paramètres!$A$1:$I$89,5,0)</f>
        <v>168.38640000000004</v>
      </c>
      <c r="CV150" s="13">
        <f t="shared" si="149"/>
        <v>42.728430513203243</v>
      </c>
      <c r="CW150" s="20">
        <f t="shared" si="121"/>
        <v>367.69166314382898</v>
      </c>
      <c r="CX150" s="59">
        <f t="shared" si="122"/>
        <v>654.02675563647745</v>
      </c>
      <c r="CY150" s="59">
        <f ca="1">AVERAGE(OFFSET($CX$3,0,0,'Données projet'!$E$13+1,1))-AVERAGE(OFFSET($H$3,0,0,'Données projet'!$E$13+1,1))</f>
        <v>220.18342986563667</v>
      </c>
      <c r="CZ150" s="59">
        <f t="shared" si="150"/>
        <v>347.84382145531163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2.5254031664632603E-17</v>
      </c>
      <c r="DI150" s="22">
        <f t="shared" si="123"/>
        <v>2.5254031664632603E-17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5.7639226724859328E-14</v>
      </c>
      <c r="DQ150" s="13">
        <f t="shared" si="151"/>
        <v>9.2325701996134334E-13</v>
      </c>
      <c r="DR150" s="20">
        <f t="shared" si="124"/>
        <v>1.708394296311803E-12</v>
      </c>
      <c r="DS150" s="59">
        <f t="shared" si="125"/>
        <v>286.33509249265012</v>
      </c>
      <c r="DT150" s="59">
        <f ca="1">AVERAGE(OFFSET($DS$3,0,0,'Données projet'!$E$14+1,1))-AVERAGE(OFFSET($H$3,0,0,'Données projet'!$E$14+1,1))</f>
        <v>392.49465607243178</v>
      </c>
      <c r="DU150" s="59">
        <f t="shared" si="152"/>
        <v>258.031856676031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44.766460224310066</v>
      </c>
      <c r="EB150" s="21">
        <f>EXP(-LN(2)/25)*EB149+(1-EXP(-LN(2)/25))/(LN(2)/25)*Calculateur!DW150*Calculateur!DY150*VLOOKUP('Données projet'!$B$14,Paramètres!$A$1:$I$89,3,0)*0.475*44/12</f>
        <v>25.258346440395631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70.024806664705693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294.24530606293143</v>
      </c>
      <c r="EP150" s="59">
        <f t="shared" si="154"/>
        <v>275.88160405468193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37.866592208161755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37.866592208161755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1.1368683772161603E-13</v>
      </c>
      <c r="FF150" s="17">
        <f>FE150*VLOOKUP('Données projet'!$B$16,Paramètres!$A$1:$I$89,3,0)*VLOOKUP('Données projet'!$B$16,Paramètres!$A$1:$I$89,5,0)</f>
        <v>8.3355189417488869E-14</v>
      </c>
      <c r="FG150" s="13">
        <f t="shared" si="155"/>
        <v>1.2790518435140618E-12</v>
      </c>
      <c r="FH150" s="20">
        <f t="shared" si="130"/>
        <v>2.3728589156891171E-12</v>
      </c>
      <c r="FI150" s="59">
        <f t="shared" si="131"/>
        <v>286.3350924926508</v>
      </c>
      <c r="FJ150" s="59">
        <f ca="1">AVERAGE(OFFSET($FI$3,0,0,'Données projet'!$E$16+1,1))-AVERAGE(OFFSET($H$3,0,0,'Données projet'!$E$16+1,1))</f>
        <v>214.31585175697521</v>
      </c>
      <c r="FK150" s="59">
        <f t="shared" si="156"/>
        <v>244.60383864821372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17.585499359107093</v>
      </c>
      <c r="FR150" s="21">
        <f>EXP(-LN(2)/25)*FR149+(1-EXP(-LN(2)/25))/(LN(2)/25)*Calculateur!FM150*Calculateur!FO150*VLOOKUP('Données projet'!$B$16,Paramètres!$A$1:$I$89,3,0)*0.475*44/12</f>
        <v>0</v>
      </c>
      <c r="FS150" s="21">
        <f>EXP(-LN(2)/2)*FS149+(1-EXP(-LN(2)/2))/(LN(2)/2)*FM150*FP150*VLOOKUP('Données projet'!$B$16,Paramètres!$A$1:$I$89,3,0)*0.475*44/12</f>
        <v>0</v>
      </c>
      <c r="FT150" s="22">
        <f t="shared" si="132"/>
        <v>17.585499359107093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-5.6843418860808015E-14</v>
      </c>
      <c r="GA150" s="17">
        <f>FZ150*VLOOKUP('Données projet'!$B$17,Paramètres!$A$1:$I$89,3,0)*VLOOKUP('Données projet'!$B$17,Paramètres!$A$1:$I$89,5,0)</f>
        <v>-4.5224624045658861E-14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308.33954512886351</v>
      </c>
      <c r="GF150" s="59">
        <f t="shared" si="158"/>
        <v>408.79075392716277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24.349781318400414</v>
      </c>
      <c r="GM150" s="21">
        <f>EXP(-LN(2)/25)*GM149+(1-EXP(-LN(2)/25))/(LN(2)/25)*Calculateur!GH150*Calculateur!GJ150*VLOOKUP('Données projet'!$B$17,Paramètres!$A$1:$I$89,3,0)*0.475*44/12</f>
        <v>0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24.349781318400414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342.84342155097613</v>
      </c>
      <c r="T151" s="59">
        <f t="shared" si="142"/>
        <v>565.68976940602215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22.500141277878434</v>
      </c>
      <c r="AA151" s="21">
        <f>EXP(-LN(2)/25)*AA150+(1-EXP(-LN(2)/25))/(LN(2)/25)*Calculateur!V151*Calculateur!X151*VLOOKUP('Données projet'!$B$9,Paramètres!$A$1:$I$89,3,0)*0.475*44/12</f>
        <v>5.080404013010182</v>
      </c>
      <c r="AB151" s="21">
        <f>EXP(-LN(2)/2)*AB150+(1-EXP(-LN(2)/2))/(LN(2)/2)*V151*Y151*VLOOKUP('Données projet'!$B$9,Paramètres!$A$1:$I$89,3,0)*0.475*44/12</f>
        <v>1.299720941466274E-14</v>
      </c>
      <c r="AC151" s="22">
        <f t="shared" si="111"/>
        <v>27.580545290888629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320.33056209214476</v>
      </c>
      <c r="AO151" s="59">
        <f t="shared" si="144"/>
        <v>299.27200854723446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10.26533406139546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10.26533406139546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256.85706398254547</v>
      </c>
      <c r="BJ151" s="59">
        <f t="shared" si="146"/>
        <v>363.68094621014734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25.630127254033106</v>
      </c>
      <c r="BQ151" s="21">
        <f>EXP(-LN(2)/25)*BQ150+(1-EXP(-LN(2)/25))/(LN(2)/25)*Calculateur!BL151*Calculateur!BN151*VLOOKUP('Données projet'!$B$11,Paramètres!$A$1:$I$89,3,0)*0.475*44/12</f>
        <v>4.7028631532351461</v>
      </c>
      <c r="BR151" s="21">
        <f>EXP(-LN(2)/2)*BR150+(1-EXP(-LN(2)/2))/(LN(2)/2)*BL151*BO151*VLOOKUP('Données projet'!$B$11,Paramètres!$A$1:$I$89,3,0)*0.475*44/12</f>
        <v>1.2302352025298043E-12</v>
      </c>
      <c r="BS151" s="22">
        <f t="shared" si="117"/>
        <v>30.332990407269481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5.6843418860808015E-14</v>
      </c>
      <c r="BZ151" s="13">
        <f>BY151*VLOOKUP('Données projet'!$B$12,Paramètres!$A$1:$I$89,3,0)*VLOOKUP('Données projet'!$B$12,Paramètres!$A$1:$I$89,5,0)</f>
        <v>5.1431925385259088E-14</v>
      </c>
      <c r="CA151" s="13">
        <f t="shared" si="147"/>
        <v>8.3482866290946129E-13</v>
      </c>
      <c r="CB151" s="20">
        <f t="shared" si="118"/>
        <v>1.5435705246133045E-12</v>
      </c>
      <c r="CC151" s="59">
        <f t="shared" si="119"/>
        <v>286.45649632551323</v>
      </c>
      <c r="CD151" s="59">
        <f ca="1">AVERAGE(OFFSET($CC$3,0,0,'Données projet'!$E$12+1,1))-AVERAGE(OFFSET($H$3,0,0,'Données projet'!$E$12+1,1))</f>
        <v>357.68828740212223</v>
      </c>
      <c r="CE151" s="59">
        <f t="shared" si="148"/>
        <v>236.76626845829483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39.16215077170839</v>
      </c>
      <c r="CL151" s="21">
        <f>EXP(-LN(2)/25)*CL150+(1-EXP(-LN(2)/25))/(LN(2)/25)*Calculateur!CG151*Calculateur!CI151*VLOOKUP('Données projet'!$B$12,Paramètres!$A$1:$I$89,3,0)*0.475*44/12</f>
        <v>21.921908099459241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61.084058871167628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257.00000000000006</v>
      </c>
      <c r="CU151" s="17">
        <f>CT151*VLOOKUP('Données projet'!$B$13,Paramètres!$A$1:$I$89,3,0)*VLOOKUP('Données projet'!$B$13,Paramètres!$A$1:$I$89,5,0)</f>
        <v>168.38640000000004</v>
      </c>
      <c r="CV151" s="13">
        <f t="shared" si="149"/>
        <v>42.728430513203243</v>
      </c>
      <c r="CW151" s="20">
        <f t="shared" si="121"/>
        <v>367.69166314382898</v>
      </c>
      <c r="CX151" s="59">
        <f t="shared" si="122"/>
        <v>654.14815946934073</v>
      </c>
      <c r="CY151" s="59">
        <f ca="1">AVERAGE(OFFSET($CX$3,0,0,'Données projet'!$E$13+1,1))-AVERAGE(OFFSET($H$3,0,0,'Données projet'!$E$13+1,1))</f>
        <v>220.18342986563667</v>
      </c>
      <c r="CZ151" s="59">
        <f t="shared" si="150"/>
        <v>347.84382145531163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1.7857297042361508E-17</v>
      </c>
      <c r="DI151" s="22">
        <f t="shared" si="123"/>
        <v>1.7857297042361508E-17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5.7639226724859328E-14</v>
      </c>
      <c r="DQ151" s="13">
        <f t="shared" si="151"/>
        <v>9.2325701996134334E-13</v>
      </c>
      <c r="DR151" s="20">
        <f t="shared" si="124"/>
        <v>1.708394296311803E-12</v>
      </c>
      <c r="DS151" s="59">
        <f t="shared" si="125"/>
        <v>286.4564963255134</v>
      </c>
      <c r="DT151" s="59">
        <f ca="1">AVERAGE(OFFSET($DS$3,0,0,'Données projet'!$E$14+1,1))-AVERAGE(OFFSET($H$3,0,0,'Données projet'!$E$14+1,1))</f>
        <v>392.49465607243178</v>
      </c>
      <c r="DU151" s="59">
        <f t="shared" si="152"/>
        <v>258.031856676031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43.888617244155952</v>
      </c>
      <c r="EB151" s="21">
        <f>EXP(-LN(2)/25)*EB150+(1-EXP(-LN(2)/25))/(LN(2)/25)*Calculateur!DW151*Calculateur!DY151*VLOOKUP('Données projet'!$B$14,Paramètres!$A$1:$I$89,3,0)*0.475*44/12</f>
        <v>24.567655628704301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68.456272872860254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294.24530606293143</v>
      </c>
      <c r="EP151" s="59">
        <f t="shared" si="154"/>
        <v>275.88160405468193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37.124051431300373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37.124051431300373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1.1368683772161603E-13</v>
      </c>
      <c r="FF151" s="17">
        <f>FE151*VLOOKUP('Données projet'!$B$16,Paramètres!$A$1:$I$89,3,0)*VLOOKUP('Données projet'!$B$16,Paramètres!$A$1:$I$89,5,0)</f>
        <v>8.3355189417488869E-14</v>
      </c>
      <c r="FG151" s="13">
        <f t="shared" si="155"/>
        <v>1.2790518435140618E-12</v>
      </c>
      <c r="FH151" s="20">
        <f t="shared" si="130"/>
        <v>2.3728589156891171E-12</v>
      </c>
      <c r="FI151" s="59">
        <f t="shared" si="131"/>
        <v>286.45649632551408</v>
      </c>
      <c r="FJ151" s="59">
        <f ca="1">AVERAGE(OFFSET($FI$3,0,0,'Données projet'!$E$16+1,1))-AVERAGE(OFFSET($H$3,0,0,'Données projet'!$E$16+1,1))</f>
        <v>214.31585175697521</v>
      </c>
      <c r="FK151" s="59">
        <f t="shared" si="156"/>
        <v>244.60383864821372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17.240658442770499</v>
      </c>
      <c r="FR151" s="21">
        <f>EXP(-LN(2)/25)*FR150+(1-EXP(-LN(2)/25))/(LN(2)/25)*Calculateur!FM151*Calculateur!FO151*VLOOKUP('Données projet'!$B$16,Paramètres!$A$1:$I$89,3,0)*0.475*44/12</f>
        <v>0</v>
      </c>
      <c r="FS151" s="21">
        <f>EXP(-LN(2)/2)*FS150+(1-EXP(-LN(2)/2))/(LN(2)/2)*FM151*FP151*VLOOKUP('Données projet'!$B$16,Paramètres!$A$1:$I$89,3,0)*0.475*44/12</f>
        <v>0</v>
      </c>
      <c r="FT151" s="22">
        <f t="shared" si="132"/>
        <v>17.240658442770499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-5.6843418860808015E-14</v>
      </c>
      <c r="GA151" s="17">
        <f>FZ151*VLOOKUP('Données projet'!$B$17,Paramètres!$A$1:$I$89,3,0)*VLOOKUP('Données projet'!$B$17,Paramètres!$A$1:$I$89,5,0)</f>
        <v>-4.5224624045658861E-14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308.33954512886351</v>
      </c>
      <c r="GF151" s="59">
        <f t="shared" si="158"/>
        <v>408.79075392716277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23.872296958646682</v>
      </c>
      <c r="GM151" s="21">
        <f>EXP(-LN(2)/25)*GM150+(1-EXP(-LN(2)/25))/(LN(2)/25)*Calculateur!GH151*Calculateur!GJ151*VLOOKUP('Données projet'!$B$17,Paramètres!$A$1:$I$89,3,0)*0.475*44/12</f>
        <v>0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23.872296958646682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342.84342155097613</v>
      </c>
      <c r="T152" s="59">
        <f t="shared" si="142"/>
        <v>565.68976940602215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22.05892723115031</v>
      </c>
      <c r="AA152" s="21">
        <f>EXP(-LN(2)/25)*AA151+(1-EXP(-LN(2)/25))/(LN(2)/25)*Calculateur!V152*Calculateur!X152*VLOOKUP('Données projet'!$B$9,Paramètres!$A$1:$I$89,3,0)*0.475*44/12</f>
        <v>4.9414800981075828</v>
      </c>
      <c r="AB152" s="21">
        <f>EXP(-LN(2)/2)*AB151+(1-EXP(-LN(2)/2))/(LN(2)/2)*V152*Y152*VLOOKUP('Données projet'!$B$9,Paramètres!$A$1:$I$89,3,0)*0.475*44/12</f>
        <v>9.1904149136096611E-15</v>
      </c>
      <c r="AC152" s="22">
        <f t="shared" si="111"/>
        <v>27.000407329257904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320.33056209214476</v>
      </c>
      <c r="AO152" s="59">
        <f t="shared" si="144"/>
        <v>299.27200854723446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9.9846279616561446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9.9846279616561446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256.85706398254547</v>
      </c>
      <c r="BJ152" s="59">
        <f t="shared" si="146"/>
        <v>363.68094621014734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25.127536091415529</v>
      </c>
      <c r="BQ152" s="21">
        <f>EXP(-LN(2)/25)*BQ151+(1-EXP(-LN(2)/25))/(LN(2)/25)*Calculateur!BL152*Calculateur!BN152*VLOOKUP('Données projet'!$B$11,Paramètres!$A$1:$I$89,3,0)*0.475*44/12</f>
        <v>4.5742631129971061</v>
      </c>
      <c r="BR152" s="21">
        <f>EXP(-LN(2)/2)*BR151+(1-EXP(-LN(2)/2))/(LN(2)/2)*BL152*BO152*VLOOKUP('Données projet'!$B$11,Paramètres!$A$1:$I$89,3,0)*0.475*44/12</f>
        <v>8.6990765416323035E-13</v>
      </c>
      <c r="BS152" s="22">
        <f t="shared" si="117"/>
        <v>29.701799204413504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5.6843418860808015E-14</v>
      </c>
      <c r="BZ152" s="13">
        <f>BY152*VLOOKUP('Données projet'!$B$12,Paramètres!$A$1:$I$89,3,0)*VLOOKUP('Données projet'!$B$12,Paramètres!$A$1:$I$89,5,0)</f>
        <v>5.1431925385259088E-14</v>
      </c>
      <c r="CA152" s="13">
        <f t="shared" si="147"/>
        <v>8.3482866290946129E-13</v>
      </c>
      <c r="CB152" s="20">
        <f t="shared" si="118"/>
        <v>1.5435705246133045E-12</v>
      </c>
      <c r="CC152" s="59">
        <f t="shared" si="119"/>
        <v>286.57579407329462</v>
      </c>
      <c r="CD152" s="59">
        <f ca="1">AVERAGE(OFFSET($CC$3,0,0,'Données projet'!$E$12+1,1))-AVERAGE(OFFSET($H$3,0,0,'Données projet'!$E$12+1,1))</f>
        <v>357.68828740212223</v>
      </c>
      <c r="CE152" s="59">
        <f t="shared" si="148"/>
        <v>236.76626845829483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38.394204881628561</v>
      </c>
      <c r="CL152" s="21">
        <f>EXP(-LN(2)/25)*CL151+(1-EXP(-LN(2)/25))/(LN(2)/25)*Calculateur!CG152*Calculateur!CI152*VLOOKUP('Données projet'!$B$12,Paramètres!$A$1:$I$89,3,0)*0.475*44/12</f>
        <v>21.322452369656485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59.716657251285042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257.00000000000006</v>
      </c>
      <c r="CU152" s="17">
        <f>CT152*VLOOKUP('Données projet'!$B$13,Paramètres!$A$1:$I$89,3,0)*VLOOKUP('Données projet'!$B$13,Paramètres!$A$1:$I$89,5,0)</f>
        <v>168.38640000000004</v>
      </c>
      <c r="CV152" s="13">
        <f t="shared" si="149"/>
        <v>42.728430513203243</v>
      </c>
      <c r="CW152" s="20">
        <f t="shared" si="121"/>
        <v>367.69166314382898</v>
      </c>
      <c r="CX152" s="59">
        <f t="shared" si="122"/>
        <v>654.267457217122</v>
      </c>
      <c r="CY152" s="59">
        <f ca="1">AVERAGE(OFFSET($CX$3,0,0,'Données projet'!$E$13+1,1))-AVERAGE(OFFSET($H$3,0,0,'Données projet'!$E$13+1,1))</f>
        <v>220.18342986563667</v>
      </c>
      <c r="CZ152" s="59">
        <f t="shared" si="150"/>
        <v>347.84382145531163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1.2627015832316301E-17</v>
      </c>
      <c r="DI152" s="22">
        <f t="shared" si="123"/>
        <v>1.2627015832316301E-17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5.7639226724859328E-14</v>
      </c>
      <c r="DQ152" s="13">
        <f t="shared" si="151"/>
        <v>9.2325701996134334E-13</v>
      </c>
      <c r="DR152" s="20">
        <f t="shared" si="124"/>
        <v>1.708394296311803E-12</v>
      </c>
      <c r="DS152" s="59">
        <f t="shared" si="125"/>
        <v>286.57579407329479</v>
      </c>
      <c r="DT152" s="59">
        <f ca="1">AVERAGE(OFFSET($DS$3,0,0,'Données projet'!$E$14+1,1))-AVERAGE(OFFSET($H$3,0,0,'Données projet'!$E$14+1,1))</f>
        <v>392.49465607243178</v>
      </c>
      <c r="DU152" s="59">
        <f t="shared" si="152"/>
        <v>258.031856676031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43.027988229411314</v>
      </c>
      <c r="EB152" s="21">
        <f>EXP(-LN(2)/25)*EB151+(1-EXP(-LN(2)/25))/(LN(2)/25)*Calculateur!DW152*Calculateur!DY152*VLOOKUP('Données projet'!$B$14,Paramètres!$A$1:$I$89,3,0)*0.475*44/12</f>
        <v>23.895851793580523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66.92384002299184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294.24530606293143</v>
      </c>
      <c r="EP152" s="59">
        <f t="shared" si="154"/>
        <v>275.88160405468193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36.396071426168092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36.396071426168092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1.1368683772161603E-13</v>
      </c>
      <c r="FF152" s="17">
        <f>FE152*VLOOKUP('Données projet'!$B$16,Paramètres!$A$1:$I$89,3,0)*VLOOKUP('Données projet'!$B$16,Paramètres!$A$1:$I$89,5,0)</f>
        <v>8.3355189417488869E-14</v>
      </c>
      <c r="FG152" s="13">
        <f t="shared" si="155"/>
        <v>1.2790518435140618E-12</v>
      </c>
      <c r="FH152" s="20">
        <f t="shared" si="130"/>
        <v>2.3728589156891171E-12</v>
      </c>
      <c r="FI152" s="59">
        <f t="shared" si="131"/>
        <v>286.57579407329547</v>
      </c>
      <c r="FJ152" s="59">
        <f ca="1">AVERAGE(OFFSET($FI$3,0,0,'Données projet'!$E$16+1,1))-AVERAGE(OFFSET($H$3,0,0,'Données projet'!$E$16+1,1))</f>
        <v>214.31585175697521</v>
      </c>
      <c r="FK152" s="59">
        <f t="shared" si="156"/>
        <v>244.60383864821372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16.902579646471075</v>
      </c>
      <c r="FR152" s="21">
        <f>EXP(-LN(2)/25)*FR151+(1-EXP(-LN(2)/25))/(LN(2)/25)*Calculateur!FM152*Calculateur!FO152*VLOOKUP('Données projet'!$B$16,Paramètres!$A$1:$I$89,3,0)*0.475*44/12</f>
        <v>0</v>
      </c>
      <c r="FS152" s="21">
        <f>EXP(-LN(2)/2)*FS151+(1-EXP(-LN(2)/2))/(LN(2)/2)*FM152*FP152*VLOOKUP('Données projet'!$B$16,Paramètres!$A$1:$I$89,3,0)*0.475*44/12</f>
        <v>0</v>
      </c>
      <c r="FT152" s="22">
        <f t="shared" si="132"/>
        <v>16.902579646471075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-5.6843418860808015E-14</v>
      </c>
      <c r="GA152" s="17">
        <f>FZ152*VLOOKUP('Données projet'!$B$17,Paramètres!$A$1:$I$89,3,0)*VLOOKUP('Données projet'!$B$17,Paramètres!$A$1:$I$89,5,0)</f>
        <v>-4.5224624045658861E-14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308.33954512886351</v>
      </c>
      <c r="GF152" s="59">
        <f t="shared" si="158"/>
        <v>408.79075392716277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23.404175775951021</v>
      </c>
      <c r="GM152" s="21">
        <f>EXP(-LN(2)/25)*GM151+(1-EXP(-LN(2)/25))/(LN(2)/25)*Calculateur!GH152*Calculateur!GJ152*VLOOKUP('Données projet'!$B$17,Paramètres!$A$1:$I$89,3,0)*0.475*44/12</f>
        <v>0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23.404175775951021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342.84342155097613</v>
      </c>
      <c r="T153" s="59">
        <f t="shared" si="142"/>
        <v>565.68976940602215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21.626365122764529</v>
      </c>
      <c r="AA153" s="21">
        <f>EXP(-LN(2)/25)*AA152+(1-EXP(-LN(2)/25))/(LN(2)/25)*Calculateur!V153*Calculateur!X153*VLOOKUP('Données projet'!$B$9,Paramètres!$A$1:$I$89,3,0)*0.475*44/12</f>
        <v>4.8063550649636868</v>
      </c>
      <c r="AB153" s="21">
        <f>EXP(-LN(2)/2)*AB152+(1-EXP(-LN(2)/2))/(LN(2)/2)*V153*Y153*VLOOKUP('Données projet'!$B$9,Paramètres!$A$1:$I$89,3,0)*0.475*44/12</f>
        <v>6.4986047073313698E-15</v>
      </c>
      <c r="AC153" s="22">
        <f t="shared" si="111"/>
        <v>26.432720187728222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320.33056209214476</v>
      </c>
      <c r="AO153" s="59">
        <f t="shared" si="144"/>
        <v>299.27200854723446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9.7115977849758934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9.7115977849758934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256.85706398254547</v>
      </c>
      <c r="BJ153" s="59">
        <f t="shared" si="146"/>
        <v>363.68094621014734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24.634800434946541</v>
      </c>
      <c r="BQ153" s="21">
        <f>EXP(-LN(2)/25)*BQ152+(1-EXP(-LN(2)/25))/(LN(2)/25)*Calculateur!BL153*Calculateur!BN153*VLOOKUP('Données projet'!$B$11,Paramètres!$A$1:$I$89,3,0)*0.475*44/12</f>
        <v>4.4491796476221577</v>
      </c>
      <c r="BR153" s="21">
        <f>EXP(-LN(2)/2)*BR152+(1-EXP(-LN(2)/2))/(LN(2)/2)*BL153*BO153*VLOOKUP('Données projet'!$B$11,Paramètres!$A$1:$I$89,3,0)*0.475*44/12</f>
        <v>6.1511760126490217E-13</v>
      </c>
      <c r="BS153" s="22">
        <f t="shared" si="117"/>
        <v>29.083980082569315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5.6843418860808015E-14</v>
      </c>
      <c r="BZ153" s="13">
        <f>BY153*VLOOKUP('Données projet'!$B$12,Paramètres!$A$1:$I$89,3,0)*VLOOKUP('Données projet'!$B$12,Paramètres!$A$1:$I$89,5,0)</f>
        <v>5.1431925385259088E-14</v>
      </c>
      <c r="CA153" s="13">
        <f t="shared" si="147"/>
        <v>8.3482866290946129E-13</v>
      </c>
      <c r="CB153" s="20">
        <f t="shared" si="118"/>
        <v>1.5435705246133045E-12</v>
      </c>
      <c r="CC153" s="59">
        <f t="shared" si="119"/>
        <v>286.69302227186188</v>
      </c>
      <c r="CD153" s="59">
        <f ca="1">AVERAGE(OFFSET($CC$3,0,0,'Données projet'!$E$12+1,1))-AVERAGE(OFFSET($H$3,0,0,'Données projet'!$E$12+1,1))</f>
        <v>357.68828740212223</v>
      </c>
      <c r="CE153" s="59">
        <f t="shared" si="148"/>
        <v>236.76626845829483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37.641317942052453</v>
      </c>
      <c r="CL153" s="21">
        <f>EXP(-LN(2)/25)*CL152+(1-EXP(-LN(2)/25))/(LN(2)/25)*Calculateur!CG153*Calculateur!CI153*VLOOKUP('Données projet'!$B$12,Paramètres!$A$1:$I$89,3,0)*0.475*44/12</f>
        <v>20.739388788309192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58.380706730361645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257.00000000000006</v>
      </c>
      <c r="CU153" s="17">
        <f>CT153*VLOOKUP('Données projet'!$B$13,Paramètres!$A$1:$I$89,3,0)*VLOOKUP('Données projet'!$B$13,Paramètres!$A$1:$I$89,5,0)</f>
        <v>168.38640000000004</v>
      </c>
      <c r="CV153" s="13">
        <f t="shared" si="149"/>
        <v>42.728430513203243</v>
      </c>
      <c r="CW153" s="20">
        <f t="shared" si="121"/>
        <v>367.69166314382898</v>
      </c>
      <c r="CX153" s="59">
        <f t="shared" si="122"/>
        <v>654.38468541568932</v>
      </c>
      <c r="CY153" s="59">
        <f ca="1">AVERAGE(OFFSET($CX$3,0,0,'Données projet'!$E$13+1,1))-AVERAGE(OFFSET($H$3,0,0,'Données projet'!$E$13+1,1))</f>
        <v>220.18342986563667</v>
      </c>
      <c r="CZ153" s="59">
        <f t="shared" si="150"/>
        <v>347.84382145531163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8.9286485211807541E-18</v>
      </c>
      <c r="DI153" s="22">
        <f t="shared" si="123"/>
        <v>8.9286485211807541E-18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5.7639226724859328E-14</v>
      </c>
      <c r="DQ153" s="13">
        <f t="shared" si="151"/>
        <v>9.2325701996134334E-13</v>
      </c>
      <c r="DR153" s="20">
        <f t="shared" si="124"/>
        <v>1.708394296311803E-12</v>
      </c>
      <c r="DS153" s="59">
        <f t="shared" si="125"/>
        <v>286.69302227186205</v>
      </c>
      <c r="DT153" s="59">
        <f ca="1">AVERAGE(OFFSET($DS$3,0,0,'Données projet'!$E$14+1,1))-AVERAGE(OFFSET($H$3,0,0,'Données projet'!$E$14+1,1))</f>
        <v>392.49465607243178</v>
      </c>
      <c r="DU153" s="59">
        <f t="shared" si="152"/>
        <v>258.031856676031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42.184235624713949</v>
      </c>
      <c r="EB153" s="21">
        <f>EXP(-LN(2)/25)*EB152+(1-EXP(-LN(2)/25))/(LN(2)/25)*Calculateur!DW153*Calculateur!DY153*VLOOKUP('Données projet'!$B$14,Paramètres!$A$1:$I$89,3,0)*0.475*44/12</f>
        <v>23.242418469656833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65.426654094370775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294.24530606293143</v>
      </c>
      <c r="EP153" s="59">
        <f t="shared" si="154"/>
        <v>275.88160405468193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35.682366664912493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35.682366664912493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1.1368683772161603E-13</v>
      </c>
      <c r="FF153" s="17">
        <f>FE153*VLOOKUP('Données projet'!$B$16,Paramètres!$A$1:$I$89,3,0)*VLOOKUP('Données projet'!$B$16,Paramètres!$A$1:$I$89,5,0)</f>
        <v>8.3355189417488869E-14</v>
      </c>
      <c r="FG153" s="13">
        <f t="shared" si="155"/>
        <v>1.2790518435140618E-12</v>
      </c>
      <c r="FH153" s="20">
        <f t="shared" si="130"/>
        <v>2.3728589156891171E-12</v>
      </c>
      <c r="FI153" s="59">
        <f t="shared" si="131"/>
        <v>286.69302227186273</v>
      </c>
      <c r="FJ153" s="59">
        <f ca="1">AVERAGE(OFFSET($FI$3,0,0,'Données projet'!$E$16+1,1))-AVERAGE(OFFSET($H$3,0,0,'Données projet'!$E$16+1,1))</f>
        <v>214.31585175697521</v>
      </c>
      <c r="FK153" s="59">
        <f t="shared" si="156"/>
        <v>244.60383864821372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16.571130369159377</v>
      </c>
      <c r="FR153" s="21">
        <f>EXP(-LN(2)/25)*FR152+(1-EXP(-LN(2)/25))/(LN(2)/25)*Calculateur!FM153*Calculateur!FO153*VLOOKUP('Données projet'!$B$16,Paramètres!$A$1:$I$89,3,0)*0.475*44/12</f>
        <v>0</v>
      </c>
      <c r="FS153" s="21">
        <f>EXP(-LN(2)/2)*FS152+(1-EXP(-LN(2)/2))/(LN(2)/2)*FM153*FP153*VLOOKUP('Données projet'!$B$16,Paramètres!$A$1:$I$89,3,0)*0.475*44/12</f>
        <v>0</v>
      </c>
      <c r="FT153" s="22">
        <f t="shared" si="132"/>
        <v>16.571130369159377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-5.6843418860808015E-14</v>
      </c>
      <c r="GA153" s="17">
        <f>FZ153*VLOOKUP('Données projet'!$B$17,Paramètres!$A$1:$I$89,3,0)*VLOOKUP('Données projet'!$B$17,Paramètres!$A$1:$I$89,5,0)</f>
        <v>-4.5224624045658861E-14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308.33954512886351</v>
      </c>
      <c r="GF153" s="59">
        <f t="shared" si="158"/>
        <v>408.79075392716277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22.945234164122294</v>
      </c>
      <c r="GM153" s="21">
        <f>EXP(-LN(2)/25)*GM152+(1-EXP(-LN(2)/25))/(LN(2)/25)*Calculateur!GH153*Calculateur!GJ153*VLOOKUP('Données projet'!$B$17,Paramètres!$A$1:$I$89,3,0)*0.475*44/12</f>
        <v>0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22.945234164122294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342.84342155097613</v>
      </c>
      <c r="T154" s="59">
        <f t="shared" si="142"/>
        <v>565.68976940602215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21.20228529348736</v>
      </c>
      <c r="AA154" s="21">
        <f>EXP(-LN(2)/25)*AA153+(1-EXP(-LN(2)/25))/(LN(2)/25)*Calculateur!V154*Calculateur!X154*VLOOKUP('Données projet'!$B$9,Paramètres!$A$1:$I$89,3,0)*0.475*44/12</f>
        <v>4.6749250329570273</v>
      </c>
      <c r="AB154" s="21">
        <f>EXP(-LN(2)/2)*AB153+(1-EXP(-LN(2)/2))/(LN(2)/2)*V154*Y154*VLOOKUP('Données projet'!$B$9,Paramètres!$A$1:$I$89,3,0)*0.475*44/12</f>
        <v>4.5952074568048306E-15</v>
      </c>
      <c r="AC154" s="22">
        <f t="shared" ref="AC154:AC203" si="163">SUM(Z154:AB154)</f>
        <v>25.877210326444391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320.33056209214476</v>
      </c>
      <c r="AO154" s="59">
        <f t="shared" si="144"/>
        <v>299.27200854723446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9.4460336328349968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9.4460336328349968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256.85706398254547</v>
      </c>
      <c r="BJ154" s="59">
        <f t="shared" si="146"/>
        <v>363.68094621014734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24.151727024161836</v>
      </c>
      <c r="BQ154" s="21">
        <f>EXP(-LN(2)/25)*BQ153+(1-EXP(-LN(2)/25))/(LN(2)/25)*Calculateur!BL154*Calculateur!BN154*VLOOKUP('Données projet'!$B$11,Paramètres!$A$1:$I$89,3,0)*0.475*44/12</f>
        <v>4.3275165961857409</v>
      </c>
      <c r="BR154" s="21">
        <f>EXP(-LN(2)/2)*BR153+(1-EXP(-LN(2)/2))/(LN(2)/2)*BL154*BO154*VLOOKUP('Données projet'!$B$11,Paramètres!$A$1:$I$89,3,0)*0.475*44/12</f>
        <v>4.3495382708161517E-13</v>
      </c>
      <c r="BS154" s="22">
        <f t="shared" ref="BS154:BS203" si="169">SUM(BP154:BR154)</f>
        <v>28.479243620348011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5.6843418860808015E-14</v>
      </c>
      <c r="BZ154" s="13">
        <f>BY154*VLOOKUP('Données projet'!$B$12,Paramètres!$A$1:$I$89,3,0)*VLOOKUP('Données projet'!$B$12,Paramètres!$A$1:$I$89,5,0)</f>
        <v>5.1431925385259088E-14</v>
      </c>
      <c r="CA154" s="13">
        <f t="shared" ref="CA154:CA203" si="170">EXP(-1.0587+0.8836*LN(BZ154)+0.284)</f>
        <v>8.3482866290946129E-13</v>
      </c>
      <c r="CB154" s="20">
        <f t="shared" ref="CB154:CB203" si="171">(BZ154+CA154)*0.475*44/12</f>
        <v>1.5435705246133045E-12</v>
      </c>
      <c r="CC154" s="59">
        <f t="shared" si="119"/>
        <v>286.80821682326689</v>
      </c>
      <c r="CD154" s="59">
        <f ca="1">AVERAGE(OFFSET($CC$3,0,0,'Données projet'!$E$12+1,1))-AVERAGE(OFFSET($H$3,0,0,'Données projet'!$E$12+1,1))</f>
        <v>357.68828740212223</v>
      </c>
      <c r="CE154" s="59">
        <f t="shared" si="148"/>
        <v>236.76626845829483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36.903194656145743</v>
      </c>
      <c r="CL154" s="21">
        <f>EXP(-LN(2)/25)*CL153+(1-EXP(-LN(2)/25))/(LN(2)/25)*Calculateur!CG154*Calculateur!CI154*VLOOKUP('Données projet'!$B$12,Paramètres!$A$1:$I$89,3,0)*0.475*44/12</f>
        <v>20.172269111255822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57.075463767401565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257.00000000000006</v>
      </c>
      <c r="CU154" s="17">
        <f>CT154*VLOOKUP('Données projet'!$B$13,Paramètres!$A$1:$I$89,3,0)*VLOOKUP('Données projet'!$B$13,Paramètres!$A$1:$I$89,5,0)</f>
        <v>168.38640000000004</v>
      </c>
      <c r="CV154" s="13">
        <f t="shared" ref="CV154:CV203" si="173">EXP(-1.0587+0.8836*LN(CU154)+0.284)</f>
        <v>42.728430513203243</v>
      </c>
      <c r="CW154" s="20">
        <f t="shared" ref="CW154:CW203" si="174">(CU154+CV154)*0.475*44/12</f>
        <v>367.69166314382898</v>
      </c>
      <c r="CX154" s="59">
        <f t="shared" si="122"/>
        <v>654.49987996709433</v>
      </c>
      <c r="CY154" s="59">
        <f ca="1">AVERAGE(OFFSET($CX$3,0,0,'Données projet'!$E$13+1,1))-AVERAGE(OFFSET($H$3,0,0,'Données projet'!$E$13+1,1))</f>
        <v>220.18342986563667</v>
      </c>
      <c r="CZ154" s="59">
        <f t="shared" si="150"/>
        <v>347.84382145531163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6.3135079161581507E-18</v>
      </c>
      <c r="DI154" s="22">
        <f t="shared" ref="DI154:DI203" si="175">SUM(DF154:DH154)</f>
        <v>6.3135079161581507E-18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5.7639226724859328E-14</v>
      </c>
      <c r="DQ154" s="13">
        <f t="shared" ref="DQ154:DQ203" si="176">EXP(-1.0587+0.8836*LN(DP154)+0.284)</f>
        <v>9.2325701996134334E-13</v>
      </c>
      <c r="DR154" s="20">
        <f t="shared" ref="DR154:DR203" si="177">(DP154+DQ154)*0.475*44/12</f>
        <v>1.708394296311803E-12</v>
      </c>
      <c r="DS154" s="59">
        <f t="shared" si="125"/>
        <v>286.80821682326706</v>
      </c>
      <c r="DT154" s="59">
        <f ca="1">AVERAGE(OFFSET($DS$3,0,0,'Données projet'!$E$14+1,1))-AVERAGE(OFFSET($H$3,0,0,'Données projet'!$E$14+1,1))</f>
        <v>392.49465607243178</v>
      </c>
      <c r="DU154" s="59">
        <f t="shared" si="152"/>
        <v>258.031856676031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41.357028493956427</v>
      </c>
      <c r="EB154" s="21">
        <f>EXP(-LN(2)/25)*EB153+(1-EXP(-LN(2)/25))/(LN(2)/25)*Calculateur!DW154*Calculateur!DY154*VLOOKUP('Données projet'!$B$14,Paramètres!$A$1:$I$89,3,0)*0.475*44/12</f>
        <v>22.606853314338402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63.963881808294829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294.24530606293143</v>
      </c>
      <c r="EP154" s="59">
        <f t="shared" si="154"/>
        <v>275.88160405468193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34.982657218708198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34.982657218708198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1.1368683772161603E-13</v>
      </c>
      <c r="FF154" s="17">
        <f>FE154*VLOOKUP('Données projet'!$B$16,Paramètres!$A$1:$I$89,3,0)*VLOOKUP('Données projet'!$B$16,Paramètres!$A$1:$I$89,5,0)</f>
        <v>8.3355189417488869E-14</v>
      </c>
      <c r="FG154" s="13">
        <f t="shared" ref="FG154:FG203" si="182">EXP(-1.0587+0.8836*LN(FF154)+0.284)</f>
        <v>1.2790518435140618E-12</v>
      </c>
      <c r="FH154" s="20">
        <f t="shared" ref="FH154:FH203" si="183">(FF154+FG154)*0.475*44/12</f>
        <v>2.3728589156891171E-12</v>
      </c>
      <c r="FI154" s="59">
        <f t="shared" si="131"/>
        <v>286.80821682326774</v>
      </c>
      <c r="FJ154" s="59">
        <f ca="1">AVERAGE(OFFSET($FI$3,0,0,'Données projet'!$E$16+1,1))-AVERAGE(OFFSET($H$3,0,0,'Données projet'!$E$16+1,1))</f>
        <v>214.31585175697521</v>
      </c>
      <c r="FK154" s="59">
        <f t="shared" si="156"/>
        <v>244.60383864821372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16.246180610011663</v>
      </c>
      <c r="FR154" s="21">
        <f>EXP(-LN(2)/25)*FR153+(1-EXP(-LN(2)/25))/(LN(2)/25)*Calculateur!FM154*Calculateur!FO154*VLOOKUP('Données projet'!$B$16,Paramètres!$A$1:$I$89,3,0)*0.475*44/12</f>
        <v>0</v>
      </c>
      <c r="FS154" s="21">
        <f>EXP(-LN(2)/2)*FS153+(1-EXP(-LN(2)/2))/(LN(2)/2)*FM154*FP154*VLOOKUP('Données projet'!$B$16,Paramètres!$A$1:$I$89,3,0)*0.475*44/12</f>
        <v>0</v>
      </c>
      <c r="FT154" s="22">
        <f t="shared" ref="FT154:FT203" si="184">SUM(FQ154:FS154)</f>
        <v>16.246180610011663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-5.6843418860808015E-14</v>
      </c>
      <c r="GA154" s="17">
        <f>FZ154*VLOOKUP('Données projet'!$B$17,Paramètres!$A$1:$I$89,3,0)*VLOOKUP('Données projet'!$B$17,Paramètres!$A$1:$I$89,5,0)</f>
        <v>-4.5224624045658861E-14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308.33954512886351</v>
      </c>
      <c r="GF154" s="59">
        <f t="shared" si="158"/>
        <v>408.79075392716277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22.495292117374785</v>
      </c>
      <c r="GM154" s="21">
        <f>EXP(-LN(2)/25)*GM153+(1-EXP(-LN(2)/25))/(LN(2)/25)*Calculateur!GH154*Calculateur!GJ154*VLOOKUP('Données projet'!$B$17,Paramètres!$A$1:$I$89,3,0)*0.475*44/12</f>
        <v>0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22.495292117374785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342.84342155097613</v>
      </c>
      <c r="T155" s="59">
        <f t="shared" si="142"/>
        <v>565.68976940602215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20.786521410999161</v>
      </c>
      <c r="AA155" s="21">
        <f>EXP(-LN(2)/25)*AA154+(1-EXP(-LN(2)/25))/(LN(2)/25)*Calculateur!V155*Calculateur!X155*VLOOKUP('Données projet'!$B$9,Paramètres!$A$1:$I$89,3,0)*0.475*44/12</f>
        <v>4.5470889620871944</v>
      </c>
      <c r="AB155" s="21">
        <f>EXP(-LN(2)/2)*AB154+(1-EXP(-LN(2)/2))/(LN(2)/2)*V155*Y155*VLOOKUP('Données projet'!$B$9,Paramètres!$A$1:$I$89,3,0)*0.475*44/12</f>
        <v>3.2493023536656849E-15</v>
      </c>
      <c r="AC155" s="22">
        <f t="shared" si="163"/>
        <v>25.333610373086358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320.33056209214476</v>
      </c>
      <c r="AO155" s="59">
        <f t="shared" si="144"/>
        <v>299.27200854723446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9.1877313463998043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9.1877313463998043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256.85706398254547</v>
      </c>
      <c r="BJ155" s="59">
        <f t="shared" si="146"/>
        <v>363.68094621014734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23.678126388316933</v>
      </c>
      <c r="BQ155" s="21">
        <f>EXP(-LN(2)/25)*BQ154+(1-EXP(-LN(2)/25))/(LN(2)/25)*Calculateur!BL155*Calculateur!BN155*VLOOKUP('Données projet'!$B$11,Paramètres!$A$1:$I$89,3,0)*0.475*44/12</f>
        <v>4.2091804272888345</v>
      </c>
      <c r="BR155" s="21">
        <f>EXP(-LN(2)/2)*BR154+(1-EXP(-LN(2)/2))/(LN(2)/2)*BL155*BO155*VLOOKUP('Données projet'!$B$11,Paramètres!$A$1:$I$89,3,0)*0.475*44/12</f>
        <v>3.0755880063245109E-13</v>
      </c>
      <c r="BS155" s="22">
        <f t="shared" si="169"/>
        <v>27.887306815606077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5.6843418860808015E-14</v>
      </c>
      <c r="BZ155" s="13">
        <f>BY155*VLOOKUP('Données projet'!$B$12,Paramètres!$A$1:$I$89,3,0)*VLOOKUP('Données projet'!$B$12,Paramètres!$A$1:$I$89,5,0)</f>
        <v>5.1431925385259088E-14</v>
      </c>
      <c r="CA155" s="13">
        <f t="shared" si="170"/>
        <v>8.3482866290946129E-13</v>
      </c>
      <c r="CB155" s="20">
        <f t="shared" si="171"/>
        <v>1.5435705246133045E-12</v>
      </c>
      <c r="CC155" s="59">
        <f t="shared" si="119"/>
        <v>286.92141300674143</v>
      </c>
      <c r="CD155" s="59">
        <f ca="1">AVERAGE(OFFSET($CC$3,0,0,'Données projet'!$E$12+1,1))-AVERAGE(OFFSET($H$3,0,0,'Données projet'!$E$12+1,1))</f>
        <v>357.68828740212223</v>
      </c>
      <c r="CE155" s="59">
        <f t="shared" si="148"/>
        <v>236.76626845829483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36.179545517664913</v>
      </c>
      <c r="CL155" s="21">
        <f>EXP(-LN(2)/25)*CL154+(1-EXP(-LN(2)/25))/(LN(2)/25)*Calculateur!CG155*Calculateur!CI155*VLOOKUP('Données projet'!$B$12,Paramètres!$A$1:$I$89,3,0)*0.475*44/12</f>
        <v>19.620657351595003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55.80020286925992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257.00000000000006</v>
      </c>
      <c r="CU155" s="17">
        <f>CT155*VLOOKUP('Données projet'!$B$13,Paramètres!$A$1:$I$89,3,0)*VLOOKUP('Données projet'!$B$13,Paramètres!$A$1:$I$89,5,0)</f>
        <v>168.38640000000004</v>
      </c>
      <c r="CV155" s="13">
        <f t="shared" si="173"/>
        <v>42.728430513203243</v>
      </c>
      <c r="CW155" s="20">
        <f t="shared" si="174"/>
        <v>367.69166314382898</v>
      </c>
      <c r="CX155" s="59">
        <f t="shared" si="122"/>
        <v>654.61307615056887</v>
      </c>
      <c r="CY155" s="59">
        <f ca="1">AVERAGE(OFFSET($CX$3,0,0,'Données projet'!$E$13+1,1))-AVERAGE(OFFSET($H$3,0,0,'Données projet'!$E$13+1,1))</f>
        <v>220.18342986563667</v>
      </c>
      <c r="CZ155" s="59">
        <f t="shared" si="150"/>
        <v>347.84382145531163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4.4643242605903771E-18</v>
      </c>
      <c r="DI155" s="22">
        <f t="shared" si="175"/>
        <v>4.4643242605903771E-18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5.7639226724859328E-14</v>
      </c>
      <c r="DQ155" s="13">
        <f t="shared" si="176"/>
        <v>9.2325701996134334E-13</v>
      </c>
      <c r="DR155" s="20">
        <f t="shared" si="177"/>
        <v>1.708394296311803E-12</v>
      </c>
      <c r="DS155" s="59">
        <f t="shared" si="125"/>
        <v>286.9214130067416</v>
      </c>
      <c r="DT155" s="59">
        <f ca="1">AVERAGE(OFFSET($DS$3,0,0,'Données projet'!$E$14+1,1))-AVERAGE(OFFSET($H$3,0,0,'Données projet'!$E$14+1,1))</f>
        <v>392.49465607243178</v>
      </c>
      <c r="DU155" s="59">
        <f t="shared" si="152"/>
        <v>258.031856676031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40.546042390486534</v>
      </c>
      <c r="EB155" s="21">
        <f>EXP(-LN(2)/25)*EB154+(1-EXP(-LN(2)/25))/(LN(2)/25)*Calculateur!DW155*Calculateur!DY155*VLOOKUP('Données projet'!$B$14,Paramètres!$A$1:$I$89,3,0)*0.475*44/12</f>
        <v>21.988667721615069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62.534710112101607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294.24530606293143</v>
      </c>
      <c r="EP155" s="59">
        <f t="shared" si="154"/>
        <v>275.88160405468193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34.296668647963351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34.296668647963351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1.1368683772161603E-13</v>
      </c>
      <c r="FF155" s="17">
        <f>FE155*VLOOKUP('Données projet'!$B$16,Paramètres!$A$1:$I$89,3,0)*VLOOKUP('Données projet'!$B$16,Paramètres!$A$1:$I$89,5,0)</f>
        <v>8.3355189417488869E-14</v>
      </c>
      <c r="FG155" s="13">
        <f t="shared" si="182"/>
        <v>1.2790518435140618E-12</v>
      </c>
      <c r="FH155" s="20">
        <f t="shared" si="183"/>
        <v>2.3728589156891171E-12</v>
      </c>
      <c r="FI155" s="59">
        <f t="shared" si="131"/>
        <v>286.92141300674228</v>
      </c>
      <c r="FJ155" s="59">
        <f ca="1">AVERAGE(OFFSET($FI$3,0,0,'Données projet'!$E$16+1,1))-AVERAGE(OFFSET($H$3,0,0,'Données projet'!$E$16+1,1))</f>
        <v>214.31585175697521</v>
      </c>
      <c r="FK155" s="59">
        <f t="shared" si="156"/>
        <v>244.60383864821372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15.927602917441055</v>
      </c>
      <c r="FR155" s="21">
        <f>EXP(-LN(2)/25)*FR154+(1-EXP(-LN(2)/25))/(LN(2)/25)*Calculateur!FM155*Calculateur!FO155*VLOOKUP('Données projet'!$B$16,Paramètres!$A$1:$I$89,3,0)*0.475*44/12</f>
        <v>0</v>
      </c>
      <c r="FS155" s="21">
        <f>EXP(-LN(2)/2)*FS154+(1-EXP(-LN(2)/2))/(LN(2)/2)*FM155*FP155*VLOOKUP('Données projet'!$B$16,Paramètres!$A$1:$I$89,3,0)*0.475*44/12</f>
        <v>0</v>
      </c>
      <c r="FT155" s="22">
        <f t="shared" si="184"/>
        <v>15.927602917441055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-5.6843418860808015E-14</v>
      </c>
      <c r="GA155" s="17">
        <f>FZ155*VLOOKUP('Données projet'!$B$17,Paramètres!$A$1:$I$89,3,0)*VLOOKUP('Données projet'!$B$17,Paramètres!$A$1:$I$89,5,0)</f>
        <v>-4.5224624045658861E-14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308.33954512886351</v>
      </c>
      <c r="GF155" s="59">
        <f t="shared" si="158"/>
        <v>408.79075392716277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22.054173159726442</v>
      </c>
      <c r="GM155" s="21">
        <f>EXP(-LN(2)/25)*GM154+(1-EXP(-LN(2)/25))/(LN(2)/25)*Calculateur!GH155*Calculateur!GJ155*VLOOKUP('Données projet'!$B$17,Paramètres!$A$1:$I$89,3,0)*0.475*44/12</f>
        <v>0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22.054173159726442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342.84342155097613</v>
      </c>
      <c r="T156" s="59">
        <f t="shared" si="142"/>
        <v>565.68976940602215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20.378910404655628</v>
      </c>
      <c r="AA156" s="21">
        <f>EXP(-LN(2)/25)*AA155+(1-EXP(-LN(2)/25))/(LN(2)/25)*Calculateur!V156*Calculateur!X156*VLOOKUP('Données projet'!$B$9,Paramètres!$A$1:$I$89,3,0)*0.475*44/12</f>
        <v>4.4227485752979039</v>
      </c>
      <c r="AB156" s="21">
        <f>EXP(-LN(2)/2)*AB155+(1-EXP(-LN(2)/2))/(LN(2)/2)*V156*Y156*VLOOKUP('Données projet'!$B$9,Paramètres!$A$1:$I$89,3,0)*0.475*44/12</f>
        <v>2.2976037284024153E-15</v>
      </c>
      <c r="AC156" s="22">
        <f t="shared" si="163"/>
        <v>24.801658979953533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320.33056209214476</v>
      </c>
      <c r="AO156" s="59">
        <f t="shared" si="144"/>
        <v>299.27200854723446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8.9364923495707096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8.9364923495707096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256.85706398254547</v>
      </c>
      <c r="BJ156" s="59">
        <f t="shared" si="146"/>
        <v>363.68094621014734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23.213812772073084</v>
      </c>
      <c r="BQ156" s="21">
        <f>EXP(-LN(2)/25)*BQ155+(1-EXP(-LN(2)/25))/(LN(2)/25)*Calculateur!BL156*Calculateur!BN156*VLOOKUP('Données projet'!$B$11,Paramètres!$A$1:$I$89,3,0)*0.475*44/12</f>
        <v>4.094080167153443</v>
      </c>
      <c r="BR156" s="21">
        <f>EXP(-LN(2)/2)*BR155+(1-EXP(-LN(2)/2))/(LN(2)/2)*BL156*BO156*VLOOKUP('Données projet'!$B$11,Paramètres!$A$1:$I$89,3,0)*0.475*44/12</f>
        <v>2.1747691354080759E-13</v>
      </c>
      <c r="BS156" s="22">
        <f t="shared" si="169"/>
        <v>27.307892939226743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5.6843418860808015E-14</v>
      </c>
      <c r="BZ156" s="13">
        <f>BY156*VLOOKUP('Données projet'!$B$12,Paramètres!$A$1:$I$89,3,0)*VLOOKUP('Données projet'!$B$12,Paramètres!$A$1:$I$89,5,0)</f>
        <v>5.1431925385259088E-14</v>
      </c>
      <c r="CA156" s="13">
        <f t="shared" si="170"/>
        <v>8.3482866290946129E-13</v>
      </c>
      <c r="CB156" s="20">
        <f t="shared" si="171"/>
        <v>1.5435705246133045E-12</v>
      </c>
      <c r="CC156" s="59">
        <f t="shared" si="119"/>
        <v>287.03264548950153</v>
      </c>
      <c r="CD156" s="59">
        <f ca="1">AVERAGE(OFFSET($CC$3,0,0,'Données projet'!$E$12+1,1))-AVERAGE(OFFSET($H$3,0,0,'Données projet'!$E$12+1,1))</f>
        <v>357.68828740212223</v>
      </c>
      <c r="CE156" s="59">
        <f t="shared" si="148"/>
        <v>236.76626845829483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35.470086697407304</v>
      </c>
      <c r="CL156" s="21">
        <f>EXP(-LN(2)/25)*CL155+(1-EXP(-LN(2)/25))/(LN(2)/25)*Calculateur!CG156*Calculateur!CI156*VLOOKUP('Données projet'!$B$12,Paramètres!$A$1:$I$89,3,0)*0.475*44/12</f>
        <v>19.084129444510111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54.554216141917415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257.00000000000006</v>
      </c>
      <c r="CU156" s="17">
        <f>CT156*VLOOKUP('Données projet'!$B$13,Paramètres!$A$1:$I$89,3,0)*VLOOKUP('Données projet'!$B$13,Paramètres!$A$1:$I$89,5,0)</f>
        <v>168.38640000000004</v>
      </c>
      <c r="CV156" s="13">
        <f t="shared" si="173"/>
        <v>42.728430513203243</v>
      </c>
      <c r="CW156" s="20">
        <f t="shared" si="174"/>
        <v>367.69166314382898</v>
      </c>
      <c r="CX156" s="59">
        <f t="shared" si="122"/>
        <v>654.72430863332897</v>
      </c>
      <c r="CY156" s="59">
        <f ca="1">AVERAGE(OFFSET($CX$3,0,0,'Données projet'!$E$13+1,1))-AVERAGE(OFFSET($H$3,0,0,'Données projet'!$E$13+1,1))</f>
        <v>220.18342986563667</v>
      </c>
      <c r="CZ156" s="59">
        <f t="shared" si="150"/>
        <v>347.84382145531163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3.1567539580790754E-18</v>
      </c>
      <c r="DI156" s="22">
        <f t="shared" si="175"/>
        <v>3.1567539580790754E-18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5.7639226724859328E-14</v>
      </c>
      <c r="DQ156" s="13">
        <f t="shared" si="176"/>
        <v>9.2325701996134334E-13</v>
      </c>
      <c r="DR156" s="20">
        <f t="shared" si="177"/>
        <v>1.708394296311803E-12</v>
      </c>
      <c r="DS156" s="59">
        <f t="shared" si="125"/>
        <v>287.0326454895017</v>
      </c>
      <c r="DT156" s="59">
        <f ca="1">AVERAGE(OFFSET($DS$3,0,0,'Données projet'!$E$14+1,1))-AVERAGE(OFFSET($H$3,0,0,'Données projet'!$E$14+1,1))</f>
        <v>392.49465607243178</v>
      </c>
      <c r="DU156" s="59">
        <f t="shared" si="152"/>
        <v>258.031856676031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39.750959229853002</v>
      </c>
      <c r="EB156" s="21">
        <f>EXP(-LN(2)/25)*EB155+(1-EXP(-LN(2)/25))/(LN(2)/25)*Calculateur!DW156*Calculateur!DY156*VLOOKUP('Données projet'!$B$14,Paramètres!$A$1:$I$89,3,0)*0.475*44/12</f>
        <v>21.387386446433727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61.138345676286733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294.24530606293143</v>
      </c>
      <c r="EP156" s="59">
        <f t="shared" si="154"/>
        <v>275.88160405468193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33.624131894679095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33.624131894679095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1.1368683772161603E-13</v>
      </c>
      <c r="FF156" s="17">
        <f>FE156*VLOOKUP('Données projet'!$B$16,Paramètres!$A$1:$I$89,3,0)*VLOOKUP('Données projet'!$B$16,Paramètres!$A$1:$I$89,5,0)</f>
        <v>8.3355189417488869E-14</v>
      </c>
      <c r="FG156" s="13">
        <f t="shared" si="182"/>
        <v>1.2790518435140618E-12</v>
      </c>
      <c r="FH156" s="20">
        <f t="shared" si="183"/>
        <v>2.3728589156891171E-12</v>
      </c>
      <c r="FI156" s="59">
        <f t="shared" si="131"/>
        <v>287.03264548950239</v>
      </c>
      <c r="FJ156" s="59">
        <f ca="1">AVERAGE(OFFSET($FI$3,0,0,'Données projet'!$E$16+1,1))-AVERAGE(OFFSET($H$3,0,0,'Données projet'!$E$16+1,1))</f>
        <v>214.31585175697521</v>
      </c>
      <c r="FK156" s="59">
        <f t="shared" si="156"/>
        <v>244.60383864821372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15.61527233910855</v>
      </c>
      <c r="FR156" s="21">
        <f>EXP(-LN(2)/25)*FR155+(1-EXP(-LN(2)/25))/(LN(2)/25)*Calculateur!FM156*Calculateur!FO156*VLOOKUP('Données projet'!$B$16,Paramètres!$A$1:$I$89,3,0)*0.475*44/12</f>
        <v>0</v>
      </c>
      <c r="FS156" s="21">
        <f>EXP(-LN(2)/2)*FS155+(1-EXP(-LN(2)/2))/(LN(2)/2)*FM156*FP156*VLOOKUP('Données projet'!$B$16,Paramètres!$A$1:$I$89,3,0)*0.475*44/12</f>
        <v>0</v>
      </c>
      <c r="FT156" s="22">
        <f t="shared" si="184"/>
        <v>15.61527233910855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-5.6843418860808015E-14</v>
      </c>
      <c r="GA156" s="17">
        <f>FZ156*VLOOKUP('Données projet'!$B$17,Paramètres!$A$1:$I$89,3,0)*VLOOKUP('Données projet'!$B$17,Paramètres!$A$1:$I$89,5,0)</f>
        <v>-4.5224624045658861E-14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308.33954512886351</v>
      </c>
      <c r="GF156" s="59">
        <f t="shared" si="158"/>
        <v>408.79075392716277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21.621704275781589</v>
      </c>
      <c r="GM156" s="21">
        <f>EXP(-LN(2)/25)*GM155+(1-EXP(-LN(2)/25))/(LN(2)/25)*Calculateur!GH156*Calculateur!GJ156*VLOOKUP('Données projet'!$B$17,Paramètres!$A$1:$I$89,3,0)*0.475*44/12</f>
        <v>0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21.621704275781589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342.84342155097613</v>
      </c>
      <c r="T157" s="59">
        <f t="shared" si="142"/>
        <v>565.68976940602215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19.979292401528326</v>
      </c>
      <c r="AA157" s="21">
        <f>EXP(-LN(2)/25)*AA156+(1-EXP(-LN(2)/25))/(LN(2)/25)*Calculateur!V157*Calculateur!X157*VLOOKUP('Données projet'!$B$9,Paramètres!$A$1:$I$89,3,0)*0.475*44/12</f>
        <v>4.3018082829241431</v>
      </c>
      <c r="AB157" s="21">
        <f>EXP(-LN(2)/2)*AB156+(1-EXP(-LN(2)/2))/(LN(2)/2)*V157*Y157*VLOOKUP('Données projet'!$B$9,Paramètres!$A$1:$I$89,3,0)*0.475*44/12</f>
        <v>1.6246511768328425E-15</v>
      </c>
      <c r="AC157" s="22">
        <f t="shared" si="163"/>
        <v>24.281100684452468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320.33056209214476</v>
      </c>
      <c r="AO157" s="59">
        <f t="shared" si="144"/>
        <v>299.27200854723446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8.6921234963219902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8.6921234963219902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256.85706398254547</v>
      </c>
      <c r="BJ157" s="59">
        <f t="shared" si="146"/>
        <v>363.68094621014734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22.758604062640433</v>
      </c>
      <c r="BQ157" s="21">
        <f>EXP(-LN(2)/25)*BQ156+(1-EXP(-LN(2)/25))/(LN(2)/25)*Calculateur!BL157*Calculateur!BN157*VLOOKUP('Données projet'!$B$11,Paramètres!$A$1:$I$89,3,0)*0.475*44/12</f>
        <v>3.9821273296843134</v>
      </c>
      <c r="BR157" s="21">
        <f>EXP(-LN(2)/2)*BR156+(1-EXP(-LN(2)/2))/(LN(2)/2)*BL157*BO157*VLOOKUP('Données projet'!$B$11,Paramètres!$A$1:$I$89,3,0)*0.475*44/12</f>
        <v>1.5377940031622554E-13</v>
      </c>
      <c r="BS157" s="22">
        <f t="shared" si="169"/>
        <v>26.7407313923249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5.6843418860808015E-14</v>
      </c>
      <c r="BZ157" s="13">
        <f>BY157*VLOOKUP('Données projet'!$B$12,Paramètres!$A$1:$I$89,3,0)*VLOOKUP('Données projet'!$B$12,Paramètres!$A$1:$I$89,5,0)</f>
        <v>5.1431925385259088E-14</v>
      </c>
      <c r="CA157" s="13">
        <f t="shared" si="170"/>
        <v>8.3482866290946129E-13</v>
      </c>
      <c r="CB157" s="20">
        <f t="shared" si="171"/>
        <v>1.5435705246133045E-12</v>
      </c>
      <c r="CC157" s="59">
        <f t="shared" si="119"/>
        <v>287.14194833736428</v>
      </c>
      <c r="CD157" s="59">
        <f ca="1">AVERAGE(OFFSET($CC$3,0,0,'Données projet'!$E$12+1,1))-AVERAGE(OFFSET($H$3,0,0,'Données projet'!$E$12+1,1))</f>
        <v>357.68828740212223</v>
      </c>
      <c r="CE157" s="59">
        <f t="shared" si="148"/>
        <v>236.76626845829483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34.774539931887794</v>
      </c>
      <c r="CL157" s="21">
        <f>EXP(-LN(2)/25)*CL156+(1-EXP(-LN(2)/25))/(LN(2)/25)*Calculateur!CG157*Calculateur!CI157*VLOOKUP('Données projet'!$B$12,Paramètres!$A$1:$I$89,3,0)*0.475*44/12</f>
        <v>18.562272921259233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53.336812853147023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257.00000000000006</v>
      </c>
      <c r="CU157" s="17">
        <f>CT157*VLOOKUP('Données projet'!$B$13,Paramètres!$A$1:$I$89,3,0)*VLOOKUP('Données projet'!$B$13,Paramètres!$A$1:$I$89,5,0)</f>
        <v>168.38640000000004</v>
      </c>
      <c r="CV157" s="13">
        <f t="shared" si="173"/>
        <v>42.728430513203243</v>
      </c>
      <c r="CW157" s="20">
        <f t="shared" si="174"/>
        <v>367.69166314382898</v>
      </c>
      <c r="CX157" s="59">
        <f t="shared" si="122"/>
        <v>654.83361148119172</v>
      </c>
      <c r="CY157" s="59">
        <f ca="1">AVERAGE(OFFSET($CX$3,0,0,'Données projet'!$E$13+1,1))-AVERAGE(OFFSET($H$3,0,0,'Données projet'!$E$13+1,1))</f>
        <v>220.18342986563667</v>
      </c>
      <c r="CZ157" s="59">
        <f t="shared" si="150"/>
        <v>347.84382145531163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2.2321621302951885E-18</v>
      </c>
      <c r="DI157" s="22">
        <f t="shared" si="175"/>
        <v>2.2321621302951885E-18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5.7639226724859328E-14</v>
      </c>
      <c r="DQ157" s="13">
        <f t="shared" si="176"/>
        <v>9.2325701996134334E-13</v>
      </c>
      <c r="DR157" s="20">
        <f t="shared" si="177"/>
        <v>1.708394296311803E-12</v>
      </c>
      <c r="DS157" s="59">
        <f t="shared" si="125"/>
        <v>287.14194833736445</v>
      </c>
      <c r="DT157" s="59">
        <f ca="1">AVERAGE(OFFSET($DS$3,0,0,'Données projet'!$E$14+1,1))-AVERAGE(OFFSET($H$3,0,0,'Données projet'!$E$14+1,1))</f>
        <v>392.49465607243178</v>
      </c>
      <c r="DU157" s="59">
        <f t="shared" si="152"/>
        <v>258.031856676031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38.971467165046654</v>
      </c>
      <c r="EB157" s="21">
        <f>EXP(-LN(2)/25)*EB156+(1-EXP(-LN(2)/25))/(LN(2)/25)*Calculateur!DW157*Calculateur!DY157*VLOOKUP('Données projet'!$B$14,Paramètres!$A$1:$I$89,3,0)*0.475*44/12</f>
        <v>20.802547239342225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59.774014404388879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294.24530606293143</v>
      </c>
      <c r="EP157" s="59">
        <f t="shared" si="154"/>
        <v>275.88160405468193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32.964783176919831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32.964783176919831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1.1368683772161603E-13</v>
      </c>
      <c r="FF157" s="17">
        <f>FE157*VLOOKUP('Données projet'!$B$16,Paramètres!$A$1:$I$89,3,0)*VLOOKUP('Données projet'!$B$16,Paramètres!$A$1:$I$89,5,0)</f>
        <v>8.3355189417488869E-14</v>
      </c>
      <c r="FG157" s="13">
        <f t="shared" si="182"/>
        <v>1.2790518435140618E-12</v>
      </c>
      <c r="FH157" s="20">
        <f t="shared" si="183"/>
        <v>2.3728589156891171E-12</v>
      </c>
      <c r="FI157" s="59">
        <f t="shared" si="131"/>
        <v>287.14194833736514</v>
      </c>
      <c r="FJ157" s="59">
        <f ca="1">AVERAGE(OFFSET($FI$3,0,0,'Données projet'!$E$16+1,1))-AVERAGE(OFFSET($H$3,0,0,'Données projet'!$E$16+1,1))</f>
        <v>214.31585175697521</v>
      </c>
      <c r="FK157" s="59">
        <f t="shared" si="156"/>
        <v>244.60383864821372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15.309066372914303</v>
      </c>
      <c r="FR157" s="21">
        <f>EXP(-LN(2)/25)*FR156+(1-EXP(-LN(2)/25))/(LN(2)/25)*Calculateur!FM157*Calculateur!FO157*VLOOKUP('Données projet'!$B$16,Paramètres!$A$1:$I$89,3,0)*0.475*44/12</f>
        <v>0</v>
      </c>
      <c r="FS157" s="21">
        <f>EXP(-LN(2)/2)*FS156+(1-EXP(-LN(2)/2))/(LN(2)/2)*FM157*FP157*VLOOKUP('Données projet'!$B$16,Paramètres!$A$1:$I$89,3,0)*0.475*44/12</f>
        <v>0</v>
      </c>
      <c r="FT157" s="22">
        <f t="shared" si="184"/>
        <v>15.309066372914303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-5.6843418860808015E-14</v>
      </c>
      <c r="GA157" s="17">
        <f>FZ157*VLOOKUP('Données projet'!$B$17,Paramètres!$A$1:$I$89,3,0)*VLOOKUP('Données projet'!$B$17,Paramètres!$A$1:$I$89,5,0)</f>
        <v>-4.5224624045658861E-14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308.33954512886351</v>
      </c>
      <c r="GF157" s="59">
        <f t="shared" si="158"/>
        <v>408.79075392716277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21.19771584287092</v>
      </c>
      <c r="GM157" s="21">
        <f>EXP(-LN(2)/25)*GM156+(1-EXP(-LN(2)/25))/(LN(2)/25)*Calculateur!GH157*Calculateur!GJ157*VLOOKUP('Données projet'!$B$17,Paramètres!$A$1:$I$89,3,0)*0.475*44/12</f>
        <v>0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21.19771584287092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342.84342155097613</v>
      </c>
      <c r="T158" s="59">
        <f t="shared" si="142"/>
        <v>565.68976940602215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19.587510663699437</v>
      </c>
      <c r="AA158" s="21">
        <f>EXP(-LN(2)/25)*AA157+(1-EXP(-LN(2)/25))/(LN(2)/25)*Calculateur!V158*Calculateur!X158*VLOOKUP('Données projet'!$B$9,Paramètres!$A$1:$I$89,3,0)*0.475*44/12</f>
        <v>4.1841751092053165</v>
      </c>
      <c r="AB158" s="21">
        <f>EXP(-LN(2)/2)*AB157+(1-EXP(-LN(2)/2))/(LN(2)/2)*V158*Y158*VLOOKUP('Données projet'!$B$9,Paramètres!$A$1:$I$89,3,0)*0.475*44/12</f>
        <v>1.1488018642012076E-15</v>
      </c>
      <c r="AC158" s="22">
        <f t="shared" si="163"/>
        <v>23.771685772904753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320.33056209214476</v>
      </c>
      <c r="AO158" s="59">
        <f t="shared" si="144"/>
        <v>299.27200854723446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8.4544369222161571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8.4544369222161571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256.85706398254547</v>
      </c>
      <c r="BJ158" s="59">
        <f t="shared" si="146"/>
        <v>363.68094621014734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22.31232171834986</v>
      </c>
      <c r="BQ158" s="21">
        <f>EXP(-LN(2)/25)*BQ157+(1-EXP(-LN(2)/25))/(LN(2)/25)*Calculateur!BL158*Calculateur!BN158*VLOOKUP('Données projet'!$B$11,Paramètres!$A$1:$I$89,3,0)*0.475*44/12</f>
        <v>3.8732358484431209</v>
      </c>
      <c r="BR158" s="21">
        <f>EXP(-LN(2)/2)*BR157+(1-EXP(-LN(2)/2))/(LN(2)/2)*BL158*BO158*VLOOKUP('Données projet'!$B$11,Paramètres!$A$1:$I$89,3,0)*0.475*44/12</f>
        <v>1.0873845677040379E-13</v>
      </c>
      <c r="BS158" s="22">
        <f t="shared" si="169"/>
        <v>26.18555756679309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5.6843418860808015E-14</v>
      </c>
      <c r="BZ158" s="13">
        <f>BY158*VLOOKUP('Données projet'!$B$12,Paramètres!$A$1:$I$89,3,0)*VLOOKUP('Données projet'!$B$12,Paramètres!$A$1:$I$89,5,0)</f>
        <v>5.1431925385259088E-14</v>
      </c>
      <c r="CA158" s="13">
        <f t="shared" si="170"/>
        <v>8.3482866290946129E-13</v>
      </c>
      <c r="CB158" s="20">
        <f t="shared" si="171"/>
        <v>1.5435705246133045E-12</v>
      </c>
      <c r="CC158" s="59">
        <f t="shared" si="119"/>
        <v>287.24935502518122</v>
      </c>
      <c r="CD158" s="59">
        <f ca="1">AVERAGE(OFFSET($CC$3,0,0,'Données projet'!$E$12+1,1))-AVERAGE(OFFSET($H$3,0,0,'Données projet'!$E$12+1,1))</f>
        <v>357.68828740212223</v>
      </c>
      <c r="CE158" s="59">
        <f t="shared" si="148"/>
        <v>236.76626845829483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34.092632414198484</v>
      </c>
      <c r="CL158" s="21">
        <f>EXP(-LN(2)/25)*CL157+(1-EXP(-LN(2)/25))/(LN(2)/25)*Calculateur!CG158*Calculateur!CI158*VLOOKUP('Données projet'!$B$12,Paramètres!$A$1:$I$89,3,0)*0.475*44/12</f>
        <v>18.054686592079889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52.147319006278373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257.00000000000006</v>
      </c>
      <c r="CU158" s="17">
        <f>CT158*VLOOKUP('Données projet'!$B$13,Paramètres!$A$1:$I$89,3,0)*VLOOKUP('Données projet'!$B$13,Paramètres!$A$1:$I$89,5,0)</f>
        <v>168.38640000000004</v>
      </c>
      <c r="CV158" s="13">
        <f t="shared" si="173"/>
        <v>42.728430513203243</v>
      </c>
      <c r="CW158" s="20">
        <f t="shared" si="174"/>
        <v>367.69166314382898</v>
      </c>
      <c r="CX158" s="59">
        <f t="shared" si="122"/>
        <v>654.94101816900866</v>
      </c>
      <c r="CY158" s="59">
        <f ca="1">AVERAGE(OFFSET($CX$3,0,0,'Données projet'!$E$13+1,1))-AVERAGE(OFFSET($H$3,0,0,'Données projet'!$E$13+1,1))</f>
        <v>220.18342986563667</v>
      </c>
      <c r="CZ158" s="59">
        <f t="shared" si="150"/>
        <v>347.84382145531163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1.5783769790395377E-18</v>
      </c>
      <c r="DI158" s="22">
        <f t="shared" si="175"/>
        <v>1.5783769790395377E-18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5.7639226724859328E-14</v>
      </c>
      <c r="DQ158" s="13">
        <f t="shared" si="176"/>
        <v>9.2325701996134334E-13</v>
      </c>
      <c r="DR158" s="20">
        <f t="shared" si="177"/>
        <v>1.708394296311803E-12</v>
      </c>
      <c r="DS158" s="59">
        <f t="shared" si="125"/>
        <v>287.24935502518139</v>
      </c>
      <c r="DT158" s="59">
        <f ca="1">AVERAGE(OFFSET($DS$3,0,0,'Données projet'!$E$14+1,1))-AVERAGE(OFFSET($H$3,0,0,'Données projet'!$E$14+1,1))</f>
        <v>392.49465607243178</v>
      </c>
      <c r="DU158" s="59">
        <f t="shared" si="152"/>
        <v>258.031856676031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38.207260464187939</v>
      </c>
      <c r="EB158" s="21">
        <f>EXP(-LN(2)/25)*EB157+(1-EXP(-LN(2)/25))/(LN(2)/25)*Calculateur!DW158*Calculateur!DY158*VLOOKUP('Données projet'!$B$14,Paramètres!$A$1:$I$89,3,0)*0.475*44/12</f>
        <v>20.233700491123997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58.440960955311937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294.24530606293143</v>
      </c>
      <c r="EP158" s="59">
        <f t="shared" si="154"/>
        <v>275.88160405468193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32.318363885352817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32.318363885352817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1.1368683772161603E-13</v>
      </c>
      <c r="FF158" s="17">
        <f>FE158*VLOOKUP('Données projet'!$B$16,Paramètres!$A$1:$I$89,3,0)*VLOOKUP('Données projet'!$B$16,Paramètres!$A$1:$I$89,5,0)</f>
        <v>8.3355189417488869E-14</v>
      </c>
      <c r="FG158" s="13">
        <f t="shared" si="182"/>
        <v>1.2790518435140618E-12</v>
      </c>
      <c r="FH158" s="20">
        <f t="shared" si="183"/>
        <v>2.3728589156891171E-12</v>
      </c>
      <c r="FI158" s="59">
        <f t="shared" si="131"/>
        <v>287.24935502518207</v>
      </c>
      <c r="FJ158" s="59">
        <f ca="1">AVERAGE(OFFSET($FI$3,0,0,'Données projet'!$E$16+1,1))-AVERAGE(OFFSET($H$3,0,0,'Données projet'!$E$16+1,1))</f>
        <v>214.31585175697521</v>
      </c>
      <c r="FK158" s="59">
        <f t="shared" si="156"/>
        <v>244.60383864821372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15.008864918949929</v>
      </c>
      <c r="FR158" s="21">
        <f>EXP(-LN(2)/25)*FR157+(1-EXP(-LN(2)/25))/(LN(2)/25)*Calculateur!FM158*Calculateur!FO158*VLOOKUP('Données projet'!$B$16,Paramètres!$A$1:$I$89,3,0)*0.475*44/12</f>
        <v>0</v>
      </c>
      <c r="FS158" s="21">
        <f>EXP(-LN(2)/2)*FS157+(1-EXP(-LN(2)/2))/(LN(2)/2)*FM158*FP158*VLOOKUP('Données projet'!$B$16,Paramètres!$A$1:$I$89,3,0)*0.475*44/12</f>
        <v>0</v>
      </c>
      <c r="FT158" s="22">
        <f t="shared" si="184"/>
        <v>15.008864918949929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-5.6843418860808015E-14</v>
      </c>
      <c r="GA158" s="17">
        <f>FZ158*VLOOKUP('Données projet'!$B$17,Paramètres!$A$1:$I$89,3,0)*VLOOKUP('Données projet'!$B$17,Paramètres!$A$1:$I$89,5,0)</f>
        <v>-4.5224624045658861E-14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308.33954512886351</v>
      </c>
      <c r="GF158" s="59">
        <f t="shared" si="158"/>
        <v>408.79075392716277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20.782041564522221</v>
      </c>
      <c r="GM158" s="21">
        <f>EXP(-LN(2)/25)*GM157+(1-EXP(-LN(2)/25))/(LN(2)/25)*Calculateur!GH158*Calculateur!GJ158*VLOOKUP('Données projet'!$B$17,Paramètres!$A$1:$I$89,3,0)*0.475*44/12</f>
        <v>0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20.782041564522221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342.84342155097613</v>
      </c>
      <c r="T159" s="59">
        <f t="shared" si="142"/>
        <v>565.68976940602215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19.203411526786109</v>
      </c>
      <c r="AA159" s="21">
        <f>EXP(-LN(2)/25)*AA158+(1-EXP(-LN(2)/25))/(LN(2)/25)*Calculateur!V159*Calculateur!X159*VLOOKUP('Données projet'!$B$9,Paramètres!$A$1:$I$89,3,0)*0.475*44/12</f>
        <v>4.0697586208078915</v>
      </c>
      <c r="AB159" s="21">
        <f>EXP(-LN(2)/2)*AB158+(1-EXP(-LN(2)/2))/(LN(2)/2)*V159*Y159*VLOOKUP('Données projet'!$B$9,Paramètres!$A$1:$I$89,3,0)*0.475*44/12</f>
        <v>8.1232558841642123E-16</v>
      </c>
      <c r="AC159" s="22">
        <f t="shared" si="163"/>
        <v>23.273170147594001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320.33056209214476</v>
      </c>
      <c r="AO159" s="59">
        <f t="shared" si="144"/>
        <v>299.27200854723446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8.2232498999786419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8.2232498999786419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256.85706398254547</v>
      </c>
      <c r="BJ159" s="59">
        <f t="shared" si="146"/>
        <v>363.68094621014734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21.874790698625475</v>
      </c>
      <c r="BQ159" s="21">
        <f>EXP(-LN(2)/25)*BQ158+(1-EXP(-LN(2)/25))/(LN(2)/25)*Calculateur!BL159*Calculateur!BN159*VLOOKUP('Données projet'!$B$11,Paramètres!$A$1:$I$89,3,0)*0.475*44/12</f>
        <v>3.7673220104828227</v>
      </c>
      <c r="BR159" s="21">
        <f>EXP(-LN(2)/2)*BR158+(1-EXP(-LN(2)/2))/(LN(2)/2)*BL159*BO159*VLOOKUP('Données projet'!$B$11,Paramètres!$A$1:$I$89,3,0)*0.475*44/12</f>
        <v>7.6889700158112772E-14</v>
      </c>
      <c r="BS159" s="22">
        <f t="shared" si="169"/>
        <v>25.642112709108375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5.6843418860808015E-14</v>
      </c>
      <c r="BZ159" s="13">
        <f>BY159*VLOOKUP('Données projet'!$B$12,Paramètres!$A$1:$I$89,3,0)*VLOOKUP('Données projet'!$B$12,Paramètres!$A$1:$I$89,5,0)</f>
        <v>5.1431925385259088E-14</v>
      </c>
      <c r="CA159" s="13">
        <f t="shared" si="170"/>
        <v>8.3482866290946129E-13</v>
      </c>
      <c r="CB159" s="20">
        <f t="shared" si="171"/>
        <v>1.5435705246133045E-12</v>
      </c>
      <c r="CC159" s="59">
        <f t="shared" si="119"/>
        <v>287.35489844708985</v>
      </c>
      <c r="CD159" s="59">
        <f ca="1">AVERAGE(OFFSET($CC$3,0,0,'Données projet'!$E$12+1,1))-AVERAGE(OFFSET($H$3,0,0,'Données projet'!$E$12+1,1))</f>
        <v>357.68828740212223</v>
      </c>
      <c r="CE159" s="59">
        <f t="shared" si="148"/>
        <v>236.76626845829483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33.424096687008543</v>
      </c>
      <c r="CL159" s="21">
        <f>EXP(-LN(2)/25)*CL158+(1-EXP(-LN(2)/25))/(LN(2)/25)*Calculateur!CG159*Calculateur!CI159*VLOOKUP('Données projet'!$B$12,Paramètres!$A$1:$I$89,3,0)*0.475*44/12</f>
        <v>17.56098023776476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50.985076924773303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257.00000000000006</v>
      </c>
      <c r="CU159" s="17">
        <f>CT159*VLOOKUP('Données projet'!$B$13,Paramètres!$A$1:$I$89,3,0)*VLOOKUP('Données projet'!$B$13,Paramètres!$A$1:$I$89,5,0)</f>
        <v>168.38640000000004</v>
      </c>
      <c r="CV159" s="13">
        <f t="shared" si="173"/>
        <v>42.728430513203243</v>
      </c>
      <c r="CW159" s="20">
        <f t="shared" si="174"/>
        <v>367.69166314382898</v>
      </c>
      <c r="CX159" s="59">
        <f t="shared" si="122"/>
        <v>655.04656159091724</v>
      </c>
      <c r="CY159" s="59">
        <f ca="1">AVERAGE(OFFSET($CX$3,0,0,'Données projet'!$E$13+1,1))-AVERAGE(OFFSET($H$3,0,0,'Données projet'!$E$13+1,1))</f>
        <v>220.18342986563667</v>
      </c>
      <c r="CZ159" s="59">
        <f t="shared" si="150"/>
        <v>347.84382145531163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1.1160810651475943E-18</v>
      </c>
      <c r="DI159" s="22">
        <f t="shared" si="175"/>
        <v>1.1160810651475943E-18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5.7639226724859328E-14</v>
      </c>
      <c r="DQ159" s="13">
        <f t="shared" si="176"/>
        <v>9.2325701996134334E-13</v>
      </c>
      <c r="DR159" s="20">
        <f t="shared" si="177"/>
        <v>1.708394296311803E-12</v>
      </c>
      <c r="DS159" s="59">
        <f t="shared" si="125"/>
        <v>287.35489844709002</v>
      </c>
      <c r="DT159" s="59">
        <f ca="1">AVERAGE(OFFSET($DS$3,0,0,'Données projet'!$E$14+1,1))-AVERAGE(OFFSET($H$3,0,0,'Données projet'!$E$14+1,1))</f>
        <v>392.49465607243178</v>
      </c>
      <c r="DU159" s="59">
        <f t="shared" si="152"/>
        <v>258.031856676031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37.458039390613003</v>
      </c>
      <c r="EB159" s="21">
        <f>EXP(-LN(2)/25)*EB158+(1-EXP(-LN(2)/25))/(LN(2)/25)*Calculateur!DW159*Calculateur!DY159*VLOOKUP('Données projet'!$B$14,Paramètres!$A$1:$I$89,3,0)*0.475*44/12</f>
        <v>19.680408887150147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57.138448277763146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294.24530606293143</v>
      </c>
      <c r="EP159" s="59">
        <f t="shared" si="154"/>
        <v>275.88160405468193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31.684620481816594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31.684620481816594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1.1368683772161603E-13</v>
      </c>
      <c r="FF159" s="17">
        <f>FE159*VLOOKUP('Données projet'!$B$16,Paramètres!$A$1:$I$89,3,0)*VLOOKUP('Données projet'!$B$16,Paramètres!$A$1:$I$89,5,0)</f>
        <v>8.3355189417488869E-14</v>
      </c>
      <c r="FG159" s="13">
        <f t="shared" si="182"/>
        <v>1.2790518435140618E-12</v>
      </c>
      <c r="FH159" s="20">
        <f t="shared" si="183"/>
        <v>2.3728589156891171E-12</v>
      </c>
      <c r="FI159" s="59">
        <f t="shared" si="131"/>
        <v>287.3548984470907</v>
      </c>
      <c r="FJ159" s="59">
        <f ca="1">AVERAGE(OFFSET($FI$3,0,0,'Données projet'!$E$16+1,1))-AVERAGE(OFFSET($H$3,0,0,'Données projet'!$E$16+1,1))</f>
        <v>214.31585175697521</v>
      </c>
      <c r="FK159" s="59">
        <f t="shared" si="156"/>
        <v>244.60383864821372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14.714550232392989</v>
      </c>
      <c r="FR159" s="21">
        <f>EXP(-LN(2)/25)*FR158+(1-EXP(-LN(2)/25))/(LN(2)/25)*Calculateur!FM159*Calculateur!FO159*VLOOKUP('Données projet'!$B$16,Paramètres!$A$1:$I$89,3,0)*0.475*44/12</f>
        <v>0</v>
      </c>
      <c r="FS159" s="21">
        <f>EXP(-LN(2)/2)*FS158+(1-EXP(-LN(2)/2))/(LN(2)/2)*FM159*FP159*VLOOKUP('Données projet'!$B$16,Paramètres!$A$1:$I$89,3,0)*0.475*44/12</f>
        <v>0</v>
      </c>
      <c r="FT159" s="22">
        <f t="shared" si="184"/>
        <v>14.714550232392989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-5.6843418860808015E-14</v>
      </c>
      <c r="GA159" s="17">
        <f>FZ159*VLOOKUP('Données projet'!$B$17,Paramètres!$A$1:$I$89,3,0)*VLOOKUP('Données projet'!$B$17,Paramètres!$A$1:$I$89,5,0)</f>
        <v>-4.5224624045658861E-14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308.33954512886351</v>
      </c>
      <c r="GF159" s="59">
        <f t="shared" si="158"/>
        <v>408.79075392716277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20.374518405235662</v>
      </c>
      <c r="GM159" s="21">
        <f>EXP(-LN(2)/25)*GM158+(1-EXP(-LN(2)/25))/(LN(2)/25)*Calculateur!GH159*Calculateur!GJ159*VLOOKUP('Données projet'!$B$17,Paramètres!$A$1:$I$89,3,0)*0.475*44/12</f>
        <v>0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20.374518405235662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342.84342155097613</v>
      </c>
      <c r="T160" s="59">
        <f t="shared" si="142"/>
        <v>565.68976940602215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18.826844339670309</v>
      </c>
      <c r="AA160" s="21">
        <f>EXP(-LN(2)/25)*AA159+(1-EXP(-LN(2)/25))/(LN(2)/25)*Calculateur!V160*Calculateur!X160*VLOOKUP('Données projet'!$B$9,Paramètres!$A$1:$I$89,3,0)*0.475*44/12</f>
        <v>3.9584708573025953</v>
      </c>
      <c r="AB160" s="21">
        <f>EXP(-LN(2)/2)*AB159+(1-EXP(-LN(2)/2))/(LN(2)/2)*V160*Y160*VLOOKUP('Données projet'!$B$9,Paramètres!$A$1:$I$89,3,0)*0.475*44/12</f>
        <v>5.7440093210060382E-16</v>
      </c>
      <c r="AC160" s="22">
        <f t="shared" si="163"/>
        <v>22.785315196972903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320.33056209214476</v>
      </c>
      <c r="AO160" s="59">
        <f t="shared" si="144"/>
        <v>299.27200854723446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7.9983846990218082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7.9983846990218082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256.85706398254547</v>
      </c>
      <c r="BJ160" s="59">
        <f t="shared" si="146"/>
        <v>363.68094621014734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21.445839395330314</v>
      </c>
      <c r="BQ160" s="21">
        <f>EXP(-LN(2)/25)*BQ159+(1-EXP(-LN(2)/25))/(LN(2)/25)*Calculateur!BL160*Calculateur!BN160*VLOOKUP('Données projet'!$B$11,Paramètres!$A$1:$I$89,3,0)*0.475*44/12</f>
        <v>3.6643043919913159</v>
      </c>
      <c r="BR160" s="21">
        <f>EXP(-LN(2)/2)*BR159+(1-EXP(-LN(2)/2))/(LN(2)/2)*BL160*BO160*VLOOKUP('Données projet'!$B$11,Paramètres!$A$1:$I$89,3,0)*0.475*44/12</f>
        <v>5.4369228385201897E-14</v>
      </c>
      <c r="BS160" s="22">
        <f t="shared" si="169"/>
        <v>25.110143787321682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5.6843418860808015E-14</v>
      </c>
      <c r="BZ160" s="13">
        <f>BY160*VLOOKUP('Données projet'!$B$12,Paramètres!$A$1:$I$89,3,0)*VLOOKUP('Données projet'!$B$12,Paramètres!$A$1:$I$89,5,0)</f>
        <v>5.1431925385259088E-14</v>
      </c>
      <c r="CA160" s="13">
        <f t="shared" si="170"/>
        <v>8.3482866290946129E-13</v>
      </c>
      <c r="CB160" s="20">
        <f t="shared" si="171"/>
        <v>1.5435705246133045E-12</v>
      </c>
      <c r="CC160" s="59">
        <f t="shared" si="119"/>
        <v>287.45861092658811</v>
      </c>
      <c r="CD160" s="59">
        <f ca="1">AVERAGE(OFFSET($CC$3,0,0,'Données projet'!$E$12+1,1))-AVERAGE(OFFSET($H$3,0,0,'Données projet'!$E$12+1,1))</f>
        <v>357.68828740212223</v>
      </c>
      <c r="CE160" s="59">
        <f t="shared" si="148"/>
        <v>236.76626845829483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32.768670537662267</v>
      </c>
      <c r="CL160" s="21">
        <f>EXP(-LN(2)/25)*CL159+(1-EXP(-LN(2)/25))/(LN(2)/25)*Calculateur!CG160*Calculateur!CI160*VLOOKUP('Données projet'!$B$12,Paramètres!$A$1:$I$89,3,0)*0.475*44/12</f>
        <v>17.080774309671266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49.84944484733353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257.00000000000006</v>
      </c>
      <c r="CU160" s="17">
        <f>CT160*VLOOKUP('Données projet'!$B$13,Paramètres!$A$1:$I$89,3,0)*VLOOKUP('Données projet'!$B$13,Paramètres!$A$1:$I$89,5,0)</f>
        <v>168.38640000000004</v>
      </c>
      <c r="CV160" s="13">
        <f t="shared" si="173"/>
        <v>42.728430513203243</v>
      </c>
      <c r="CW160" s="20">
        <f t="shared" si="174"/>
        <v>367.69166314382898</v>
      </c>
      <c r="CX160" s="59">
        <f t="shared" si="122"/>
        <v>655.15027407041555</v>
      </c>
      <c r="CY160" s="59">
        <f ca="1">AVERAGE(OFFSET($CX$3,0,0,'Données projet'!$E$13+1,1))-AVERAGE(OFFSET($H$3,0,0,'Données projet'!$E$13+1,1))</f>
        <v>220.18342986563667</v>
      </c>
      <c r="CZ160" s="59">
        <f t="shared" si="150"/>
        <v>347.84382145531163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7.8918848951976884E-19</v>
      </c>
      <c r="DI160" s="22">
        <f t="shared" si="175"/>
        <v>7.8918848951976884E-19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5.7639226724859328E-14</v>
      </c>
      <c r="DQ160" s="13">
        <f t="shared" si="176"/>
        <v>9.2325701996134334E-13</v>
      </c>
      <c r="DR160" s="20">
        <f t="shared" si="177"/>
        <v>1.708394296311803E-12</v>
      </c>
      <c r="DS160" s="59">
        <f t="shared" si="125"/>
        <v>287.45861092658828</v>
      </c>
      <c r="DT160" s="59">
        <f ca="1">AVERAGE(OFFSET($DS$3,0,0,'Données projet'!$E$14+1,1))-AVERAGE(OFFSET($H$3,0,0,'Données projet'!$E$14+1,1))</f>
        <v>392.49465607243178</v>
      </c>
      <c r="DU160" s="59">
        <f t="shared" si="152"/>
        <v>258.031856676031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36.72351008531114</v>
      </c>
      <c r="EB160" s="21">
        <f>EXP(-LN(2)/25)*EB159+(1-EXP(-LN(2)/25))/(LN(2)/25)*Calculateur!DW160*Calculateur!DY160*VLOOKUP('Données projet'!$B$14,Paramètres!$A$1:$I$89,3,0)*0.475*44/12</f>
        <v>19.142247071183302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55.865757156494439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294.24530606293143</v>
      </c>
      <c r="EP160" s="59">
        <f t="shared" si="154"/>
        <v>275.88160405468193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31.063304399878408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31.063304399878408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1.1368683772161603E-13</v>
      </c>
      <c r="FF160" s="17">
        <f>FE160*VLOOKUP('Données projet'!$B$16,Paramètres!$A$1:$I$89,3,0)*VLOOKUP('Données projet'!$B$16,Paramètres!$A$1:$I$89,5,0)</f>
        <v>8.3355189417488869E-14</v>
      </c>
      <c r="FG160" s="13">
        <f t="shared" si="182"/>
        <v>1.2790518435140618E-12</v>
      </c>
      <c r="FH160" s="20">
        <f t="shared" si="183"/>
        <v>2.3728589156891171E-12</v>
      </c>
      <c r="FI160" s="59">
        <f t="shared" si="131"/>
        <v>287.45861092658896</v>
      </c>
      <c r="FJ160" s="59">
        <f ca="1">AVERAGE(OFFSET($FI$3,0,0,'Données projet'!$E$16+1,1))-AVERAGE(OFFSET($H$3,0,0,'Données projet'!$E$16+1,1))</f>
        <v>214.31585175697521</v>
      </c>
      <c r="FK160" s="59">
        <f t="shared" si="156"/>
        <v>244.60383864821372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14.426006877325198</v>
      </c>
      <c r="FR160" s="21">
        <f>EXP(-LN(2)/25)*FR159+(1-EXP(-LN(2)/25))/(LN(2)/25)*Calculateur!FM160*Calculateur!FO160*VLOOKUP('Données projet'!$B$16,Paramètres!$A$1:$I$89,3,0)*0.475*44/12</f>
        <v>0</v>
      </c>
      <c r="FS160" s="21">
        <f>EXP(-LN(2)/2)*FS159+(1-EXP(-LN(2)/2))/(LN(2)/2)*FM160*FP160*VLOOKUP('Données projet'!$B$16,Paramètres!$A$1:$I$89,3,0)*0.475*44/12</f>
        <v>0</v>
      </c>
      <c r="FT160" s="22">
        <f t="shared" si="184"/>
        <v>14.426006877325198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-5.6843418860808015E-14</v>
      </c>
      <c r="GA160" s="17">
        <f>FZ160*VLOOKUP('Données projet'!$B$17,Paramètres!$A$1:$I$89,3,0)*VLOOKUP('Données projet'!$B$17,Paramètres!$A$1:$I$89,5,0)</f>
        <v>-4.5224624045658861E-14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308.33954512886351</v>
      </c>
      <c r="GF160" s="59">
        <f t="shared" si="158"/>
        <v>408.79075392716277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19.974986526538132</v>
      </c>
      <c r="GM160" s="21">
        <f>EXP(-LN(2)/25)*GM159+(1-EXP(-LN(2)/25))/(LN(2)/25)*Calculateur!GH160*Calculateur!GJ160*VLOOKUP('Données projet'!$B$17,Paramètres!$A$1:$I$89,3,0)*0.475*44/12</f>
        <v>0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19.974986526538132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342.84342155097613</v>
      </c>
      <c r="T161" s="59">
        <f t="shared" si="142"/>
        <v>565.68976940602215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18.457661405410544</v>
      </c>
      <c r="AA161" s="21">
        <f>EXP(-LN(2)/25)*AA160+(1-EXP(-LN(2)/25))/(LN(2)/25)*Calculateur!V161*Calculateur!X161*VLOOKUP('Données projet'!$B$9,Paramètres!$A$1:$I$89,3,0)*0.475*44/12</f>
        <v>3.8502262635427207</v>
      </c>
      <c r="AB161" s="21">
        <f>EXP(-LN(2)/2)*AB160+(1-EXP(-LN(2)/2))/(LN(2)/2)*V161*Y161*VLOOKUP('Données projet'!$B$9,Paramètres!$A$1:$I$89,3,0)*0.475*44/12</f>
        <v>4.0616279420821061E-16</v>
      </c>
      <c r="AC161" s="22">
        <f t="shared" si="163"/>
        <v>22.307887668953263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320.33056209214476</v>
      </c>
      <c r="AO161" s="59">
        <f t="shared" si="144"/>
        <v>299.27200854723446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7.7796684488102859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7.7796684488102859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256.85706398254547</v>
      </c>
      <c r="BJ161" s="59">
        <f t="shared" si="146"/>
        <v>363.68094621014734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21.025299565458308</v>
      </c>
      <c r="BQ161" s="21">
        <f>EXP(-LN(2)/25)*BQ160+(1-EXP(-LN(2)/25))/(LN(2)/25)*Calculateur!BL161*Calculateur!BN161*VLOOKUP('Données projet'!$B$11,Paramètres!$A$1:$I$89,3,0)*0.475*44/12</f>
        <v>3.5641037956949204</v>
      </c>
      <c r="BR161" s="21">
        <f>EXP(-LN(2)/2)*BR160+(1-EXP(-LN(2)/2))/(LN(2)/2)*BL161*BO161*VLOOKUP('Données projet'!$B$11,Paramètres!$A$1:$I$89,3,0)*0.475*44/12</f>
        <v>3.8444850079056386E-14</v>
      </c>
      <c r="BS161" s="22">
        <f t="shared" si="169"/>
        <v>24.589403361153266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5.6843418860808015E-14</v>
      </c>
      <c r="BZ161" s="13">
        <f>BY161*VLOOKUP('Données projet'!$B$12,Paramètres!$A$1:$I$89,3,0)*VLOOKUP('Données projet'!$B$12,Paramètres!$A$1:$I$89,5,0)</f>
        <v>5.1431925385259088E-14</v>
      </c>
      <c r="CA161" s="13">
        <f t="shared" si="170"/>
        <v>8.3482866290946129E-13</v>
      </c>
      <c r="CB161" s="20">
        <f t="shared" si="171"/>
        <v>1.5435705246133045E-12</v>
      </c>
      <c r="CC161" s="59">
        <f t="shared" si="119"/>
        <v>287.56052422643353</v>
      </c>
      <c r="CD161" s="59">
        <f ca="1">AVERAGE(OFFSET($CC$3,0,0,'Données projet'!$E$12+1,1))-AVERAGE(OFFSET($H$3,0,0,'Données projet'!$E$12+1,1))</f>
        <v>357.68828740212223</v>
      </c>
      <c r="CE161" s="59">
        <f t="shared" si="148"/>
        <v>236.76626845829483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32.126096895334193</v>
      </c>
      <c r="CL161" s="21">
        <f>EXP(-LN(2)/25)*CL160+(1-EXP(-LN(2)/25))/(LN(2)/25)*Calculateur!CG161*Calculateur!CI161*VLOOKUP('Données projet'!$B$12,Paramètres!$A$1:$I$89,3,0)*0.475*44/12</f>
        <v>16.613699637934424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48.739796533268617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257.00000000000006</v>
      </c>
      <c r="CU161" s="17">
        <f>CT161*VLOOKUP('Données projet'!$B$13,Paramètres!$A$1:$I$89,3,0)*VLOOKUP('Données projet'!$B$13,Paramètres!$A$1:$I$89,5,0)</f>
        <v>168.38640000000004</v>
      </c>
      <c r="CV161" s="13">
        <f t="shared" si="173"/>
        <v>42.728430513203243</v>
      </c>
      <c r="CW161" s="20">
        <f t="shared" si="174"/>
        <v>367.69166314382898</v>
      </c>
      <c r="CX161" s="59">
        <f t="shared" si="122"/>
        <v>655.25218737026103</v>
      </c>
      <c r="CY161" s="59">
        <f ca="1">AVERAGE(OFFSET($CX$3,0,0,'Données projet'!$E$13+1,1))-AVERAGE(OFFSET($H$3,0,0,'Données projet'!$E$13+1,1))</f>
        <v>220.18342986563667</v>
      </c>
      <c r="CZ161" s="59">
        <f t="shared" si="150"/>
        <v>347.84382145531163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5.5804053257379713E-19</v>
      </c>
      <c r="DI161" s="22">
        <f t="shared" si="175"/>
        <v>5.5804053257379713E-19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5.7639226724859328E-14</v>
      </c>
      <c r="DQ161" s="13">
        <f t="shared" si="176"/>
        <v>9.2325701996134334E-13</v>
      </c>
      <c r="DR161" s="20">
        <f t="shared" si="177"/>
        <v>1.708394296311803E-12</v>
      </c>
      <c r="DS161" s="59">
        <f t="shared" si="125"/>
        <v>287.5605242264337</v>
      </c>
      <c r="DT161" s="59">
        <f ca="1">AVERAGE(OFFSET($DS$3,0,0,'Données projet'!$E$14+1,1))-AVERAGE(OFFSET($H$3,0,0,'Données projet'!$E$14+1,1))</f>
        <v>392.49465607243178</v>
      </c>
      <c r="DU161" s="59">
        <f t="shared" si="152"/>
        <v>258.031856676031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36.003384451667614</v>
      </c>
      <c r="EB161" s="21">
        <f>EXP(-LN(2)/25)*EB160+(1-EXP(-LN(2)/25))/(LN(2)/25)*Calculateur!DW161*Calculateur!DY161*VLOOKUP('Données projet'!$B$14,Paramètres!$A$1:$I$89,3,0)*0.475*44/12</f>
        <v>18.618801318374771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54.622185770042385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294.24530606293143</v>
      </c>
      <c r="EP161" s="59">
        <f t="shared" si="154"/>
        <v>275.88160405468193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30.454171947341642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30.454171947341642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1.1368683772161603E-13</v>
      </c>
      <c r="FF161" s="17">
        <f>FE161*VLOOKUP('Données projet'!$B$16,Paramètres!$A$1:$I$89,3,0)*VLOOKUP('Données projet'!$B$16,Paramètres!$A$1:$I$89,5,0)</f>
        <v>8.3355189417488869E-14</v>
      </c>
      <c r="FG161" s="13">
        <f t="shared" si="182"/>
        <v>1.2790518435140618E-12</v>
      </c>
      <c r="FH161" s="20">
        <f t="shared" si="183"/>
        <v>2.3728589156891171E-12</v>
      </c>
      <c r="FI161" s="59">
        <f t="shared" si="131"/>
        <v>287.56052422643438</v>
      </c>
      <c r="FJ161" s="59">
        <f ca="1">AVERAGE(OFFSET($FI$3,0,0,'Données projet'!$E$16+1,1))-AVERAGE(OFFSET($H$3,0,0,'Données projet'!$E$16+1,1))</f>
        <v>214.31585175697521</v>
      </c>
      <c r="FK161" s="59">
        <f t="shared" si="156"/>
        <v>244.60383864821372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14.143121681456218</v>
      </c>
      <c r="FR161" s="21">
        <f>EXP(-LN(2)/25)*FR160+(1-EXP(-LN(2)/25))/(LN(2)/25)*Calculateur!FM161*Calculateur!FO161*VLOOKUP('Données projet'!$B$16,Paramètres!$A$1:$I$89,3,0)*0.475*44/12</f>
        <v>0</v>
      </c>
      <c r="FS161" s="21">
        <f>EXP(-LN(2)/2)*FS160+(1-EXP(-LN(2)/2))/(LN(2)/2)*FM161*FP161*VLOOKUP('Données projet'!$B$16,Paramètres!$A$1:$I$89,3,0)*0.475*44/12</f>
        <v>0</v>
      </c>
      <c r="FT161" s="22">
        <f t="shared" si="184"/>
        <v>14.143121681456218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-5.6843418860808015E-14</v>
      </c>
      <c r="GA161" s="17">
        <f>FZ161*VLOOKUP('Données projet'!$B$17,Paramètres!$A$1:$I$89,3,0)*VLOOKUP('Données projet'!$B$17,Paramètres!$A$1:$I$89,5,0)</f>
        <v>-4.5224624045658861E-14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308.33954512886351</v>
      </c>
      <c r="GF161" s="59">
        <f t="shared" si="158"/>
        <v>408.79075392716277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19.583289224291477</v>
      </c>
      <c r="GM161" s="21">
        <f>EXP(-LN(2)/25)*GM160+(1-EXP(-LN(2)/25))/(LN(2)/25)*Calculateur!GH161*Calculateur!GJ161*VLOOKUP('Données projet'!$B$17,Paramètres!$A$1:$I$89,3,0)*0.475*44/12</f>
        <v>0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19.583289224291477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342.84342155097613</v>
      </c>
      <c r="T162" s="59">
        <f t="shared" si="142"/>
        <v>565.68976940602215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18.095717923312261</v>
      </c>
      <c r="AA162" s="21">
        <f>EXP(-LN(2)/25)*AA161+(1-EXP(-LN(2)/25))/(LN(2)/25)*Calculateur!V162*Calculateur!X162*VLOOKUP('Données projet'!$B$9,Paramètres!$A$1:$I$89,3,0)*0.475*44/12</f>
        <v>3.7449416238915454</v>
      </c>
      <c r="AB162" s="21">
        <f>EXP(-LN(2)/2)*AB161+(1-EXP(-LN(2)/2))/(LN(2)/2)*V162*Y162*VLOOKUP('Données projet'!$B$9,Paramètres!$A$1:$I$89,3,0)*0.475*44/12</f>
        <v>2.8720046605030191E-16</v>
      </c>
      <c r="AC162" s="22">
        <f t="shared" si="163"/>
        <v>21.840659547203806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320.33056209214476</v>
      </c>
      <c r="AO162" s="59">
        <f t="shared" si="144"/>
        <v>299.27200854723446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7.5669330059625857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7.5669330059625857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256.85706398254547</v>
      </c>
      <c r="BJ162" s="59">
        <f t="shared" si="146"/>
        <v>363.68094621014734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20.613006265146126</v>
      </c>
      <c r="BQ162" s="21">
        <f>EXP(-LN(2)/25)*BQ161+(1-EXP(-LN(2)/25))/(LN(2)/25)*Calculateur!BL162*Calculateur!BN162*VLOOKUP('Données projet'!$B$11,Paramètres!$A$1:$I$89,3,0)*0.475*44/12</f>
        <v>3.4666431899735701</v>
      </c>
      <c r="BR162" s="21">
        <f>EXP(-LN(2)/2)*BR161+(1-EXP(-LN(2)/2))/(LN(2)/2)*BL162*BO162*VLOOKUP('Données projet'!$B$11,Paramètres!$A$1:$I$89,3,0)*0.475*44/12</f>
        <v>2.7184614192600948E-14</v>
      </c>
      <c r="BS162" s="22">
        <f t="shared" si="169"/>
        <v>24.079649455119725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5.6843418860808015E-14</v>
      </c>
      <c r="BZ162" s="13">
        <f>BY162*VLOOKUP('Données projet'!$B$12,Paramètres!$A$1:$I$89,3,0)*VLOOKUP('Données projet'!$B$12,Paramètres!$A$1:$I$89,5,0)</f>
        <v>5.1431925385259088E-14</v>
      </c>
      <c r="CA162" s="13">
        <f t="shared" si="170"/>
        <v>8.3482866290946129E-13</v>
      </c>
      <c r="CB162" s="20">
        <f t="shared" si="171"/>
        <v>1.5435705246133045E-12</v>
      </c>
      <c r="CC162" s="59">
        <f t="shared" si="119"/>
        <v>287.6606695583705</v>
      </c>
      <c r="CD162" s="59">
        <f ca="1">AVERAGE(OFFSET($CC$3,0,0,'Données projet'!$E$12+1,1))-AVERAGE(OFFSET($H$3,0,0,'Données projet'!$E$12+1,1))</f>
        <v>357.68828740212223</v>
      </c>
      <c r="CE162" s="59">
        <f t="shared" si="148"/>
        <v>236.76626845829483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31.496123730200953</v>
      </c>
      <c r="CL162" s="21">
        <f>EXP(-LN(2)/25)*CL161+(1-EXP(-LN(2)/25))/(LN(2)/25)*Calculateur!CG162*Calculateur!CI162*VLOOKUP('Données projet'!$B$12,Paramètres!$A$1:$I$89,3,0)*0.475*44/12</f>
        <v>16.159397147658613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47.655520877859566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257.00000000000006</v>
      </c>
      <c r="CU162" s="17">
        <f>CT162*VLOOKUP('Données projet'!$B$13,Paramètres!$A$1:$I$89,3,0)*VLOOKUP('Données projet'!$B$13,Paramètres!$A$1:$I$89,5,0)</f>
        <v>168.38640000000004</v>
      </c>
      <c r="CV162" s="13">
        <f t="shared" si="173"/>
        <v>42.728430513203243</v>
      </c>
      <c r="CW162" s="20">
        <f t="shared" si="174"/>
        <v>367.69166314382898</v>
      </c>
      <c r="CX162" s="59">
        <f t="shared" si="122"/>
        <v>655.35233270219794</v>
      </c>
      <c r="CY162" s="59">
        <f ca="1">AVERAGE(OFFSET($CX$3,0,0,'Données projet'!$E$13+1,1))-AVERAGE(OFFSET($H$3,0,0,'Données projet'!$E$13+1,1))</f>
        <v>220.18342986563667</v>
      </c>
      <c r="CZ162" s="59">
        <f t="shared" si="150"/>
        <v>347.84382145531163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3.9459424475988442E-19</v>
      </c>
      <c r="DI162" s="22">
        <f t="shared" si="175"/>
        <v>3.9459424475988442E-19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5.7639226724859328E-14</v>
      </c>
      <c r="DQ162" s="13">
        <f t="shared" si="176"/>
        <v>9.2325701996134334E-13</v>
      </c>
      <c r="DR162" s="20">
        <f t="shared" si="177"/>
        <v>1.708394296311803E-12</v>
      </c>
      <c r="DS162" s="59">
        <f t="shared" si="125"/>
        <v>287.66066955837067</v>
      </c>
      <c r="DT162" s="59">
        <f ca="1">AVERAGE(OFFSET($DS$3,0,0,'Données projet'!$E$14+1,1))-AVERAGE(OFFSET($H$3,0,0,'Données projet'!$E$14+1,1))</f>
        <v>392.49465607243178</v>
      </c>
      <c r="DU162" s="59">
        <f t="shared" si="152"/>
        <v>258.031856676031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35.297380042466571</v>
      </c>
      <c r="EB162" s="21">
        <f>EXP(-LN(2)/25)*EB161+(1-EXP(-LN(2)/25))/(LN(2)/25)*Calculateur!DW162*Calculateur!DY162*VLOOKUP('Données projet'!$B$14,Paramètres!$A$1:$I$89,3,0)*0.475*44/12</f>
        <v>18.109669217203606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53.407049259670174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294.24530606293143</v>
      </c>
      <c r="EP162" s="59">
        <f t="shared" si="154"/>
        <v>275.88160405468193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29.856984210665011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29.856984210665011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1.1368683772161603E-13</v>
      </c>
      <c r="FF162" s="17">
        <f>FE162*VLOOKUP('Données projet'!$B$16,Paramètres!$A$1:$I$89,3,0)*VLOOKUP('Données projet'!$B$16,Paramètres!$A$1:$I$89,5,0)</f>
        <v>8.3355189417488869E-14</v>
      </c>
      <c r="FG162" s="13">
        <f t="shared" si="182"/>
        <v>1.2790518435140618E-12</v>
      </c>
      <c r="FH162" s="20">
        <f t="shared" si="183"/>
        <v>2.3728589156891171E-12</v>
      </c>
      <c r="FI162" s="59">
        <f t="shared" si="131"/>
        <v>287.66066955837135</v>
      </c>
      <c r="FJ162" s="59">
        <f ca="1">AVERAGE(OFFSET($FI$3,0,0,'Données projet'!$E$16+1,1))-AVERAGE(OFFSET($H$3,0,0,'Données projet'!$E$16+1,1))</f>
        <v>214.31585175697521</v>
      </c>
      <c r="FK162" s="59">
        <f t="shared" si="156"/>
        <v>244.60383864821372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13.865783691735297</v>
      </c>
      <c r="FR162" s="21">
        <f>EXP(-LN(2)/25)*FR161+(1-EXP(-LN(2)/25))/(LN(2)/25)*Calculateur!FM162*Calculateur!FO162*VLOOKUP('Données projet'!$B$16,Paramètres!$A$1:$I$89,3,0)*0.475*44/12</f>
        <v>0</v>
      </c>
      <c r="FS162" s="21">
        <f>EXP(-LN(2)/2)*FS161+(1-EXP(-LN(2)/2))/(LN(2)/2)*FM162*FP162*VLOOKUP('Données projet'!$B$16,Paramètres!$A$1:$I$89,3,0)*0.475*44/12</f>
        <v>0</v>
      </c>
      <c r="FT162" s="22">
        <f t="shared" si="184"/>
        <v>13.865783691735297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-5.6843418860808015E-14</v>
      </c>
      <c r="GA162" s="17">
        <f>FZ162*VLOOKUP('Données projet'!$B$17,Paramètres!$A$1:$I$89,3,0)*VLOOKUP('Données projet'!$B$17,Paramètres!$A$1:$I$89,5,0)</f>
        <v>-4.5224624045658861E-14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308.33954512886351</v>
      </c>
      <c r="GF162" s="59">
        <f t="shared" si="158"/>
        <v>408.79075392716277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19.199272867230114</v>
      </c>
      <c r="GM162" s="21">
        <f>EXP(-LN(2)/25)*GM161+(1-EXP(-LN(2)/25))/(LN(2)/25)*Calculateur!GH162*Calculateur!GJ162*VLOOKUP('Données projet'!$B$17,Paramètres!$A$1:$I$89,3,0)*0.475*44/12</f>
        <v>0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19.199272867230114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342.84342155097613</v>
      </c>
      <c r="T163" s="59">
        <f t="shared" si="142"/>
        <v>565.68976940602215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17.740871932134198</v>
      </c>
      <c r="AA163" s="21">
        <f>EXP(-LN(2)/25)*AA162+(1-EXP(-LN(2)/25))/(LN(2)/25)*Calculateur!V163*Calculateur!X163*VLOOKUP('Données projet'!$B$9,Paramètres!$A$1:$I$89,3,0)*0.475*44/12</f>
        <v>3.6425359982483103</v>
      </c>
      <c r="AB163" s="21">
        <f>EXP(-LN(2)/2)*AB162+(1-EXP(-LN(2)/2))/(LN(2)/2)*V163*Y163*VLOOKUP('Données projet'!$B$9,Paramètres!$A$1:$I$89,3,0)*0.475*44/12</f>
        <v>2.0308139710410531E-16</v>
      </c>
      <c r="AC163" s="22">
        <f t="shared" si="163"/>
        <v>21.383407930382507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320.33056209214476</v>
      </c>
      <c r="AO163" s="59">
        <f t="shared" si="144"/>
        <v>299.27200854723446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7.360014824986826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7.360014824986826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256.85706398254547</v>
      </c>
      <c r="BJ163" s="59">
        <f t="shared" si="146"/>
        <v>363.68094621014734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20.20879778497898</v>
      </c>
      <c r="BQ163" s="21">
        <f>EXP(-LN(2)/25)*BQ162+(1-EXP(-LN(2)/25))/(LN(2)/25)*Calculateur!BL163*Calculateur!BN163*VLOOKUP('Données projet'!$B$11,Paramètres!$A$1:$I$89,3,0)*0.475*44/12</f>
        <v>3.3718476496409004</v>
      </c>
      <c r="BR163" s="21">
        <f>EXP(-LN(2)/2)*BR162+(1-EXP(-LN(2)/2))/(LN(2)/2)*BL163*BO163*VLOOKUP('Données projet'!$B$11,Paramètres!$A$1:$I$89,3,0)*0.475*44/12</f>
        <v>1.9222425039528193E-14</v>
      </c>
      <c r="BS163" s="22">
        <f t="shared" si="169"/>
        <v>23.5806454346199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5.6843418860808015E-14</v>
      </c>
      <c r="BZ163" s="13">
        <f>BY163*VLOOKUP('Données projet'!$B$12,Paramètres!$A$1:$I$89,3,0)*VLOOKUP('Données projet'!$B$12,Paramètres!$A$1:$I$89,5,0)</f>
        <v>5.1431925385259088E-14</v>
      </c>
      <c r="CA163" s="13">
        <f t="shared" si="170"/>
        <v>8.3482866290946129E-13</v>
      </c>
      <c r="CB163" s="20">
        <f t="shared" si="171"/>
        <v>1.5435705246133045E-12</v>
      </c>
      <c r="CC163" s="59">
        <f t="shared" si="119"/>
        <v>287.75907759268989</v>
      </c>
      <c r="CD163" s="59">
        <f ca="1">AVERAGE(OFFSET($CC$3,0,0,'Données projet'!$E$12+1,1))-AVERAGE(OFFSET($H$3,0,0,'Données projet'!$E$12+1,1))</f>
        <v>357.68828740212223</v>
      </c>
      <c r="CE163" s="59">
        <f t="shared" si="148"/>
        <v>236.76626845829483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30.878503954590286</v>
      </c>
      <c r="CL163" s="21">
        <f>EXP(-LN(2)/25)*CL162+(1-EXP(-LN(2)/25))/(LN(2)/25)*Calculateur!CG163*Calculateur!CI163*VLOOKUP('Données projet'!$B$12,Paramètres!$A$1:$I$89,3,0)*0.475*44/12</f>
        <v>15.717517582870125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46.596021537460409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257.00000000000006</v>
      </c>
      <c r="CU163" s="17">
        <f>CT163*VLOOKUP('Données projet'!$B$13,Paramètres!$A$1:$I$89,3,0)*VLOOKUP('Données projet'!$B$13,Paramètres!$A$1:$I$89,5,0)</f>
        <v>168.38640000000004</v>
      </c>
      <c r="CV163" s="13">
        <f t="shared" si="173"/>
        <v>42.728430513203243</v>
      </c>
      <c r="CW163" s="20">
        <f t="shared" si="174"/>
        <v>367.69166314382898</v>
      </c>
      <c r="CX163" s="59">
        <f t="shared" si="122"/>
        <v>655.45074073651733</v>
      </c>
      <c r="CY163" s="59">
        <f ca="1">AVERAGE(OFFSET($CX$3,0,0,'Données projet'!$E$13+1,1))-AVERAGE(OFFSET($H$3,0,0,'Données projet'!$E$13+1,1))</f>
        <v>220.18342986563667</v>
      </c>
      <c r="CZ163" s="59">
        <f t="shared" si="150"/>
        <v>347.84382145531163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2.7902026628689857E-19</v>
      </c>
      <c r="DI163" s="22">
        <f t="shared" si="175"/>
        <v>2.7902026628689857E-19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5.7639226724859328E-14</v>
      </c>
      <c r="DQ163" s="13">
        <f t="shared" si="176"/>
        <v>9.2325701996134334E-13</v>
      </c>
      <c r="DR163" s="20">
        <f t="shared" si="177"/>
        <v>1.708394296311803E-12</v>
      </c>
      <c r="DS163" s="59">
        <f t="shared" si="125"/>
        <v>287.75907759269006</v>
      </c>
      <c r="DT163" s="59">
        <f ca="1">AVERAGE(OFFSET($DS$3,0,0,'Données projet'!$E$14+1,1))-AVERAGE(OFFSET($H$3,0,0,'Données projet'!$E$14+1,1))</f>
        <v>392.49465607243178</v>
      </c>
      <c r="DU163" s="59">
        <f t="shared" si="152"/>
        <v>258.031856676031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34.605219949109788</v>
      </c>
      <c r="EB163" s="21">
        <f>EXP(-LN(2)/25)*EB162+(1-EXP(-LN(2)/25))/(LN(2)/25)*Calculateur!DW163*Calculateur!DY163*VLOOKUP('Données projet'!$B$14,Paramètres!$A$1:$I$89,3,0)*0.475*44/12</f>
        <v>17.614459360113059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52.219679309222848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294.24530606293143</v>
      </c>
      <c r="EP163" s="59">
        <f t="shared" si="154"/>
        <v>275.88160405468193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29.271506961256055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29.271506961256055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1.1368683772161603E-13</v>
      </c>
      <c r="FF163" s="17">
        <f>FE163*VLOOKUP('Données projet'!$B$16,Paramètres!$A$1:$I$89,3,0)*VLOOKUP('Données projet'!$B$16,Paramètres!$A$1:$I$89,5,0)</f>
        <v>8.3355189417488869E-14</v>
      </c>
      <c r="FG163" s="13">
        <f t="shared" si="182"/>
        <v>1.2790518435140618E-12</v>
      </c>
      <c r="FH163" s="20">
        <f t="shared" si="183"/>
        <v>2.3728589156891171E-12</v>
      </c>
      <c r="FI163" s="59">
        <f t="shared" si="131"/>
        <v>287.75907759269074</v>
      </c>
      <c r="FJ163" s="59">
        <f ca="1">AVERAGE(OFFSET($FI$3,0,0,'Données projet'!$E$16+1,1))-AVERAGE(OFFSET($H$3,0,0,'Données projet'!$E$16+1,1))</f>
        <v>214.31585175697521</v>
      </c>
      <c r="FK163" s="59">
        <f t="shared" si="156"/>
        <v>244.60383864821372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13.593884130833331</v>
      </c>
      <c r="FR163" s="21">
        <f>EXP(-LN(2)/25)*FR162+(1-EXP(-LN(2)/25))/(LN(2)/25)*Calculateur!FM163*Calculateur!FO163*VLOOKUP('Données projet'!$B$16,Paramètres!$A$1:$I$89,3,0)*0.475*44/12</f>
        <v>0</v>
      </c>
      <c r="FS163" s="21">
        <f>EXP(-LN(2)/2)*FS162+(1-EXP(-LN(2)/2))/(LN(2)/2)*FM163*FP163*VLOOKUP('Données projet'!$B$16,Paramètres!$A$1:$I$89,3,0)*0.475*44/12</f>
        <v>0</v>
      </c>
      <c r="FT163" s="22">
        <f t="shared" si="184"/>
        <v>13.593884130833331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-5.6843418860808015E-14</v>
      </c>
      <c r="GA163" s="17">
        <f>FZ163*VLOOKUP('Données projet'!$B$17,Paramètres!$A$1:$I$89,3,0)*VLOOKUP('Données projet'!$B$17,Paramètres!$A$1:$I$89,5,0)</f>
        <v>-4.5224624045658861E-14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308.33954512886351</v>
      </c>
      <c r="GF163" s="59">
        <f t="shared" si="158"/>
        <v>408.79075392716277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18.822786836703873</v>
      </c>
      <c r="GM163" s="21">
        <f>EXP(-LN(2)/25)*GM162+(1-EXP(-LN(2)/25))/(LN(2)/25)*Calculateur!GH163*Calculateur!GJ163*VLOOKUP('Données projet'!$B$17,Paramètres!$A$1:$I$89,3,0)*0.475*44/12</f>
        <v>0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18.822786836703873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342.84342155097613</v>
      </c>
      <c r="T164" s="59">
        <f t="shared" si="142"/>
        <v>565.68976940602215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17.392984254408454</v>
      </c>
      <c r="AA164" s="21">
        <f>EXP(-LN(2)/25)*AA163+(1-EXP(-LN(2)/25))/(LN(2)/25)*Calculateur!V164*Calculateur!X164*VLOOKUP('Données projet'!$B$9,Paramètres!$A$1:$I$89,3,0)*0.475*44/12</f>
        <v>3.542930659823567</v>
      </c>
      <c r="AB164" s="21">
        <f>EXP(-LN(2)/2)*AB163+(1-EXP(-LN(2)/2))/(LN(2)/2)*V164*Y164*VLOOKUP('Données projet'!$B$9,Paramètres!$A$1:$I$89,3,0)*0.475*44/12</f>
        <v>1.4360023302515096E-16</v>
      </c>
      <c r="AC164" s="22">
        <f t="shared" si="163"/>
        <v>20.935914914232022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320.33056209214476</v>
      </c>
      <c r="AO164" s="59">
        <f t="shared" si="144"/>
        <v>299.27200854723446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7.1587548325512032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7.1587548325512032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256.85706398254547</v>
      </c>
      <c r="BJ164" s="59">
        <f t="shared" si="146"/>
        <v>363.68094621014734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19.812515586565084</v>
      </c>
      <c r="BQ164" s="21">
        <f>EXP(-LN(2)/25)*BQ163+(1-EXP(-LN(2)/25))/(LN(2)/25)*Calculateur!BL164*Calculateur!BN164*VLOOKUP('Données projet'!$B$11,Paramètres!$A$1:$I$89,3,0)*0.475*44/12</f>
        <v>3.2796442983437086</v>
      </c>
      <c r="BR164" s="21">
        <f>EXP(-LN(2)/2)*BR163+(1-EXP(-LN(2)/2))/(LN(2)/2)*BL164*BO164*VLOOKUP('Données projet'!$B$11,Paramètres!$A$1:$I$89,3,0)*0.475*44/12</f>
        <v>1.3592307096300474E-14</v>
      </c>
      <c r="BS164" s="22">
        <f t="shared" si="169"/>
        <v>23.092159884908806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5.6843418860808015E-14</v>
      </c>
      <c r="BZ164" s="13">
        <f>BY164*VLOOKUP('Données projet'!$B$12,Paramètres!$A$1:$I$89,3,0)*VLOOKUP('Données projet'!$B$12,Paramètres!$A$1:$I$89,5,0)</f>
        <v>5.1431925385259088E-14</v>
      </c>
      <c r="CA164" s="13">
        <f t="shared" si="170"/>
        <v>8.3482866290946129E-13</v>
      </c>
      <c r="CB164" s="20">
        <f t="shared" si="171"/>
        <v>1.5435705246133045E-12</v>
      </c>
      <c r="CC164" s="59">
        <f t="shared" si="119"/>
        <v>287.85577846762123</v>
      </c>
      <c r="CD164" s="59">
        <f ca="1">AVERAGE(OFFSET($CC$3,0,0,'Données projet'!$E$12+1,1))-AVERAGE(OFFSET($H$3,0,0,'Données projet'!$E$12+1,1))</f>
        <v>357.68828740212223</v>
      </c>
      <c r="CE164" s="59">
        <f t="shared" si="148"/>
        <v>236.76626845829483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30.272995326068479</v>
      </c>
      <c r="CL164" s="21">
        <f>EXP(-LN(2)/25)*CL163+(1-EXP(-LN(2)/25))/(LN(2)/25)*Calculateur!CG164*Calculateur!CI164*VLOOKUP('Données projet'!$B$12,Paramètres!$A$1:$I$89,3,0)*0.475*44/12</f>
        <v>15.287721238018214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45.56071656408669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257.00000000000006</v>
      </c>
      <c r="CU164" s="17">
        <f>CT164*VLOOKUP('Données projet'!$B$13,Paramètres!$A$1:$I$89,3,0)*VLOOKUP('Données projet'!$B$13,Paramètres!$A$1:$I$89,5,0)</f>
        <v>168.38640000000004</v>
      </c>
      <c r="CV164" s="13">
        <f t="shared" si="173"/>
        <v>42.728430513203243</v>
      </c>
      <c r="CW164" s="20">
        <f t="shared" si="174"/>
        <v>367.69166314382898</v>
      </c>
      <c r="CX164" s="59">
        <f t="shared" si="122"/>
        <v>655.54744161144868</v>
      </c>
      <c r="CY164" s="59">
        <f ca="1">AVERAGE(OFFSET($CX$3,0,0,'Données projet'!$E$13+1,1))-AVERAGE(OFFSET($H$3,0,0,'Données projet'!$E$13+1,1))</f>
        <v>220.18342986563667</v>
      </c>
      <c r="CZ164" s="59">
        <f t="shared" si="150"/>
        <v>347.84382145531163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1.9729712237994221E-19</v>
      </c>
      <c r="DI164" s="22">
        <f t="shared" si="175"/>
        <v>1.9729712237994221E-19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5.7639226724859328E-14</v>
      </c>
      <c r="DQ164" s="13">
        <f t="shared" si="176"/>
        <v>9.2325701996134334E-13</v>
      </c>
      <c r="DR164" s="20">
        <f t="shared" si="177"/>
        <v>1.708394296311803E-12</v>
      </c>
      <c r="DS164" s="59">
        <f t="shared" si="125"/>
        <v>287.85577846762141</v>
      </c>
      <c r="DT164" s="59">
        <f ca="1">AVERAGE(OFFSET($DS$3,0,0,'Données projet'!$E$14+1,1))-AVERAGE(OFFSET($H$3,0,0,'Données projet'!$E$14+1,1))</f>
        <v>392.49465607243178</v>
      </c>
      <c r="DU164" s="59">
        <f t="shared" si="152"/>
        <v>258.031856676031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33.926632693007761</v>
      </c>
      <c r="EB164" s="21">
        <f>EXP(-LN(2)/25)*EB163+(1-EXP(-LN(2)/25))/(LN(2)/25)*Calculateur!DW164*Calculateur!DY164*VLOOKUP('Données projet'!$B$14,Paramètres!$A$1:$I$89,3,0)*0.475*44/12</f>
        <v>17.132791042606609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51.059423735614374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294.24530606293143</v>
      </c>
      <c r="EP164" s="59">
        <f t="shared" si="154"/>
        <v>275.88160405468193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28.697510563602147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28.697510563602147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1.1368683772161603E-13</v>
      </c>
      <c r="FF164" s="17">
        <f>FE164*VLOOKUP('Données projet'!$B$16,Paramètres!$A$1:$I$89,3,0)*VLOOKUP('Données projet'!$B$16,Paramètres!$A$1:$I$89,5,0)</f>
        <v>8.3355189417488869E-14</v>
      </c>
      <c r="FG164" s="13">
        <f t="shared" si="182"/>
        <v>1.2790518435140618E-12</v>
      </c>
      <c r="FH164" s="20">
        <f t="shared" si="183"/>
        <v>2.3728589156891171E-12</v>
      </c>
      <c r="FI164" s="59">
        <f t="shared" si="131"/>
        <v>287.85577846762209</v>
      </c>
      <c r="FJ164" s="59">
        <f ca="1">AVERAGE(OFFSET($FI$3,0,0,'Données projet'!$E$16+1,1))-AVERAGE(OFFSET($H$3,0,0,'Données projet'!$E$16+1,1))</f>
        <v>214.31585175697521</v>
      </c>
      <c r="FK164" s="59">
        <f t="shared" si="156"/>
        <v>244.60383864821372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13.327316354478297</v>
      </c>
      <c r="FR164" s="21">
        <f>EXP(-LN(2)/25)*FR163+(1-EXP(-LN(2)/25))/(LN(2)/25)*Calculateur!FM164*Calculateur!FO164*VLOOKUP('Données projet'!$B$16,Paramètres!$A$1:$I$89,3,0)*0.475*44/12</f>
        <v>0</v>
      </c>
      <c r="FS164" s="21">
        <f>EXP(-LN(2)/2)*FS163+(1-EXP(-LN(2)/2))/(LN(2)/2)*FM164*FP164*VLOOKUP('Données projet'!$B$16,Paramètres!$A$1:$I$89,3,0)*0.475*44/12</f>
        <v>0</v>
      </c>
      <c r="FT164" s="22">
        <f t="shared" si="184"/>
        <v>13.327316354478297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-5.6843418860808015E-14</v>
      </c>
      <c r="GA164" s="17">
        <f>FZ164*VLOOKUP('Données projet'!$B$17,Paramètres!$A$1:$I$89,3,0)*VLOOKUP('Données projet'!$B$17,Paramètres!$A$1:$I$89,5,0)</f>
        <v>-4.5224624045658861E-14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308.33954512886351</v>
      </c>
      <c r="GF164" s="59">
        <f t="shared" si="158"/>
        <v>408.79075392716277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18.453683467602449</v>
      </c>
      <c r="GM164" s="21">
        <f>EXP(-LN(2)/25)*GM163+(1-EXP(-LN(2)/25))/(LN(2)/25)*Calculateur!GH164*Calculateur!GJ164*VLOOKUP('Données projet'!$B$17,Paramètres!$A$1:$I$89,3,0)*0.475*44/12</f>
        <v>0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18.453683467602449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342.84342155097613</v>
      </c>
      <c r="T165" s="59">
        <f t="shared" si="142"/>
        <v>565.68976940602215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17.051918441852379</v>
      </c>
      <c r="AA165" s="21">
        <f>EXP(-LN(2)/25)*AA164+(1-EXP(-LN(2)/25))/(LN(2)/25)*Calculateur!V165*Calculateur!X165*VLOOKUP('Données projet'!$B$9,Paramètres!$A$1:$I$89,3,0)*0.475*44/12</f>
        <v>3.4460490346160655</v>
      </c>
      <c r="AB165" s="21">
        <f>EXP(-LN(2)/2)*AB164+(1-EXP(-LN(2)/2))/(LN(2)/2)*V165*Y165*VLOOKUP('Données projet'!$B$9,Paramètres!$A$1:$I$89,3,0)*0.475*44/12</f>
        <v>1.0154069855205265E-16</v>
      </c>
      <c r="AC165" s="22">
        <f t="shared" si="163"/>
        <v>20.497967476468446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320.33056209214476</v>
      </c>
      <c r="AO165" s="59">
        <f t="shared" si="144"/>
        <v>299.27200854723446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6.962998305192535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6.962998305192535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256.85706398254547</v>
      </c>
      <c r="BJ165" s="59">
        <f t="shared" si="146"/>
        <v>363.68094621014734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19.42400424035381</v>
      </c>
      <c r="BQ165" s="21">
        <f>EXP(-LN(2)/25)*BQ164+(1-EXP(-LN(2)/25))/(LN(2)/25)*Calculateur!BL165*Calculateur!BN165*VLOOKUP('Données projet'!$B$11,Paramètres!$A$1:$I$89,3,0)*0.475*44/12</f>
        <v>3.1899622525365019</v>
      </c>
      <c r="BR165" s="21">
        <f>EXP(-LN(2)/2)*BR164+(1-EXP(-LN(2)/2))/(LN(2)/2)*BL165*BO165*VLOOKUP('Données projet'!$B$11,Paramètres!$A$1:$I$89,3,0)*0.475*44/12</f>
        <v>9.6112125197640964E-15</v>
      </c>
      <c r="BS165" s="22">
        <f t="shared" si="169"/>
        <v>22.613966492890324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5.6843418860808015E-14</v>
      </c>
      <c r="BZ165" s="13">
        <f>BY165*VLOOKUP('Données projet'!$B$12,Paramètres!$A$1:$I$89,3,0)*VLOOKUP('Données projet'!$B$12,Paramètres!$A$1:$I$89,5,0)</f>
        <v>5.1431925385259088E-14</v>
      </c>
      <c r="CA165" s="13">
        <f t="shared" si="170"/>
        <v>8.3482866290946129E-13</v>
      </c>
      <c r="CB165" s="20">
        <f t="shared" si="171"/>
        <v>1.5435705246133045E-12</v>
      </c>
      <c r="CC165" s="59">
        <f t="shared" si="119"/>
        <v>287.95080179856325</v>
      </c>
      <c r="CD165" s="59">
        <f ca="1">AVERAGE(OFFSET($CC$3,0,0,'Données projet'!$E$12+1,1))-AVERAGE(OFFSET($H$3,0,0,'Données projet'!$E$12+1,1))</f>
        <v>357.68828740212223</v>
      </c>
      <c r="CE165" s="59">
        <f t="shared" si="148"/>
        <v>236.76626845829483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29.679360352428187</v>
      </c>
      <c r="CL165" s="21">
        <f>EXP(-LN(2)/25)*CL164+(1-EXP(-LN(2)/25))/(LN(2)/25)*Calculateur!CG165*Calculateur!CI165*VLOOKUP('Données projet'!$B$12,Paramètres!$A$1:$I$89,3,0)*0.475*44/12</f>
        <v>14.869677696818288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44.549038049246477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257.00000000000006</v>
      </c>
      <c r="CU165" s="17">
        <f>CT165*VLOOKUP('Données projet'!$B$13,Paramètres!$A$1:$I$89,3,0)*VLOOKUP('Données projet'!$B$13,Paramètres!$A$1:$I$89,5,0)</f>
        <v>168.38640000000004</v>
      </c>
      <c r="CV165" s="13">
        <f t="shared" si="173"/>
        <v>42.728430513203243</v>
      </c>
      <c r="CW165" s="20">
        <f t="shared" si="174"/>
        <v>367.69166314382898</v>
      </c>
      <c r="CX165" s="59">
        <f t="shared" si="122"/>
        <v>655.64246494239069</v>
      </c>
      <c r="CY165" s="59">
        <f ca="1">AVERAGE(OFFSET($CX$3,0,0,'Données projet'!$E$13+1,1))-AVERAGE(OFFSET($H$3,0,0,'Données projet'!$E$13+1,1))</f>
        <v>220.18342986563667</v>
      </c>
      <c r="CZ165" s="59">
        <f t="shared" si="150"/>
        <v>347.84382145531163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1.3951013314344928E-19</v>
      </c>
      <c r="DI165" s="22">
        <f t="shared" si="175"/>
        <v>1.3951013314344928E-19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5.7639226724859328E-14</v>
      </c>
      <c r="DQ165" s="13">
        <f t="shared" si="176"/>
        <v>9.2325701996134334E-13</v>
      </c>
      <c r="DR165" s="20">
        <f t="shared" si="177"/>
        <v>1.708394296311803E-12</v>
      </c>
      <c r="DS165" s="59">
        <f t="shared" si="125"/>
        <v>287.95080179856342</v>
      </c>
      <c r="DT165" s="59">
        <f ca="1">AVERAGE(OFFSET($DS$3,0,0,'Données projet'!$E$14+1,1))-AVERAGE(OFFSET($H$3,0,0,'Données projet'!$E$14+1,1))</f>
        <v>392.49465607243178</v>
      </c>
      <c r="DU165" s="59">
        <f t="shared" si="152"/>
        <v>258.031856676031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33.261352119100536</v>
      </c>
      <c r="EB165" s="21">
        <f>EXP(-LN(2)/25)*EB164+(1-EXP(-LN(2)/25))/(LN(2)/25)*Calculateur!DW165*Calculateur!DY165*VLOOKUP('Données projet'!$B$14,Paramètres!$A$1:$I$89,3,0)*0.475*44/12</f>
        <v>16.664293970572206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49.925646089672739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294.24530606293143</v>
      </c>
      <c r="EP165" s="59">
        <f t="shared" si="154"/>
        <v>275.88160405468193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28.134769885203003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28.134769885203003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1.1368683772161603E-13</v>
      </c>
      <c r="FF165" s="17">
        <f>FE165*VLOOKUP('Données projet'!$B$16,Paramètres!$A$1:$I$89,3,0)*VLOOKUP('Données projet'!$B$16,Paramètres!$A$1:$I$89,5,0)</f>
        <v>8.3355189417488869E-14</v>
      </c>
      <c r="FG165" s="13">
        <f t="shared" si="182"/>
        <v>1.2790518435140618E-12</v>
      </c>
      <c r="FH165" s="20">
        <f t="shared" si="183"/>
        <v>2.3728589156891171E-12</v>
      </c>
      <c r="FI165" s="59">
        <f t="shared" si="131"/>
        <v>287.9508017985641</v>
      </c>
      <c r="FJ165" s="59">
        <f ca="1">AVERAGE(OFFSET($FI$3,0,0,'Données projet'!$E$16+1,1))-AVERAGE(OFFSET($H$3,0,0,'Données projet'!$E$16+1,1))</f>
        <v>214.31585175697521</v>
      </c>
      <c r="FK165" s="59">
        <f t="shared" si="156"/>
        <v>244.60383864821372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13.065975809627295</v>
      </c>
      <c r="FR165" s="21">
        <f>EXP(-LN(2)/25)*FR164+(1-EXP(-LN(2)/25))/(LN(2)/25)*Calculateur!FM165*Calculateur!FO165*VLOOKUP('Données projet'!$B$16,Paramètres!$A$1:$I$89,3,0)*0.475*44/12</f>
        <v>0</v>
      </c>
      <c r="FS165" s="21">
        <f>EXP(-LN(2)/2)*FS164+(1-EXP(-LN(2)/2))/(LN(2)/2)*FM165*FP165*VLOOKUP('Données projet'!$B$16,Paramètres!$A$1:$I$89,3,0)*0.475*44/12</f>
        <v>0</v>
      </c>
      <c r="FT165" s="22">
        <f t="shared" si="184"/>
        <v>13.065975809627295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-5.6843418860808015E-14</v>
      </c>
      <c r="GA165" s="17">
        <f>FZ165*VLOOKUP('Données projet'!$B$17,Paramètres!$A$1:$I$89,3,0)*VLOOKUP('Données projet'!$B$17,Paramètres!$A$1:$I$89,5,0)</f>
        <v>-4.5224624045658861E-14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308.33954512886351</v>
      </c>
      <c r="GF165" s="59">
        <f t="shared" si="158"/>
        <v>408.79075392716277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18.09181799043828</v>
      </c>
      <c r="GM165" s="21">
        <f>EXP(-LN(2)/25)*GM164+(1-EXP(-LN(2)/25))/(LN(2)/25)*Calculateur!GH165*Calculateur!GJ165*VLOOKUP('Données projet'!$B$17,Paramètres!$A$1:$I$89,3,0)*0.475*44/12</f>
        <v>0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18.09181799043828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342.84342155097613</v>
      </c>
      <c r="T166" s="59">
        <f t="shared" si="142"/>
        <v>565.68976940602215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16.717540721850927</v>
      </c>
      <c r="AA166" s="21">
        <f>EXP(-LN(2)/25)*AA165+(1-EXP(-LN(2)/25))/(LN(2)/25)*Calculateur!V166*Calculateur!X166*VLOOKUP('Données projet'!$B$9,Paramètres!$A$1:$I$89,3,0)*0.475*44/12</f>
        <v>3.3518166425446463</v>
      </c>
      <c r="AB166" s="21">
        <f>EXP(-LN(2)/2)*AB165+(1-EXP(-LN(2)/2))/(LN(2)/2)*V166*Y166*VLOOKUP('Données projet'!$B$9,Paramètres!$A$1:$I$89,3,0)*0.475*44/12</f>
        <v>7.1800116512575478E-17</v>
      </c>
      <c r="AC166" s="22">
        <f t="shared" si="163"/>
        <v>20.069357364395572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320.33056209214476</v>
      </c>
      <c r="AO166" s="59">
        <f t="shared" si="144"/>
        <v>299.27200854723446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6.7725947503688788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6.7725947503688788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256.85706398254547</v>
      </c>
      <c r="BJ166" s="59">
        <f t="shared" si="146"/>
        <v>363.68094621014734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19.043111364673216</v>
      </c>
      <c r="BQ166" s="21">
        <f>EXP(-LN(2)/25)*BQ165+(1-EXP(-LN(2)/25))/(LN(2)/25)*Calculateur!BL166*Calculateur!BN166*VLOOKUP('Données projet'!$B$11,Paramètres!$A$1:$I$89,3,0)*0.475*44/12</f>
        <v>3.1027325669880672</v>
      </c>
      <c r="BR166" s="21">
        <f>EXP(-LN(2)/2)*BR165+(1-EXP(-LN(2)/2))/(LN(2)/2)*BL166*BO166*VLOOKUP('Données projet'!$B$11,Paramètres!$A$1:$I$89,3,0)*0.475*44/12</f>
        <v>6.7961535481502371E-15</v>
      </c>
      <c r="BS166" s="22">
        <f t="shared" si="169"/>
        <v>22.14584393166129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5.6843418860808015E-14</v>
      </c>
      <c r="BZ166" s="13">
        <f>BY166*VLOOKUP('Données projet'!$B$12,Paramètres!$A$1:$I$89,3,0)*VLOOKUP('Données projet'!$B$12,Paramètres!$A$1:$I$89,5,0)</f>
        <v>5.1431925385259088E-14</v>
      </c>
      <c r="CA166" s="13">
        <f t="shared" si="170"/>
        <v>8.3482866290946129E-13</v>
      </c>
      <c r="CB166" s="20">
        <f t="shared" si="171"/>
        <v>1.5435705246133045E-12</v>
      </c>
      <c r="CC166" s="59">
        <f t="shared" si="119"/>
        <v>288.04417668715377</v>
      </c>
      <c r="CD166" s="59">
        <f ca="1">AVERAGE(OFFSET($CC$3,0,0,'Données projet'!$E$12+1,1))-AVERAGE(OFFSET($H$3,0,0,'Données projet'!$E$12+1,1))</f>
        <v>357.68828740212223</v>
      </c>
      <c r="CE166" s="59">
        <f t="shared" si="148"/>
        <v>236.76626845829483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29.097366198539401</v>
      </c>
      <c r="CL166" s="21">
        <f>EXP(-LN(2)/25)*CL165+(1-EXP(-LN(2)/25))/(LN(2)/25)*Calculateur!CG166*Calculateur!CI166*VLOOKUP('Données projet'!$B$12,Paramètres!$A$1:$I$89,3,0)*0.475*44/12</f>
        <v>14.463065578236426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43.560431776775829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257.00000000000006</v>
      </c>
      <c r="CU166" s="17">
        <f>CT166*VLOOKUP('Données projet'!$B$13,Paramètres!$A$1:$I$89,3,0)*VLOOKUP('Données projet'!$B$13,Paramètres!$A$1:$I$89,5,0)</f>
        <v>168.38640000000004</v>
      </c>
      <c r="CV166" s="13">
        <f t="shared" si="173"/>
        <v>42.728430513203243</v>
      </c>
      <c r="CW166" s="20">
        <f t="shared" si="174"/>
        <v>367.69166314382898</v>
      </c>
      <c r="CX166" s="59">
        <f t="shared" si="122"/>
        <v>655.73583983098115</v>
      </c>
      <c r="CY166" s="59">
        <f ca="1">AVERAGE(OFFSET($CX$3,0,0,'Données projet'!$E$13+1,1))-AVERAGE(OFFSET($H$3,0,0,'Données projet'!$E$13+1,1))</f>
        <v>220.18342986563667</v>
      </c>
      <c r="CZ166" s="59">
        <f t="shared" si="150"/>
        <v>347.84382145531163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9.8648561189971105E-20</v>
      </c>
      <c r="DI166" s="22">
        <f t="shared" si="175"/>
        <v>9.8648561189971105E-20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5.7639226724859328E-14</v>
      </c>
      <c r="DQ166" s="13">
        <f t="shared" si="176"/>
        <v>9.2325701996134334E-13</v>
      </c>
      <c r="DR166" s="20">
        <f t="shared" si="177"/>
        <v>1.708394296311803E-12</v>
      </c>
      <c r="DS166" s="59">
        <f t="shared" si="125"/>
        <v>288.04417668715394</v>
      </c>
      <c r="DT166" s="59">
        <f ca="1">AVERAGE(OFFSET($DS$3,0,0,'Données projet'!$E$14+1,1))-AVERAGE(OFFSET($H$3,0,0,'Données projet'!$E$14+1,1))</f>
        <v>392.49465607243178</v>
      </c>
      <c r="DU166" s="59">
        <f t="shared" si="152"/>
        <v>258.031856676031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32.609117291466553</v>
      </c>
      <c r="EB166" s="21">
        <f>EXP(-LN(2)/25)*EB165+(1-EXP(-LN(2)/25))/(LN(2)/25)*Calculateur!DW166*Calculateur!DY166*VLOOKUP('Données projet'!$B$14,Paramètres!$A$1:$I$89,3,0)*0.475*44/12</f>
        <v>16.208607975609777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48.817725267076327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294.24530606293143</v>
      </c>
      <c r="EP166" s="59">
        <f t="shared" si="154"/>
        <v>275.88160405468193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27.583064208269342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27.583064208269342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1.1368683772161603E-13</v>
      </c>
      <c r="FF166" s="17">
        <f>FE166*VLOOKUP('Données projet'!$B$16,Paramètres!$A$1:$I$89,3,0)*VLOOKUP('Données projet'!$B$16,Paramètres!$A$1:$I$89,5,0)</f>
        <v>8.3355189417488869E-14</v>
      </c>
      <c r="FG166" s="13">
        <f t="shared" si="182"/>
        <v>1.2790518435140618E-12</v>
      </c>
      <c r="FH166" s="20">
        <f t="shared" si="183"/>
        <v>2.3728589156891171E-12</v>
      </c>
      <c r="FI166" s="59">
        <f t="shared" si="131"/>
        <v>288.04417668715462</v>
      </c>
      <c r="FJ166" s="59">
        <f ca="1">AVERAGE(OFFSET($FI$3,0,0,'Données projet'!$E$16+1,1))-AVERAGE(OFFSET($H$3,0,0,'Données projet'!$E$16+1,1))</f>
        <v>214.31585175697521</v>
      </c>
      <c r="FK166" s="59">
        <f t="shared" si="156"/>
        <v>244.60383864821372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12.80975999345883</v>
      </c>
      <c r="FR166" s="21">
        <f>EXP(-LN(2)/25)*FR165+(1-EXP(-LN(2)/25))/(LN(2)/25)*Calculateur!FM166*Calculateur!FO166*VLOOKUP('Données projet'!$B$16,Paramètres!$A$1:$I$89,3,0)*0.475*44/12</f>
        <v>0</v>
      </c>
      <c r="FS166" s="21">
        <f>EXP(-LN(2)/2)*FS165+(1-EXP(-LN(2)/2))/(LN(2)/2)*FM166*FP166*VLOOKUP('Données projet'!$B$16,Paramètres!$A$1:$I$89,3,0)*0.475*44/12</f>
        <v>0</v>
      </c>
      <c r="FT166" s="22">
        <f t="shared" si="184"/>
        <v>12.80975999345883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-5.6843418860808015E-14</v>
      </c>
      <c r="GA166" s="17">
        <f>FZ166*VLOOKUP('Données projet'!$B$17,Paramètres!$A$1:$I$89,3,0)*VLOOKUP('Données projet'!$B$17,Paramètres!$A$1:$I$89,5,0)</f>
        <v>-4.5224624045658861E-14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308.33954512886351</v>
      </c>
      <c r="GF166" s="59">
        <f t="shared" si="158"/>
        <v>408.79075392716277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17.737048474565153</v>
      </c>
      <c r="GM166" s="21">
        <f>EXP(-LN(2)/25)*GM165+(1-EXP(-LN(2)/25))/(LN(2)/25)*Calculateur!GH166*Calculateur!GJ166*VLOOKUP('Données projet'!$B$17,Paramètres!$A$1:$I$89,3,0)*0.475*44/12</f>
        <v>0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17.737048474565153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342.84342155097613</v>
      </c>
      <c r="T167" s="59">
        <f t="shared" si="142"/>
        <v>565.68976940602215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16.389719944988432</v>
      </c>
      <c r="AA167" s="21">
        <f>EXP(-LN(2)/25)*AA166+(1-EXP(-LN(2)/25))/(LN(2)/25)*Calculateur!V167*Calculateur!X167*VLOOKUP('Données projet'!$B$9,Paramètres!$A$1:$I$89,3,0)*0.475*44/12</f>
        <v>3.2601610401898862</v>
      </c>
      <c r="AB167" s="21">
        <f>EXP(-LN(2)/2)*AB166+(1-EXP(-LN(2)/2))/(LN(2)/2)*V167*Y167*VLOOKUP('Données projet'!$B$9,Paramètres!$A$1:$I$89,3,0)*0.475*44/12</f>
        <v>5.0770349276026327E-17</v>
      </c>
      <c r="AC167" s="22">
        <f t="shared" si="163"/>
        <v>19.649880985178317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320.33056209214476</v>
      </c>
      <c r="AO167" s="59">
        <f t="shared" si="144"/>
        <v>299.27200854723446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6.5873977907647632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6.5873977907647632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256.85706398254547</v>
      </c>
      <c r="BJ167" s="59">
        <f t="shared" si="146"/>
        <v>363.68094621014734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18.669687565963006</v>
      </c>
      <c r="BQ167" s="21">
        <f>EXP(-LN(2)/25)*BQ166+(1-EXP(-LN(2)/25))/(LN(2)/25)*Calculateur!BL167*Calculateur!BN167*VLOOKUP('Données projet'!$B$11,Paramètres!$A$1:$I$89,3,0)*0.475*44/12</f>
        <v>3.0178881817781642</v>
      </c>
      <c r="BR167" s="21">
        <f>EXP(-LN(2)/2)*BR166+(1-EXP(-LN(2)/2))/(LN(2)/2)*BL167*BO167*VLOOKUP('Données projet'!$B$11,Paramètres!$A$1:$I$89,3,0)*0.475*44/12</f>
        <v>4.8056062598820482E-15</v>
      </c>
      <c r="BS167" s="22">
        <f t="shared" si="169"/>
        <v>21.687575747741175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5.6843418860808015E-14</v>
      </c>
      <c r="BZ167" s="13">
        <f>BY167*VLOOKUP('Données projet'!$B$12,Paramètres!$A$1:$I$89,3,0)*VLOOKUP('Données projet'!$B$12,Paramètres!$A$1:$I$89,5,0)</f>
        <v>5.1431925385259088E-14</v>
      </c>
      <c r="CA167" s="13">
        <f t="shared" si="170"/>
        <v>8.3482866290946129E-13</v>
      </c>
      <c r="CB167" s="20">
        <f t="shared" si="171"/>
        <v>1.5435705246133045E-12</v>
      </c>
      <c r="CC167" s="59">
        <f t="shared" si="119"/>
        <v>288.13593173018222</v>
      </c>
      <c r="CD167" s="59">
        <f ca="1">AVERAGE(OFFSET($CC$3,0,0,'Données projet'!$E$12+1,1))-AVERAGE(OFFSET($H$3,0,0,'Données projet'!$E$12+1,1))</f>
        <v>357.68828740212223</v>
      </c>
      <c r="CE167" s="59">
        <f t="shared" si="148"/>
        <v>236.76626845829483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28.526784595026989</v>
      </c>
      <c r="CL167" s="21">
        <f>EXP(-LN(2)/25)*CL166+(1-EXP(-LN(2)/25))/(LN(2)/25)*Calculateur!CG167*Calculateur!CI167*VLOOKUP('Données projet'!$B$12,Paramètres!$A$1:$I$89,3,0)*0.475*44/12</f>
        <v>14.067572289419989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42.594356884446981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257.00000000000006</v>
      </c>
      <c r="CU167" s="17">
        <f>CT167*VLOOKUP('Données projet'!$B$13,Paramètres!$A$1:$I$89,3,0)*VLOOKUP('Données projet'!$B$13,Paramètres!$A$1:$I$89,5,0)</f>
        <v>168.38640000000004</v>
      </c>
      <c r="CV167" s="13">
        <f t="shared" si="173"/>
        <v>42.728430513203243</v>
      </c>
      <c r="CW167" s="20">
        <f t="shared" si="174"/>
        <v>367.69166314382898</v>
      </c>
      <c r="CX167" s="59">
        <f t="shared" si="122"/>
        <v>655.82759487400972</v>
      </c>
      <c r="CY167" s="59">
        <f ca="1">AVERAGE(OFFSET($CX$3,0,0,'Données projet'!$E$13+1,1))-AVERAGE(OFFSET($H$3,0,0,'Données projet'!$E$13+1,1))</f>
        <v>220.18342986563667</v>
      </c>
      <c r="CZ167" s="59">
        <f t="shared" si="150"/>
        <v>347.84382145531163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6.9755066571724642E-20</v>
      </c>
      <c r="DI167" s="22">
        <f t="shared" si="175"/>
        <v>6.9755066571724642E-20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5.7639226724859328E-14</v>
      </c>
      <c r="DQ167" s="13">
        <f t="shared" si="176"/>
        <v>9.2325701996134334E-13</v>
      </c>
      <c r="DR167" s="20">
        <f t="shared" si="177"/>
        <v>1.708394296311803E-12</v>
      </c>
      <c r="DS167" s="59">
        <f t="shared" si="125"/>
        <v>288.13593173018239</v>
      </c>
      <c r="DT167" s="59">
        <f ca="1">AVERAGE(OFFSET($DS$3,0,0,'Données projet'!$E$14+1,1))-AVERAGE(OFFSET($H$3,0,0,'Données projet'!$E$14+1,1))</f>
        <v>392.49465607243178</v>
      </c>
      <c r="DU167" s="59">
        <f t="shared" si="152"/>
        <v>258.031856676031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31.969672390978509</v>
      </c>
      <c r="EB167" s="21">
        <f>EXP(-LN(2)/25)*EB166+(1-EXP(-LN(2)/25))/(LN(2)/25)*Calculateur!DW167*Calculateur!DY167*VLOOKUP('Données projet'!$B$14,Paramètres!$A$1:$I$89,3,0)*0.475*44/12</f>
        <v>15.76538273814308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47.735055129121591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294.24530606293143</v>
      </c>
      <c r="EP167" s="59">
        <f t="shared" si="154"/>
        <v>275.88160405468193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27.042177143153115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27.042177143153115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1.1368683772161603E-13</v>
      </c>
      <c r="FF167" s="17">
        <f>FE167*VLOOKUP('Données projet'!$B$16,Paramètres!$A$1:$I$89,3,0)*VLOOKUP('Données projet'!$B$16,Paramètres!$A$1:$I$89,5,0)</f>
        <v>8.3355189417488869E-14</v>
      </c>
      <c r="FG167" s="13">
        <f t="shared" si="182"/>
        <v>1.2790518435140618E-12</v>
      </c>
      <c r="FH167" s="20">
        <f t="shared" si="183"/>
        <v>2.3728589156891171E-12</v>
      </c>
      <c r="FI167" s="59">
        <f t="shared" si="131"/>
        <v>288.13593173018307</v>
      </c>
      <c r="FJ167" s="59">
        <f ca="1">AVERAGE(OFFSET($FI$3,0,0,'Données projet'!$E$16+1,1))-AVERAGE(OFFSET($H$3,0,0,'Données projet'!$E$16+1,1))</f>
        <v>214.31585175697521</v>
      </c>
      <c r="FK167" s="59">
        <f t="shared" si="156"/>
        <v>244.60383864821372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12.55856841316921</v>
      </c>
      <c r="FR167" s="21">
        <f>EXP(-LN(2)/25)*FR166+(1-EXP(-LN(2)/25))/(LN(2)/25)*Calculateur!FM167*Calculateur!FO167*VLOOKUP('Données projet'!$B$16,Paramètres!$A$1:$I$89,3,0)*0.475*44/12</f>
        <v>0</v>
      </c>
      <c r="FS167" s="21">
        <f>EXP(-LN(2)/2)*FS166+(1-EXP(-LN(2)/2))/(LN(2)/2)*FM167*FP167*VLOOKUP('Données projet'!$B$16,Paramètres!$A$1:$I$89,3,0)*0.475*44/12</f>
        <v>0</v>
      </c>
      <c r="FT167" s="22">
        <f t="shared" si="184"/>
        <v>12.55856841316921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-5.6843418860808015E-14</v>
      </c>
      <c r="GA167" s="17">
        <f>FZ167*VLOOKUP('Données projet'!$B$17,Paramètres!$A$1:$I$89,3,0)*VLOOKUP('Données projet'!$B$17,Paramètres!$A$1:$I$89,5,0)</f>
        <v>-4.5224624045658861E-14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308.33954512886351</v>
      </c>
      <c r="GF167" s="59">
        <f t="shared" si="158"/>
        <v>408.79075392716277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17.389235772510258</v>
      </c>
      <c r="GM167" s="21">
        <f>EXP(-LN(2)/25)*GM166+(1-EXP(-LN(2)/25))/(LN(2)/25)*Calculateur!GH167*Calculateur!GJ167*VLOOKUP('Données projet'!$B$17,Paramètres!$A$1:$I$89,3,0)*0.475*44/12</f>
        <v>0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17.389235772510258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342.84342155097613</v>
      </c>
      <c r="T168" s="59">
        <f t="shared" si="142"/>
        <v>565.68976940602215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16.068327533609278</v>
      </c>
      <c r="AA168" s="21">
        <f>EXP(-LN(2)/25)*AA167+(1-EXP(-LN(2)/25))/(LN(2)/25)*Calculateur!V168*Calculateur!X168*VLOOKUP('Données projet'!$B$9,Paramètres!$A$1:$I$89,3,0)*0.475*44/12</f>
        <v>3.171011765101476</v>
      </c>
      <c r="AB168" s="21">
        <f>EXP(-LN(2)/2)*AB167+(1-EXP(-LN(2)/2))/(LN(2)/2)*V168*Y168*VLOOKUP('Données projet'!$B$9,Paramètres!$A$1:$I$89,3,0)*0.475*44/12</f>
        <v>3.5900058256287739E-17</v>
      </c>
      <c r="AC168" s="22">
        <f t="shared" si="163"/>
        <v>19.239339298710753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320.33056209214476</v>
      </c>
      <c r="AO168" s="59">
        <f t="shared" si="144"/>
        <v>299.27200854723446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6.4072650517601062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6.4072650517601062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256.85706398254547</v>
      </c>
      <c r="BJ168" s="59">
        <f t="shared" si="146"/>
        <v>363.68094621014734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18.303586380179475</v>
      </c>
      <c r="BQ168" s="21">
        <f>EXP(-LN(2)/25)*BQ167+(1-EXP(-LN(2)/25))/(LN(2)/25)*Calculateur!BL168*Calculateur!BN168*VLOOKUP('Données projet'!$B$11,Paramètres!$A$1:$I$89,3,0)*0.475*44/12</f>
        <v>2.9353638707435983</v>
      </c>
      <c r="BR168" s="21">
        <f>EXP(-LN(2)/2)*BR167+(1-EXP(-LN(2)/2))/(LN(2)/2)*BL168*BO168*VLOOKUP('Données projet'!$B$11,Paramètres!$A$1:$I$89,3,0)*0.475*44/12</f>
        <v>3.3980767740751185E-15</v>
      </c>
      <c r="BS168" s="22">
        <f t="shared" si="169"/>
        <v>21.238950250923075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5.6843418860808015E-14</v>
      </c>
      <c r="BZ168" s="13">
        <f>BY168*VLOOKUP('Données projet'!$B$12,Paramètres!$A$1:$I$89,3,0)*VLOOKUP('Données projet'!$B$12,Paramètres!$A$1:$I$89,5,0)</f>
        <v>5.1431925385259088E-14</v>
      </c>
      <c r="CA168" s="13">
        <f t="shared" si="170"/>
        <v>8.3482866290946129E-13</v>
      </c>
      <c r="CB168" s="20">
        <f t="shared" si="171"/>
        <v>1.5435705246133045E-12</v>
      </c>
      <c r="CC168" s="59">
        <f t="shared" si="119"/>
        <v>288.22609502834769</v>
      </c>
      <c r="CD168" s="59">
        <f ca="1">AVERAGE(OFFSET($CC$3,0,0,'Données projet'!$E$12+1,1))-AVERAGE(OFFSET($H$3,0,0,'Données projet'!$E$12+1,1))</f>
        <v>357.68828740212223</v>
      </c>
      <c r="CE168" s="59">
        <f t="shared" si="148"/>
        <v>236.76626845829483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27.967391748739043</v>
      </c>
      <c r="CL168" s="21">
        <f>EXP(-LN(2)/25)*CL167+(1-EXP(-LN(2)/25))/(LN(2)/25)*Calculateur!CG168*Calculateur!CI168*VLOOKUP('Données projet'!$B$12,Paramètres!$A$1:$I$89,3,0)*0.475*44/12</f>
        <v>13.682893785384325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41.65028553412337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257.00000000000006</v>
      </c>
      <c r="CU168" s="17">
        <f>CT168*VLOOKUP('Données projet'!$B$13,Paramètres!$A$1:$I$89,3,0)*VLOOKUP('Données projet'!$B$13,Paramètres!$A$1:$I$89,5,0)</f>
        <v>168.38640000000004</v>
      </c>
      <c r="CV168" s="13">
        <f t="shared" si="173"/>
        <v>42.728430513203243</v>
      </c>
      <c r="CW168" s="20">
        <f t="shared" si="174"/>
        <v>367.69166314382898</v>
      </c>
      <c r="CX168" s="59">
        <f t="shared" si="122"/>
        <v>655.91775817217513</v>
      </c>
      <c r="CY168" s="59">
        <f ca="1">AVERAGE(OFFSET($CX$3,0,0,'Données projet'!$E$13+1,1))-AVERAGE(OFFSET($H$3,0,0,'Données projet'!$E$13+1,1))</f>
        <v>220.18342986563667</v>
      </c>
      <c r="CZ168" s="59">
        <f t="shared" si="150"/>
        <v>347.84382145531163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4.9324280594985553E-20</v>
      </c>
      <c r="DI168" s="22">
        <f t="shared" si="175"/>
        <v>4.9324280594985553E-20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5.7639226724859328E-14</v>
      </c>
      <c r="DQ168" s="13">
        <f t="shared" si="176"/>
        <v>9.2325701996134334E-13</v>
      </c>
      <c r="DR168" s="20">
        <f t="shared" si="177"/>
        <v>1.708394296311803E-12</v>
      </c>
      <c r="DS168" s="59">
        <f t="shared" si="125"/>
        <v>288.22609502834786</v>
      </c>
      <c r="DT168" s="59">
        <f ca="1">AVERAGE(OFFSET($DS$3,0,0,'Données projet'!$E$14+1,1))-AVERAGE(OFFSET($H$3,0,0,'Données projet'!$E$14+1,1))</f>
        <v>392.49465607243178</v>
      </c>
      <c r="DU168" s="59">
        <f t="shared" si="152"/>
        <v>258.031856676031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31.342766614966155</v>
      </c>
      <c r="EB168" s="21">
        <f>EXP(-LN(2)/25)*EB167+(1-EXP(-LN(2)/25))/(LN(2)/25)*Calculateur!DW168*Calculateur!DY168*VLOOKUP('Données projet'!$B$14,Paramètres!$A$1:$I$89,3,0)*0.475*44/12</f>
        <v>15.334277518103111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46.677044133069266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294.24530606293143</v>
      </c>
      <c r="EP168" s="59">
        <f t="shared" si="154"/>
        <v>275.88160405468193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26.511896543475281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26.511896543475281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1.1368683772161603E-13</v>
      </c>
      <c r="FF168" s="17">
        <f>FE168*VLOOKUP('Données projet'!$B$16,Paramètres!$A$1:$I$89,3,0)*VLOOKUP('Données projet'!$B$16,Paramètres!$A$1:$I$89,5,0)</f>
        <v>8.3355189417488869E-14</v>
      </c>
      <c r="FG168" s="13">
        <f t="shared" si="182"/>
        <v>1.2790518435140618E-12</v>
      </c>
      <c r="FH168" s="20">
        <f t="shared" si="183"/>
        <v>2.3728589156891171E-12</v>
      </c>
      <c r="FI168" s="59">
        <f t="shared" si="131"/>
        <v>288.22609502834854</v>
      </c>
      <c r="FJ168" s="59">
        <f ca="1">AVERAGE(OFFSET($FI$3,0,0,'Données projet'!$E$16+1,1))-AVERAGE(OFFSET($H$3,0,0,'Données projet'!$E$16+1,1))</f>
        <v>214.31585175697521</v>
      </c>
      <c r="FK168" s="59">
        <f t="shared" si="156"/>
        <v>244.60383864821372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12.312302546557335</v>
      </c>
      <c r="FR168" s="21">
        <f>EXP(-LN(2)/25)*FR167+(1-EXP(-LN(2)/25))/(LN(2)/25)*Calculateur!FM168*Calculateur!FO168*VLOOKUP('Données projet'!$B$16,Paramètres!$A$1:$I$89,3,0)*0.475*44/12</f>
        <v>0</v>
      </c>
      <c r="FS168" s="21">
        <f>EXP(-LN(2)/2)*FS167+(1-EXP(-LN(2)/2))/(LN(2)/2)*FM168*FP168*VLOOKUP('Données projet'!$B$16,Paramètres!$A$1:$I$89,3,0)*0.475*44/12</f>
        <v>0</v>
      </c>
      <c r="FT168" s="22">
        <f t="shared" si="184"/>
        <v>12.312302546557335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-5.6843418860808015E-14</v>
      </c>
      <c r="GA168" s="17">
        <f>FZ168*VLOOKUP('Données projet'!$B$17,Paramètres!$A$1:$I$89,3,0)*VLOOKUP('Données projet'!$B$17,Paramètres!$A$1:$I$89,5,0)</f>
        <v>-4.5224624045658861E-14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308.33954512886351</v>
      </c>
      <c r="GF168" s="59">
        <f t="shared" si="158"/>
        <v>408.79075392716277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17.04824346539786</v>
      </c>
      <c r="GM168" s="21">
        <f>EXP(-LN(2)/25)*GM167+(1-EXP(-LN(2)/25))/(LN(2)/25)*Calculateur!GH168*Calculateur!GJ168*VLOOKUP('Données projet'!$B$17,Paramètres!$A$1:$I$89,3,0)*0.475*44/12</f>
        <v>0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17.04824346539786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342.84342155097613</v>
      </c>
      <c r="T169" s="59">
        <f t="shared" si="142"/>
        <v>565.68976940602215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15.753237431387255</v>
      </c>
      <c r="AA169" s="21">
        <f>EXP(-LN(2)/25)*AA168+(1-EXP(-LN(2)/25))/(LN(2)/25)*Calculateur!V169*Calculateur!X169*VLOOKUP('Données projet'!$B$9,Paramètres!$A$1:$I$89,3,0)*0.475*44/12</f>
        <v>3.084300281628515</v>
      </c>
      <c r="AB169" s="21">
        <f>EXP(-LN(2)/2)*AB168+(1-EXP(-LN(2)/2))/(LN(2)/2)*V169*Y169*VLOOKUP('Données projet'!$B$9,Paramètres!$A$1:$I$89,3,0)*0.475*44/12</f>
        <v>2.5385174638013163E-17</v>
      </c>
      <c r="AC169" s="22">
        <f t="shared" si="163"/>
        <v>18.83753771301577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320.33056209214476</v>
      </c>
      <c r="AO169" s="59">
        <f t="shared" si="144"/>
        <v>299.27200854723446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6.2320580519763009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6.2320580519763009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256.85706398254547</v>
      </c>
      <c r="BJ169" s="59">
        <f t="shared" si="146"/>
        <v>363.68094621014734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17.944664215349484</v>
      </c>
      <c r="BQ169" s="21">
        <f>EXP(-LN(2)/25)*BQ168+(1-EXP(-LN(2)/25))/(LN(2)/25)*Calculateur!BL169*Calculateur!BN169*VLOOKUP('Données projet'!$B$11,Paramètres!$A$1:$I$89,3,0)*0.475*44/12</f>
        <v>2.8550961913340376</v>
      </c>
      <c r="BR169" s="21">
        <f>EXP(-LN(2)/2)*BR168+(1-EXP(-LN(2)/2))/(LN(2)/2)*BL169*BO169*VLOOKUP('Données projet'!$B$11,Paramètres!$A$1:$I$89,3,0)*0.475*44/12</f>
        <v>2.4028031299410241E-15</v>
      </c>
      <c r="BS169" s="22">
        <f t="shared" si="169"/>
        <v>20.799760406683525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5.6843418860808015E-14</v>
      </c>
      <c r="BZ169" s="13">
        <f>BY169*VLOOKUP('Données projet'!$B$12,Paramètres!$A$1:$I$89,3,0)*VLOOKUP('Données projet'!$B$12,Paramètres!$A$1:$I$89,5,0)</f>
        <v>5.1431925385259088E-14</v>
      </c>
      <c r="CA169" s="13">
        <f t="shared" si="170"/>
        <v>8.3482866290946129E-13</v>
      </c>
      <c r="CB169" s="20">
        <f t="shared" si="171"/>
        <v>1.5435705246133045E-12</v>
      </c>
      <c r="CC169" s="59">
        <f t="shared" si="119"/>
        <v>288.31469419486496</v>
      </c>
      <c r="CD169" s="59">
        <f ca="1">AVERAGE(OFFSET($CC$3,0,0,'Données projet'!$E$12+1,1))-AVERAGE(OFFSET($H$3,0,0,'Données projet'!$E$12+1,1))</f>
        <v>357.68828740212223</v>
      </c>
      <c r="CE169" s="59">
        <f t="shared" si="148"/>
        <v>236.76626845829483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27.418968254970856</v>
      </c>
      <c r="CL169" s="21">
        <f>EXP(-LN(2)/25)*CL168+(1-EXP(-LN(2)/25))/(LN(2)/25)*Calculateur!CG169*Calculateur!CI169*VLOOKUP('Données projet'!$B$12,Paramètres!$A$1:$I$89,3,0)*0.475*44/12</f>
        <v>13.308734335270879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40.727702590241734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257.00000000000006</v>
      </c>
      <c r="CU169" s="17">
        <f>CT169*VLOOKUP('Données projet'!$B$13,Paramètres!$A$1:$I$89,3,0)*VLOOKUP('Données projet'!$B$13,Paramètres!$A$1:$I$89,5,0)</f>
        <v>168.38640000000004</v>
      </c>
      <c r="CV169" s="13">
        <f t="shared" si="173"/>
        <v>42.728430513203243</v>
      </c>
      <c r="CW169" s="20">
        <f t="shared" si="174"/>
        <v>367.69166314382898</v>
      </c>
      <c r="CX169" s="59">
        <f t="shared" si="122"/>
        <v>656.0063573386924</v>
      </c>
      <c r="CY169" s="59">
        <f ca="1">AVERAGE(OFFSET($CX$3,0,0,'Données projet'!$E$13+1,1))-AVERAGE(OFFSET($H$3,0,0,'Données projet'!$E$13+1,1))</f>
        <v>220.18342986563667</v>
      </c>
      <c r="CZ169" s="59">
        <f t="shared" si="150"/>
        <v>347.84382145531163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3.4877533285862321E-20</v>
      </c>
      <c r="DI169" s="22">
        <f t="shared" si="175"/>
        <v>3.4877533285862321E-20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5.7639226724859328E-14</v>
      </c>
      <c r="DQ169" s="13">
        <f t="shared" si="176"/>
        <v>9.2325701996134334E-13</v>
      </c>
      <c r="DR169" s="20">
        <f t="shared" si="177"/>
        <v>1.708394296311803E-12</v>
      </c>
      <c r="DS169" s="59">
        <f t="shared" si="125"/>
        <v>288.31469419486513</v>
      </c>
      <c r="DT169" s="59">
        <f ca="1">AVERAGE(OFFSET($DS$3,0,0,'Données projet'!$E$14+1,1))-AVERAGE(OFFSET($H$3,0,0,'Données projet'!$E$14+1,1))</f>
        <v>392.49465607243178</v>
      </c>
      <c r="DU169" s="59">
        <f t="shared" si="152"/>
        <v>258.031856676031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30.728154078846636</v>
      </c>
      <c r="EB169" s="21">
        <f>EXP(-LN(2)/25)*EB168+(1-EXP(-LN(2)/25))/(LN(2)/25)*Calculateur!DW169*Calculateur!DY169*VLOOKUP('Données projet'!$B$14,Paramètres!$A$1:$I$89,3,0)*0.475*44/12</f>
        <v>14.914960892975973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45.643114971822612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294.24530606293143</v>
      </c>
      <c r="EP169" s="59">
        <f t="shared" si="154"/>
        <v>275.88160405468193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25.992014422917901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25.992014422917901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1.1368683772161603E-13</v>
      </c>
      <c r="FF169" s="17">
        <f>FE169*VLOOKUP('Données projet'!$B$16,Paramètres!$A$1:$I$89,3,0)*VLOOKUP('Données projet'!$B$16,Paramètres!$A$1:$I$89,5,0)</f>
        <v>8.3355189417488869E-14</v>
      </c>
      <c r="FG169" s="13">
        <f t="shared" si="182"/>
        <v>1.2790518435140618E-12</v>
      </c>
      <c r="FH169" s="20">
        <f t="shared" si="183"/>
        <v>2.3728589156891171E-12</v>
      </c>
      <c r="FI169" s="59">
        <f t="shared" si="131"/>
        <v>288.31469419486581</v>
      </c>
      <c r="FJ169" s="59">
        <f ca="1">AVERAGE(OFFSET($FI$3,0,0,'Données projet'!$E$16+1,1))-AVERAGE(OFFSET($H$3,0,0,'Données projet'!$E$16+1,1))</f>
        <v>214.31585175697521</v>
      </c>
      <c r="FK169" s="59">
        <f t="shared" si="156"/>
        <v>244.60383864821372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12.070865803382372</v>
      </c>
      <c r="FR169" s="21">
        <f>EXP(-LN(2)/25)*FR168+(1-EXP(-LN(2)/25))/(LN(2)/25)*Calculateur!FM169*Calculateur!FO169*VLOOKUP('Données projet'!$B$16,Paramètres!$A$1:$I$89,3,0)*0.475*44/12</f>
        <v>0</v>
      </c>
      <c r="FS169" s="21">
        <f>EXP(-LN(2)/2)*FS168+(1-EXP(-LN(2)/2))/(LN(2)/2)*FM169*FP169*VLOOKUP('Données projet'!$B$16,Paramètres!$A$1:$I$89,3,0)*0.475*44/12</f>
        <v>0</v>
      </c>
      <c r="FT169" s="22">
        <f t="shared" si="184"/>
        <v>12.070865803382372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-5.6843418860808015E-14</v>
      </c>
      <c r="GA169" s="17">
        <f>FZ169*VLOOKUP('Données projet'!$B$17,Paramètres!$A$1:$I$89,3,0)*VLOOKUP('Données projet'!$B$17,Paramètres!$A$1:$I$89,5,0)</f>
        <v>-4.5224624045658861E-14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308.33954512886351</v>
      </c>
      <c r="GF169" s="59">
        <f t="shared" si="158"/>
        <v>408.79075392716277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16.713937809443166</v>
      </c>
      <c r="GM169" s="21">
        <f>EXP(-LN(2)/25)*GM168+(1-EXP(-LN(2)/25))/(LN(2)/25)*Calculateur!GH169*Calculateur!GJ169*VLOOKUP('Données projet'!$B$17,Paramètres!$A$1:$I$89,3,0)*0.475*44/12</f>
        <v>0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16.713937809443166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342.84342155097613</v>
      </c>
      <c r="T170" s="59">
        <f t="shared" si="142"/>
        <v>565.68976940602215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15.44432605388382</v>
      </c>
      <c r="AA170" s="21">
        <f>EXP(-LN(2)/25)*AA169+(1-EXP(-LN(2)/25))/(LN(2)/25)*Calculateur!V170*Calculateur!X170*VLOOKUP('Données projet'!$B$9,Paramètres!$A$1:$I$89,3,0)*0.475*44/12</f>
        <v>2.9999599282310805</v>
      </c>
      <c r="AB170" s="21">
        <f>EXP(-LN(2)/2)*AB169+(1-EXP(-LN(2)/2))/(LN(2)/2)*V170*Y170*VLOOKUP('Données projet'!$B$9,Paramètres!$A$1:$I$89,3,0)*0.475*44/12</f>
        <v>1.7950029128143869E-17</v>
      </c>
      <c r="AC170" s="22">
        <f t="shared" si="163"/>
        <v>18.444285982114902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320.33056209214476</v>
      </c>
      <c r="AO170" s="59">
        <f t="shared" si="144"/>
        <v>299.27200854723446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6.0616420968153193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6.0616420968153193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256.85706398254547</v>
      </c>
      <c r="BJ170" s="59">
        <f t="shared" si="146"/>
        <v>363.68094621014734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17.592780295250908</v>
      </c>
      <c r="BQ170" s="21">
        <f>EXP(-LN(2)/25)*BQ169+(1-EXP(-LN(2)/25))/(LN(2)/25)*Calculateur!BL170*Calculateur!BN170*VLOOKUP('Données projet'!$B$11,Paramètres!$A$1:$I$89,3,0)*0.475*44/12</f>
        <v>2.7770234358390251</v>
      </c>
      <c r="BR170" s="21">
        <f>EXP(-LN(2)/2)*BR169+(1-EXP(-LN(2)/2))/(LN(2)/2)*BL170*BO170*VLOOKUP('Données projet'!$B$11,Paramètres!$A$1:$I$89,3,0)*0.475*44/12</f>
        <v>1.6990383870375593E-15</v>
      </c>
      <c r="BS170" s="22">
        <f t="shared" si="169"/>
        <v>20.369803731089931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5.6843418860808015E-14</v>
      </c>
      <c r="BZ170" s="13">
        <f>BY170*VLOOKUP('Données projet'!$B$12,Paramètres!$A$1:$I$89,3,0)*VLOOKUP('Données projet'!$B$12,Paramètres!$A$1:$I$89,5,0)</f>
        <v>5.1431925385259088E-14</v>
      </c>
      <c r="CA170" s="13">
        <f t="shared" si="170"/>
        <v>8.3482866290946129E-13</v>
      </c>
      <c r="CB170" s="20">
        <f t="shared" si="171"/>
        <v>1.5435705246133045E-12</v>
      </c>
      <c r="CC170" s="59">
        <f t="shared" si="119"/>
        <v>288.40175636392115</v>
      </c>
      <c r="CD170" s="59">
        <f ca="1">AVERAGE(OFFSET($CC$3,0,0,'Données projet'!$E$12+1,1))-AVERAGE(OFFSET($H$3,0,0,'Données projet'!$E$12+1,1))</f>
        <v>357.68828740212223</v>
      </c>
      <c r="CE170" s="59">
        <f t="shared" si="148"/>
        <v>236.76626845829483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26.881299011410164</v>
      </c>
      <c r="CL170" s="21">
        <f>EXP(-LN(2)/25)*CL169+(1-EXP(-LN(2)/25))/(LN(2)/25)*Calculateur!CG170*Calculateur!CI170*VLOOKUP('Données projet'!$B$12,Paramètres!$A$1:$I$89,3,0)*0.475*44/12</f>
        <v>12.944806294996976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39.826105306407143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257.00000000000006</v>
      </c>
      <c r="CU170" s="17">
        <f>CT170*VLOOKUP('Données projet'!$B$13,Paramètres!$A$1:$I$89,3,0)*VLOOKUP('Données projet'!$B$13,Paramètres!$A$1:$I$89,5,0)</f>
        <v>168.38640000000004</v>
      </c>
      <c r="CV170" s="13">
        <f t="shared" si="173"/>
        <v>42.728430513203243</v>
      </c>
      <c r="CW170" s="20">
        <f t="shared" si="174"/>
        <v>367.69166314382898</v>
      </c>
      <c r="CX170" s="59">
        <f t="shared" si="122"/>
        <v>656.09341950774865</v>
      </c>
      <c r="CY170" s="59">
        <f ca="1">AVERAGE(OFFSET($CX$3,0,0,'Données projet'!$E$13+1,1))-AVERAGE(OFFSET($H$3,0,0,'Données projet'!$E$13+1,1))</f>
        <v>220.18342986563667</v>
      </c>
      <c r="CZ170" s="59">
        <f t="shared" si="150"/>
        <v>347.84382145531163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2.4662140297492776E-20</v>
      </c>
      <c r="DI170" s="22">
        <f t="shared" si="175"/>
        <v>2.4662140297492776E-20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5.7639226724859328E-14</v>
      </c>
      <c r="DQ170" s="13">
        <f t="shared" si="176"/>
        <v>9.2325701996134334E-13</v>
      </c>
      <c r="DR170" s="20">
        <f t="shared" si="177"/>
        <v>1.708394296311803E-12</v>
      </c>
      <c r="DS170" s="59">
        <f t="shared" si="125"/>
        <v>288.40175636392132</v>
      </c>
      <c r="DT170" s="59">
        <f ca="1">AVERAGE(OFFSET($DS$3,0,0,'Données projet'!$E$14+1,1))-AVERAGE(OFFSET($H$3,0,0,'Données projet'!$E$14+1,1))</f>
        <v>392.49465607243178</v>
      </c>
      <c r="DU170" s="59">
        <f t="shared" si="152"/>
        <v>258.031856676031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30.125593719683792</v>
      </c>
      <c r="EB170" s="21">
        <f>EXP(-LN(2)/25)*EB169+(1-EXP(-LN(2)/25))/(LN(2)/25)*Calculateur!DW170*Calculateur!DY170*VLOOKUP('Données projet'!$B$14,Paramètres!$A$1:$I$89,3,0)*0.475*44/12</f>
        <v>14.507110503013839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44.632704222697633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294.24530606293143</v>
      </c>
      <c r="EP170" s="59">
        <f t="shared" si="154"/>
        <v>275.88160405468193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25.482326873647871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25.482326873647871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1.1368683772161603E-13</v>
      </c>
      <c r="FF170" s="17">
        <f>FE170*VLOOKUP('Données projet'!$B$16,Paramètres!$A$1:$I$89,3,0)*VLOOKUP('Données projet'!$B$16,Paramètres!$A$1:$I$89,5,0)</f>
        <v>8.3355189417488869E-14</v>
      </c>
      <c r="FG170" s="13">
        <f t="shared" si="182"/>
        <v>1.2790518435140618E-12</v>
      </c>
      <c r="FH170" s="20">
        <f t="shared" si="183"/>
        <v>2.3728589156891171E-12</v>
      </c>
      <c r="FI170" s="59">
        <f t="shared" si="131"/>
        <v>288.401756363922</v>
      </c>
      <c r="FJ170" s="59">
        <f ca="1">AVERAGE(OFFSET($FI$3,0,0,'Données projet'!$E$16+1,1))-AVERAGE(OFFSET($H$3,0,0,'Données projet'!$E$16+1,1))</f>
        <v>214.31585175697521</v>
      </c>
      <c r="FK170" s="59">
        <f t="shared" si="156"/>
        <v>244.60383864821372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11.834163487479197</v>
      </c>
      <c r="FR170" s="21">
        <f>EXP(-LN(2)/25)*FR169+(1-EXP(-LN(2)/25))/(LN(2)/25)*Calculateur!FM170*Calculateur!FO170*VLOOKUP('Données projet'!$B$16,Paramètres!$A$1:$I$89,3,0)*0.475*44/12</f>
        <v>0</v>
      </c>
      <c r="FS170" s="21">
        <f>EXP(-LN(2)/2)*FS169+(1-EXP(-LN(2)/2))/(LN(2)/2)*FM170*FP170*VLOOKUP('Données projet'!$B$16,Paramètres!$A$1:$I$89,3,0)*0.475*44/12</f>
        <v>0</v>
      </c>
      <c r="FT170" s="22">
        <f t="shared" si="184"/>
        <v>11.834163487479197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-5.6843418860808015E-14</v>
      </c>
      <c r="GA170" s="17">
        <f>FZ170*VLOOKUP('Données projet'!$B$17,Paramètres!$A$1:$I$89,3,0)*VLOOKUP('Données projet'!$B$17,Paramètres!$A$1:$I$89,5,0)</f>
        <v>-4.5224624045658861E-14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308.33954512886351</v>
      </c>
      <c r="GF170" s="59">
        <f t="shared" si="158"/>
        <v>408.79075392716277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16.386187683495425</v>
      </c>
      <c r="GM170" s="21">
        <f>EXP(-LN(2)/25)*GM169+(1-EXP(-LN(2)/25))/(LN(2)/25)*Calculateur!GH170*Calculateur!GJ170*VLOOKUP('Données projet'!$B$17,Paramètres!$A$1:$I$89,3,0)*0.475*44/12</f>
        <v>0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16.386187683495425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342.84342155097613</v>
      </c>
      <c r="T171" s="59">
        <f t="shared" si="142"/>
        <v>565.68976940602215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15.141472240075894</v>
      </c>
      <c r="AA171" s="21">
        <f>EXP(-LN(2)/25)*AA170+(1-EXP(-LN(2)/25))/(LN(2)/25)*Calculateur!V171*Calculateur!X171*VLOOKUP('Données projet'!$B$9,Paramètres!$A$1:$I$89,3,0)*0.475*44/12</f>
        <v>2.9179258662325656</v>
      </c>
      <c r="AB171" s="21">
        <f>EXP(-LN(2)/2)*AB170+(1-EXP(-LN(2)/2))/(LN(2)/2)*V171*Y171*VLOOKUP('Données projet'!$B$9,Paramètres!$A$1:$I$89,3,0)*0.475*44/12</f>
        <v>1.2692587319006582E-17</v>
      </c>
      <c r="AC171" s="22">
        <f t="shared" si="163"/>
        <v>18.059398106308461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320.33056209214476</v>
      </c>
      <c r="AO171" s="59">
        <f t="shared" si="144"/>
        <v>299.27200854723446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5.8958861749100002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5.8958861749100002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256.85706398254547</v>
      </c>
      <c r="BJ171" s="59">
        <f t="shared" si="146"/>
        <v>363.68094621014734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17.247796604197465</v>
      </c>
      <c r="BQ171" s="21">
        <f>EXP(-LN(2)/25)*BQ170+(1-EXP(-LN(2)/25))/(LN(2)/25)*Calculateur!BL171*Calculateur!BN171*VLOOKUP('Données projet'!$B$11,Paramètres!$A$1:$I$89,3,0)*0.475*44/12</f>
        <v>2.7010855839486916</v>
      </c>
      <c r="BR171" s="21">
        <f>EXP(-LN(2)/2)*BR170+(1-EXP(-LN(2)/2))/(LN(2)/2)*BL171*BO171*VLOOKUP('Données projet'!$B$11,Paramètres!$A$1:$I$89,3,0)*0.475*44/12</f>
        <v>1.2014015649705121E-15</v>
      </c>
      <c r="BS171" s="22">
        <f t="shared" si="169"/>
        <v>19.948882188146158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5.6843418860808015E-14</v>
      </c>
      <c r="BZ171" s="13">
        <f>BY171*VLOOKUP('Données projet'!$B$12,Paramètres!$A$1:$I$89,3,0)*VLOOKUP('Données projet'!$B$12,Paramètres!$A$1:$I$89,5,0)</f>
        <v>5.1431925385259088E-14</v>
      </c>
      <c r="CA171" s="13">
        <f t="shared" si="170"/>
        <v>8.3482866290946129E-13</v>
      </c>
      <c r="CB171" s="20">
        <f t="shared" si="171"/>
        <v>1.5435705246133045E-12</v>
      </c>
      <c r="CC171" s="59">
        <f t="shared" si="119"/>
        <v>288.48730819898606</v>
      </c>
      <c r="CD171" s="59">
        <f ca="1">AVERAGE(OFFSET($CC$3,0,0,'Données projet'!$E$12+1,1))-AVERAGE(OFFSET($H$3,0,0,'Données projet'!$E$12+1,1))</f>
        <v>357.68828740212223</v>
      </c>
      <c r="CE171" s="59">
        <f t="shared" si="148"/>
        <v>236.76626845829483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26.354173133769841</v>
      </c>
      <c r="CL171" s="21">
        <f>EXP(-LN(2)/25)*CL170+(1-EXP(-LN(2)/25))/(LN(2)/25)*Calculateur!CG171*Calculateur!CI171*VLOOKUP('Données projet'!$B$12,Paramètres!$A$1:$I$89,3,0)*0.475*44/12</f>
        <v>12.590829886122506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38.945003019892347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257.00000000000006</v>
      </c>
      <c r="CU171" s="17">
        <f>CT171*VLOOKUP('Données projet'!$B$13,Paramètres!$A$1:$I$89,3,0)*VLOOKUP('Données projet'!$B$13,Paramètres!$A$1:$I$89,5,0)</f>
        <v>168.38640000000004</v>
      </c>
      <c r="CV171" s="13">
        <f t="shared" si="173"/>
        <v>42.728430513203243</v>
      </c>
      <c r="CW171" s="20">
        <f t="shared" si="174"/>
        <v>367.69166314382898</v>
      </c>
      <c r="CX171" s="59">
        <f t="shared" si="122"/>
        <v>656.1789713428135</v>
      </c>
      <c r="CY171" s="59">
        <f ca="1">AVERAGE(OFFSET($CX$3,0,0,'Données projet'!$E$13+1,1))-AVERAGE(OFFSET($H$3,0,0,'Données projet'!$E$13+1,1))</f>
        <v>220.18342986563667</v>
      </c>
      <c r="CZ171" s="59">
        <f t="shared" si="150"/>
        <v>347.84382145531163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1.743876664293116E-20</v>
      </c>
      <c r="DI171" s="22">
        <f t="shared" si="175"/>
        <v>1.743876664293116E-20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5.7639226724859328E-14</v>
      </c>
      <c r="DQ171" s="13">
        <f t="shared" si="176"/>
        <v>9.2325701996134334E-13</v>
      </c>
      <c r="DR171" s="20">
        <f t="shared" si="177"/>
        <v>1.708394296311803E-12</v>
      </c>
      <c r="DS171" s="59">
        <f t="shared" si="125"/>
        <v>288.48730819898623</v>
      </c>
      <c r="DT171" s="59">
        <f ca="1">AVERAGE(OFFSET($DS$3,0,0,'Données projet'!$E$14+1,1))-AVERAGE(OFFSET($H$3,0,0,'Données projet'!$E$14+1,1))</f>
        <v>392.49465607243178</v>
      </c>
      <c r="DU171" s="59">
        <f t="shared" si="152"/>
        <v>258.031856676031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29.5348492016386</v>
      </c>
      <c r="EB171" s="21">
        <f>EXP(-LN(2)/25)*EB170+(1-EXP(-LN(2)/25))/(LN(2)/25)*Calculateur!DW171*Calculateur!DY171*VLOOKUP('Données projet'!$B$14,Paramètres!$A$1:$I$89,3,0)*0.475*44/12</f>
        <v>14.110412803413141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43.645262005051741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294.24530606293143</v>
      </c>
      <c r="EP171" s="59">
        <f t="shared" si="154"/>
        <v>275.88160405468193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24.982633986340318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24.982633986340318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1.1368683772161603E-13</v>
      </c>
      <c r="FF171" s="17">
        <f>FE171*VLOOKUP('Données projet'!$B$16,Paramètres!$A$1:$I$89,3,0)*VLOOKUP('Données projet'!$B$16,Paramètres!$A$1:$I$89,5,0)</f>
        <v>8.3355189417488869E-14</v>
      </c>
      <c r="FG171" s="13">
        <f t="shared" si="182"/>
        <v>1.2790518435140618E-12</v>
      </c>
      <c r="FH171" s="20">
        <f t="shared" si="183"/>
        <v>2.3728589156891171E-12</v>
      </c>
      <c r="FI171" s="59">
        <f t="shared" si="131"/>
        <v>288.48730819898691</v>
      </c>
      <c r="FJ171" s="59">
        <f ca="1">AVERAGE(OFFSET($FI$3,0,0,'Données projet'!$E$16+1,1))-AVERAGE(OFFSET($H$3,0,0,'Données projet'!$E$16+1,1))</f>
        <v>214.31585175697521</v>
      </c>
      <c r="FK171" s="59">
        <f t="shared" si="156"/>
        <v>244.60383864821372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11.602102759616725</v>
      </c>
      <c r="FR171" s="21">
        <f>EXP(-LN(2)/25)*FR170+(1-EXP(-LN(2)/25))/(LN(2)/25)*Calculateur!FM171*Calculateur!FO171*VLOOKUP('Données projet'!$B$16,Paramètres!$A$1:$I$89,3,0)*0.475*44/12</f>
        <v>0</v>
      </c>
      <c r="FS171" s="21">
        <f>EXP(-LN(2)/2)*FS170+(1-EXP(-LN(2)/2))/(LN(2)/2)*FM171*FP171*VLOOKUP('Données projet'!$B$16,Paramètres!$A$1:$I$89,3,0)*0.475*44/12</f>
        <v>0</v>
      </c>
      <c r="FT171" s="22">
        <f t="shared" si="184"/>
        <v>11.602102759616725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-5.6843418860808015E-14</v>
      </c>
      <c r="GA171" s="17">
        <f>FZ171*VLOOKUP('Données projet'!$B$17,Paramètres!$A$1:$I$89,3,0)*VLOOKUP('Données projet'!$B$17,Paramètres!$A$1:$I$89,5,0)</f>
        <v>-4.5224624045658861E-14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308.33954512886351</v>
      </c>
      <c r="GF171" s="59">
        <f t="shared" si="158"/>
        <v>408.79075392716277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16.064864537609683</v>
      </c>
      <c r="GM171" s="21">
        <f>EXP(-LN(2)/25)*GM170+(1-EXP(-LN(2)/25))/(LN(2)/25)*Calculateur!GH171*Calculateur!GJ171*VLOOKUP('Données projet'!$B$17,Paramètres!$A$1:$I$89,3,0)*0.475*44/12</f>
        <v>0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16.064864537609683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342.84342155097613</v>
      </c>
      <c r="T172" s="59">
        <f t="shared" si="142"/>
        <v>565.68976940602215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14.844557204834153</v>
      </c>
      <c r="AA172" s="21">
        <f>EXP(-LN(2)/25)*AA171+(1-EXP(-LN(2)/25))/(LN(2)/25)*Calculateur!V172*Calculateur!X172*VLOOKUP('Données projet'!$B$9,Paramètres!$A$1:$I$89,3,0)*0.475*44/12</f>
        <v>2.8381350299733836</v>
      </c>
      <c r="AB172" s="21">
        <f>EXP(-LN(2)/2)*AB171+(1-EXP(-LN(2)/2))/(LN(2)/2)*V172*Y172*VLOOKUP('Données projet'!$B$9,Paramètres!$A$1:$I$89,3,0)*0.475*44/12</f>
        <v>8.9750145640719347E-18</v>
      </c>
      <c r="AC172" s="22">
        <f t="shared" si="163"/>
        <v>17.682692234807536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320.33056209214476</v>
      </c>
      <c r="AO172" s="59">
        <f t="shared" si="144"/>
        <v>299.27200854723446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5.7346628574059073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5.7346628574059073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256.85706398254547</v>
      </c>
      <c r="BJ172" s="59">
        <f t="shared" si="146"/>
        <v>363.68094621014734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16.909577832906304</v>
      </c>
      <c r="BQ172" s="21">
        <f>EXP(-LN(2)/25)*BQ171+(1-EXP(-LN(2)/25))/(LN(2)/25)*Calculateur!BL172*Calculateur!BN172*VLOOKUP('Données projet'!$B$11,Paramètres!$A$1:$I$89,3,0)*0.475*44/12</f>
        <v>2.6272242566116972</v>
      </c>
      <c r="BR172" s="21">
        <f>EXP(-LN(2)/2)*BR171+(1-EXP(-LN(2)/2))/(LN(2)/2)*BL172*BO172*VLOOKUP('Données projet'!$B$11,Paramètres!$A$1:$I$89,3,0)*0.475*44/12</f>
        <v>8.4951919351877964E-16</v>
      </c>
      <c r="BS172" s="22">
        <f t="shared" si="169"/>
        <v>19.536802089518002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5.6843418860808015E-14</v>
      </c>
      <c r="BZ172" s="13">
        <f>BY172*VLOOKUP('Données projet'!$B$12,Paramètres!$A$1:$I$89,3,0)*VLOOKUP('Données projet'!$B$12,Paramètres!$A$1:$I$89,5,0)</f>
        <v>5.1431925385259088E-14</v>
      </c>
      <c r="CA172" s="13">
        <f t="shared" si="170"/>
        <v>8.3482866290946129E-13</v>
      </c>
      <c r="CB172" s="20">
        <f t="shared" si="171"/>
        <v>1.5435705246133045E-12</v>
      </c>
      <c r="CC172" s="59">
        <f t="shared" si="119"/>
        <v>288.57137590097796</v>
      </c>
      <c r="CD172" s="59">
        <f ca="1">AVERAGE(OFFSET($CC$3,0,0,'Données projet'!$E$12+1,1))-AVERAGE(OFFSET($H$3,0,0,'Données projet'!$E$12+1,1))</f>
        <v>357.68828740212223</v>
      </c>
      <c r="CE172" s="59">
        <f t="shared" si="148"/>
        <v>236.76626845829483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25.837383873075005</v>
      </c>
      <c r="CL172" s="21">
        <f>EXP(-LN(2)/25)*CL171+(1-EXP(-LN(2)/25))/(LN(2)/25)*Calculateur!CG172*Calculateur!CI172*VLOOKUP('Données projet'!$B$12,Paramètres!$A$1:$I$89,3,0)*0.475*44/12</f>
        <v>12.246532980763519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38.083916853838524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257.00000000000006</v>
      </c>
      <c r="CU172" s="17">
        <f>CT172*VLOOKUP('Données projet'!$B$13,Paramètres!$A$1:$I$89,3,0)*VLOOKUP('Données projet'!$B$13,Paramètres!$A$1:$I$89,5,0)</f>
        <v>168.38640000000004</v>
      </c>
      <c r="CV172" s="13">
        <f t="shared" si="173"/>
        <v>42.728430513203243</v>
      </c>
      <c r="CW172" s="20">
        <f t="shared" si="174"/>
        <v>367.69166314382898</v>
      </c>
      <c r="CX172" s="59">
        <f t="shared" si="122"/>
        <v>656.2630390448054</v>
      </c>
      <c r="CY172" s="59">
        <f ca="1">AVERAGE(OFFSET($CX$3,0,0,'Données projet'!$E$13+1,1))-AVERAGE(OFFSET($H$3,0,0,'Données projet'!$E$13+1,1))</f>
        <v>220.18342986563667</v>
      </c>
      <c r="CZ172" s="59">
        <f t="shared" si="150"/>
        <v>347.84382145531163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1.2331070148746388E-20</v>
      </c>
      <c r="DI172" s="22">
        <f t="shared" si="175"/>
        <v>1.2331070148746388E-20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5.7639226724859328E-14</v>
      </c>
      <c r="DQ172" s="13">
        <f t="shared" si="176"/>
        <v>9.2325701996134334E-13</v>
      </c>
      <c r="DR172" s="20">
        <f t="shared" si="177"/>
        <v>1.708394296311803E-12</v>
      </c>
      <c r="DS172" s="59">
        <f t="shared" si="125"/>
        <v>288.57137590097813</v>
      </c>
      <c r="DT172" s="59">
        <f ca="1">AVERAGE(OFFSET($DS$3,0,0,'Données projet'!$E$14+1,1))-AVERAGE(OFFSET($H$3,0,0,'Données projet'!$E$14+1,1))</f>
        <v>392.49465607243178</v>
      </c>
      <c r="DU172" s="59">
        <f t="shared" si="152"/>
        <v>258.031856676031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28.955688823273697</v>
      </c>
      <c r="EB172" s="21">
        <f>EXP(-LN(2)/25)*EB171+(1-EXP(-LN(2)/25))/(LN(2)/25)*Calculateur!DW172*Calculateur!DY172*VLOOKUP('Données projet'!$B$14,Paramètres!$A$1:$I$89,3,0)*0.475*44/12</f>
        <v>13.724562823269448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42.680251646543141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294.24530606293143</v>
      </c>
      <c r="EP172" s="59">
        <f t="shared" si="154"/>
        <v>275.88160405468193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24.492739771770299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24.492739771770299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1.1368683772161603E-13</v>
      </c>
      <c r="FF172" s="17">
        <f>FE172*VLOOKUP('Données projet'!$B$16,Paramètres!$A$1:$I$89,3,0)*VLOOKUP('Données projet'!$B$16,Paramètres!$A$1:$I$89,5,0)</f>
        <v>8.3355189417488869E-14</v>
      </c>
      <c r="FG172" s="13">
        <f t="shared" si="182"/>
        <v>1.2790518435140618E-12</v>
      </c>
      <c r="FH172" s="20">
        <f t="shared" si="183"/>
        <v>2.3728589156891171E-12</v>
      </c>
      <c r="FI172" s="59">
        <f t="shared" si="131"/>
        <v>288.57137590097881</v>
      </c>
      <c r="FJ172" s="59">
        <f ca="1">AVERAGE(OFFSET($FI$3,0,0,'Données projet'!$E$16+1,1))-AVERAGE(OFFSET($H$3,0,0,'Données projet'!$E$16+1,1))</f>
        <v>214.31585175697521</v>
      </c>
      <c r="FK172" s="59">
        <f t="shared" si="156"/>
        <v>244.60383864821372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11.37459260108457</v>
      </c>
      <c r="FR172" s="21">
        <f>EXP(-LN(2)/25)*FR171+(1-EXP(-LN(2)/25))/(LN(2)/25)*Calculateur!FM172*Calculateur!FO172*VLOOKUP('Données projet'!$B$16,Paramètres!$A$1:$I$89,3,0)*0.475*44/12</f>
        <v>0</v>
      </c>
      <c r="FS172" s="21">
        <f>EXP(-LN(2)/2)*FS171+(1-EXP(-LN(2)/2))/(LN(2)/2)*FM172*FP172*VLOOKUP('Données projet'!$B$16,Paramètres!$A$1:$I$89,3,0)*0.475*44/12</f>
        <v>0</v>
      </c>
      <c r="FT172" s="22">
        <f t="shared" si="184"/>
        <v>11.37459260108457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-5.6843418860808015E-14</v>
      </c>
      <c r="GA172" s="17">
        <f>FZ172*VLOOKUP('Données projet'!$B$17,Paramètres!$A$1:$I$89,3,0)*VLOOKUP('Données projet'!$B$17,Paramètres!$A$1:$I$89,5,0)</f>
        <v>-4.5224624045658861E-14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308.33954512886351</v>
      </c>
      <c r="GF172" s="59">
        <f t="shared" si="158"/>
        <v>408.79075392716277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15.749842342626994</v>
      </c>
      <c r="GM172" s="21">
        <f>EXP(-LN(2)/25)*GM171+(1-EXP(-LN(2)/25))/(LN(2)/25)*Calculateur!GH172*Calculateur!GJ172*VLOOKUP('Données projet'!$B$17,Paramètres!$A$1:$I$89,3,0)*0.475*44/12</f>
        <v>0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15.749842342626994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342.84342155097613</v>
      </c>
      <c r="T173" s="59">
        <f t="shared" si="142"/>
        <v>565.68976940602215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14.553464492333214</v>
      </c>
      <c r="AA173" s="21">
        <f>EXP(-LN(2)/25)*AA172+(1-EXP(-LN(2)/25))/(LN(2)/25)*Calculateur!V173*Calculateur!X173*VLOOKUP('Données projet'!$B$9,Paramètres!$A$1:$I$89,3,0)*0.475*44/12</f>
        <v>2.760526078327727</v>
      </c>
      <c r="AB173" s="21">
        <f>EXP(-LN(2)/2)*AB172+(1-EXP(-LN(2)/2))/(LN(2)/2)*V173*Y173*VLOOKUP('Données projet'!$B$9,Paramètres!$A$1:$I$89,3,0)*0.475*44/12</f>
        <v>6.3462936595032908E-18</v>
      </c>
      <c r="AC173" s="22">
        <f t="shared" si="163"/>
        <v>17.313990570660941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320.33056209214476</v>
      </c>
      <c r="AO173" s="59">
        <f t="shared" si="144"/>
        <v>299.27200854723446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5.5778481999973302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5.5778481999973302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256.85706398254547</v>
      </c>
      <c r="BJ173" s="59">
        <f t="shared" si="146"/>
        <v>363.68094621014734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16.577991325427085</v>
      </c>
      <c r="BQ173" s="21">
        <f>EXP(-LN(2)/25)*BQ172+(1-EXP(-LN(2)/25))/(LN(2)/25)*Calculateur!BL173*Calculateur!BN173*VLOOKUP('Données projet'!$B$11,Paramètres!$A$1:$I$89,3,0)*0.475*44/12</f>
        <v>2.5553826711549315</v>
      </c>
      <c r="BR173" s="21">
        <f>EXP(-LN(2)/2)*BR172+(1-EXP(-LN(2)/2))/(LN(2)/2)*BL173*BO173*VLOOKUP('Données projet'!$B$11,Paramètres!$A$1:$I$89,3,0)*0.475*44/12</f>
        <v>6.0070078248525603E-16</v>
      </c>
      <c r="BS173" s="22">
        <f t="shared" si="169"/>
        <v>19.133373996582016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5.6843418860808015E-14</v>
      </c>
      <c r="BZ173" s="13">
        <f>BY173*VLOOKUP('Données projet'!$B$12,Paramètres!$A$1:$I$89,3,0)*VLOOKUP('Données projet'!$B$12,Paramètres!$A$1:$I$89,5,0)</f>
        <v>5.1431925385259088E-14</v>
      </c>
      <c r="CA173" s="13">
        <f t="shared" si="170"/>
        <v>8.3482866290946129E-13</v>
      </c>
      <c r="CB173" s="20">
        <f t="shared" si="171"/>
        <v>1.5435705246133045E-12</v>
      </c>
      <c r="CC173" s="59">
        <f t="shared" si="119"/>
        <v>288.65398521628742</v>
      </c>
      <c r="CD173" s="59">
        <f ca="1">AVERAGE(OFFSET($CC$3,0,0,'Données projet'!$E$12+1,1))-AVERAGE(OFFSET($H$3,0,0,'Données projet'!$E$12+1,1))</f>
        <v>357.68828740212223</v>
      </c>
      <c r="CE173" s="59">
        <f t="shared" si="148"/>
        <v>236.76626845829483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25.330728534572071</v>
      </c>
      <c r="CL173" s="21">
        <f>EXP(-LN(2)/25)*CL172+(1-EXP(-LN(2)/25))/(LN(2)/25)*Calculateur!CG173*Calculateur!CI173*VLOOKUP('Données projet'!$B$12,Paramètres!$A$1:$I$89,3,0)*0.475*44/12</f>
        <v>11.91165089238736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37.242379426959431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257.00000000000006</v>
      </c>
      <c r="CU173" s="17">
        <f>CT173*VLOOKUP('Données projet'!$B$13,Paramètres!$A$1:$I$89,3,0)*VLOOKUP('Données projet'!$B$13,Paramètres!$A$1:$I$89,5,0)</f>
        <v>168.38640000000004</v>
      </c>
      <c r="CV173" s="13">
        <f t="shared" si="173"/>
        <v>42.728430513203243</v>
      </c>
      <c r="CW173" s="20">
        <f t="shared" si="174"/>
        <v>367.69166314382898</v>
      </c>
      <c r="CX173" s="59">
        <f t="shared" si="122"/>
        <v>656.34564836011486</v>
      </c>
      <c r="CY173" s="59">
        <f ca="1">AVERAGE(OFFSET($CX$3,0,0,'Données projet'!$E$13+1,1))-AVERAGE(OFFSET($H$3,0,0,'Données projet'!$E$13+1,1))</f>
        <v>220.18342986563667</v>
      </c>
      <c r="CZ173" s="59">
        <f t="shared" si="150"/>
        <v>347.84382145531163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8.7193833214655802E-21</v>
      </c>
      <c r="DI173" s="22">
        <f t="shared" si="175"/>
        <v>8.7193833214655802E-21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5.7639226724859328E-14</v>
      </c>
      <c r="DQ173" s="13">
        <f t="shared" si="176"/>
        <v>9.2325701996134334E-13</v>
      </c>
      <c r="DR173" s="20">
        <f t="shared" si="177"/>
        <v>1.708394296311803E-12</v>
      </c>
      <c r="DS173" s="59">
        <f t="shared" si="125"/>
        <v>288.65398521628759</v>
      </c>
      <c r="DT173" s="59">
        <f ca="1">AVERAGE(OFFSET($DS$3,0,0,'Données projet'!$E$14+1,1))-AVERAGE(OFFSET($H$3,0,0,'Données projet'!$E$14+1,1))</f>
        <v>392.49465607243178</v>
      </c>
      <c r="DU173" s="59">
        <f t="shared" si="152"/>
        <v>258.031856676031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28.387885426675581</v>
      </c>
      <c r="EB173" s="21">
        <f>EXP(-LN(2)/25)*EB172+(1-EXP(-LN(2)/25))/(LN(2)/25)*Calculateur!DW173*Calculateur!DY173*VLOOKUP('Données projet'!$B$14,Paramètres!$A$1:$I$89,3,0)*0.475*44/12</f>
        <v>13.349263931123755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41.737149357799339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294.24530606293143</v>
      </c>
      <c r="EP173" s="59">
        <f t="shared" si="154"/>
        <v>275.88160405468193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24.01245208394203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24.01245208394203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1.1368683772161603E-13</v>
      </c>
      <c r="FF173" s="17">
        <f>FE173*VLOOKUP('Données projet'!$B$16,Paramètres!$A$1:$I$89,3,0)*VLOOKUP('Données projet'!$B$16,Paramètres!$A$1:$I$89,5,0)</f>
        <v>8.3355189417488869E-14</v>
      </c>
      <c r="FG173" s="13">
        <f t="shared" si="182"/>
        <v>1.2790518435140618E-12</v>
      </c>
      <c r="FH173" s="20">
        <f t="shared" si="183"/>
        <v>2.3728589156891171E-12</v>
      </c>
      <c r="FI173" s="59">
        <f t="shared" si="131"/>
        <v>288.65398521628828</v>
      </c>
      <c r="FJ173" s="59">
        <f ca="1">AVERAGE(OFFSET($FI$3,0,0,'Données projet'!$E$16+1,1))-AVERAGE(OFFSET($H$3,0,0,'Données projet'!$E$16+1,1))</f>
        <v>214.31585175697521</v>
      </c>
      <c r="FK173" s="59">
        <f t="shared" si="156"/>
        <v>244.60383864821372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11.151543777993735</v>
      </c>
      <c r="FR173" s="21">
        <f>EXP(-LN(2)/25)*FR172+(1-EXP(-LN(2)/25))/(LN(2)/25)*Calculateur!FM173*Calculateur!FO173*VLOOKUP('Données projet'!$B$16,Paramètres!$A$1:$I$89,3,0)*0.475*44/12</f>
        <v>0</v>
      </c>
      <c r="FS173" s="21">
        <f>EXP(-LN(2)/2)*FS172+(1-EXP(-LN(2)/2))/(LN(2)/2)*FM173*FP173*VLOOKUP('Données projet'!$B$16,Paramètres!$A$1:$I$89,3,0)*0.475*44/12</f>
        <v>0</v>
      </c>
      <c r="FT173" s="22">
        <f t="shared" si="184"/>
        <v>11.151543777993735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-5.6843418860808015E-14</v>
      </c>
      <c r="GA173" s="17">
        <f>FZ173*VLOOKUP('Données projet'!$B$17,Paramètres!$A$1:$I$89,3,0)*VLOOKUP('Données projet'!$B$17,Paramètres!$A$1:$I$89,5,0)</f>
        <v>-4.5224624045658861E-14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308.33954512886351</v>
      </c>
      <c r="GF173" s="59">
        <f t="shared" si="158"/>
        <v>408.79075392716277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15.44099754074335</v>
      </c>
      <c r="GM173" s="21">
        <f>EXP(-LN(2)/25)*GM172+(1-EXP(-LN(2)/25))/(LN(2)/25)*Calculateur!GH173*Calculateur!GJ173*VLOOKUP('Données projet'!$B$17,Paramètres!$A$1:$I$89,3,0)*0.475*44/12</f>
        <v>0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15.44099754074335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342.84342155097613</v>
      </c>
      <c r="T174" s="59">
        <f t="shared" si="142"/>
        <v>565.68976940602215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14.268079930375395</v>
      </c>
      <c r="AA174" s="21">
        <f>EXP(-LN(2)/25)*AA173+(1-EXP(-LN(2)/25))/(LN(2)/25)*Calculateur!V174*Calculateur!X174*VLOOKUP('Données projet'!$B$9,Paramètres!$A$1:$I$89,3,0)*0.475*44/12</f>
        <v>2.6850393475460983</v>
      </c>
      <c r="AB174" s="21">
        <f>EXP(-LN(2)/2)*AB173+(1-EXP(-LN(2)/2))/(LN(2)/2)*V174*Y174*VLOOKUP('Données projet'!$B$9,Paramètres!$A$1:$I$89,3,0)*0.475*44/12</f>
        <v>4.4875072820359674E-18</v>
      </c>
      <c r="AC174" s="22">
        <f t="shared" si="163"/>
        <v>16.953119277921495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320.33056209214476</v>
      </c>
      <c r="AO174" s="59">
        <f t="shared" si="144"/>
        <v>299.27200854723446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5.4253216476421144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5.4253216476421144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256.85706398254547</v>
      </c>
      <c r="BJ174" s="59">
        <f t="shared" si="146"/>
        <v>363.68094621014734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16.252907027111732</v>
      </c>
      <c r="BQ174" s="21">
        <f>EXP(-LN(2)/25)*BQ173+(1-EXP(-LN(2)/25))/(LN(2)/25)*Calculateur!BL174*Calculateur!BN174*VLOOKUP('Données projet'!$B$11,Paramètres!$A$1:$I$89,3,0)*0.475*44/12</f>
        <v>2.4855055976304654</v>
      </c>
      <c r="BR174" s="21">
        <f>EXP(-LN(2)/2)*BR173+(1-EXP(-LN(2)/2))/(LN(2)/2)*BL174*BO174*VLOOKUP('Données projet'!$B$11,Paramètres!$A$1:$I$89,3,0)*0.475*44/12</f>
        <v>4.2475959675938982E-16</v>
      </c>
      <c r="BS174" s="22">
        <f t="shared" si="169"/>
        <v>18.738412624742196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5.6843418860808015E-14</v>
      </c>
      <c r="BZ174" s="13">
        <f>BY174*VLOOKUP('Données projet'!$B$12,Paramètres!$A$1:$I$89,3,0)*VLOOKUP('Données projet'!$B$12,Paramètres!$A$1:$I$89,5,0)</f>
        <v>5.1431925385259088E-14</v>
      </c>
      <c r="CA174" s="13">
        <f t="shared" si="170"/>
        <v>8.3482866290946129E-13</v>
      </c>
      <c r="CB174" s="20">
        <f t="shared" si="171"/>
        <v>1.5435705246133045E-12</v>
      </c>
      <c r="CC174" s="59">
        <f t="shared" si="119"/>
        <v>288.73516144466305</v>
      </c>
      <c r="CD174" s="59">
        <f ca="1">AVERAGE(OFFSET($CC$3,0,0,'Données projet'!$E$12+1,1))-AVERAGE(OFFSET($H$3,0,0,'Données projet'!$E$12+1,1))</f>
        <v>357.68828740212223</v>
      </c>
      <c r="CE174" s="59">
        <f t="shared" si="148"/>
        <v>236.76626845829483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24.834008398227937</v>
      </c>
      <c r="CL174" s="21">
        <f>EXP(-LN(2)/25)*CL173+(1-EXP(-LN(2)/25))/(LN(2)/25)*Calculateur!CG174*Calculateur!CI174*VLOOKUP('Données projet'!$B$12,Paramètres!$A$1:$I$89,3,0)*0.475*44/12</f>
        <v>11.585926172328533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36.419934570556471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257.00000000000006</v>
      </c>
      <c r="CU174" s="17">
        <f>CT174*VLOOKUP('Données projet'!$B$13,Paramètres!$A$1:$I$89,3,0)*VLOOKUP('Données projet'!$B$13,Paramètres!$A$1:$I$89,5,0)</f>
        <v>168.38640000000004</v>
      </c>
      <c r="CV174" s="13">
        <f t="shared" si="173"/>
        <v>42.728430513203243</v>
      </c>
      <c r="CW174" s="20">
        <f t="shared" si="174"/>
        <v>367.69166314382898</v>
      </c>
      <c r="CX174" s="59">
        <f t="shared" si="122"/>
        <v>656.42682458849049</v>
      </c>
      <c r="CY174" s="59">
        <f ca="1">AVERAGE(OFFSET($CX$3,0,0,'Données projet'!$E$13+1,1))-AVERAGE(OFFSET($H$3,0,0,'Données projet'!$E$13+1,1))</f>
        <v>220.18342986563667</v>
      </c>
      <c r="CZ174" s="59">
        <f t="shared" si="150"/>
        <v>347.84382145531163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6.1655350743731941E-21</v>
      </c>
      <c r="DI174" s="22">
        <f t="shared" si="175"/>
        <v>6.1655350743731941E-21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5.7639226724859328E-14</v>
      </c>
      <c r="DQ174" s="13">
        <f t="shared" si="176"/>
        <v>9.2325701996134334E-13</v>
      </c>
      <c r="DR174" s="20">
        <f t="shared" si="177"/>
        <v>1.708394296311803E-12</v>
      </c>
      <c r="DS174" s="59">
        <f t="shared" si="125"/>
        <v>288.73516144466322</v>
      </c>
      <c r="DT174" s="59">
        <f ca="1">AVERAGE(OFFSET($DS$3,0,0,'Données projet'!$E$14+1,1))-AVERAGE(OFFSET($H$3,0,0,'Données projet'!$E$14+1,1))</f>
        <v>392.49465607243178</v>
      </c>
      <c r="DU174" s="59">
        <f t="shared" si="152"/>
        <v>258.031856676031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27.831216308358879</v>
      </c>
      <c r="EB174" s="21">
        <f>EXP(-LN(2)/25)*EB173+(1-EXP(-LN(2)/25))/(LN(2)/25)*Calculateur!DW174*Calculateur!DY174*VLOOKUP('Données projet'!$B$14,Paramètres!$A$1:$I$89,3,0)*0.475*44/12</f>
        <v>12.984227606919896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40.815443915278777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294.24530606293143</v>
      </c>
      <c r="EP174" s="59">
        <f t="shared" si="154"/>
        <v>275.88160405468193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23.541582544725511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23.541582544725511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1.1368683772161603E-13</v>
      </c>
      <c r="FF174" s="17">
        <f>FE174*VLOOKUP('Données projet'!$B$16,Paramètres!$A$1:$I$89,3,0)*VLOOKUP('Données projet'!$B$16,Paramètres!$A$1:$I$89,5,0)</f>
        <v>8.3355189417488869E-14</v>
      </c>
      <c r="FG174" s="13">
        <f t="shared" si="182"/>
        <v>1.2790518435140618E-12</v>
      </c>
      <c r="FH174" s="20">
        <f t="shared" si="183"/>
        <v>2.3728589156891171E-12</v>
      </c>
      <c r="FI174" s="59">
        <f t="shared" si="131"/>
        <v>288.7351614446639</v>
      </c>
      <c r="FJ174" s="59">
        <f ca="1">AVERAGE(OFFSET($FI$3,0,0,'Données projet'!$E$16+1,1))-AVERAGE(OFFSET($H$3,0,0,'Données projet'!$E$16+1,1))</f>
        <v>214.31585175697521</v>
      </c>
      <c r="FK174" s="59">
        <f t="shared" si="156"/>
        <v>244.60383864821372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10.932868806277364</v>
      </c>
      <c r="FR174" s="21">
        <f>EXP(-LN(2)/25)*FR173+(1-EXP(-LN(2)/25))/(LN(2)/25)*Calculateur!FM174*Calculateur!FO174*VLOOKUP('Données projet'!$B$16,Paramètres!$A$1:$I$89,3,0)*0.475*44/12</f>
        <v>0</v>
      </c>
      <c r="FS174" s="21">
        <f>EXP(-LN(2)/2)*FS173+(1-EXP(-LN(2)/2))/(LN(2)/2)*FM174*FP174*VLOOKUP('Données projet'!$B$16,Paramètres!$A$1:$I$89,3,0)*0.475*44/12</f>
        <v>0</v>
      </c>
      <c r="FT174" s="22">
        <f t="shared" si="184"/>
        <v>10.932868806277364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-5.6843418860808015E-14</v>
      </c>
      <c r="GA174" s="17">
        <f>FZ174*VLOOKUP('Données projet'!$B$17,Paramètres!$A$1:$I$89,3,0)*VLOOKUP('Données projet'!$B$17,Paramètres!$A$1:$I$89,5,0)</f>
        <v>-4.5224624045658861E-14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308.33954512886351</v>
      </c>
      <c r="GF174" s="59">
        <f t="shared" si="158"/>
        <v>408.79075392716277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15.138208997047915</v>
      </c>
      <c r="GM174" s="21">
        <f>EXP(-LN(2)/25)*GM173+(1-EXP(-LN(2)/25))/(LN(2)/25)*Calculateur!GH174*Calculateur!GJ174*VLOOKUP('Données projet'!$B$17,Paramètres!$A$1:$I$89,3,0)*0.475*44/12</f>
        <v>0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15.138208997047915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342.84342155097613</v>
      </c>
      <c r="T175" s="59">
        <f t="shared" si="142"/>
        <v>565.68976940602215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13.988291585610174</v>
      </c>
      <c r="AA175" s="21">
        <f>EXP(-LN(2)/25)*AA174+(1-EXP(-LN(2)/25))/(LN(2)/25)*Calculateur!V175*Calculateur!X175*VLOOKUP('Données projet'!$B$9,Paramètres!$A$1:$I$89,3,0)*0.475*44/12</f>
        <v>2.6116168053873676</v>
      </c>
      <c r="AB175" s="21">
        <f>EXP(-LN(2)/2)*AB174+(1-EXP(-LN(2)/2))/(LN(2)/2)*V175*Y175*VLOOKUP('Données projet'!$B$9,Paramètres!$A$1:$I$89,3,0)*0.475*44/12</f>
        <v>3.1731468297516454E-18</v>
      </c>
      <c r="AC175" s="22">
        <f t="shared" si="163"/>
        <v>16.599908390997541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320.33056209214476</v>
      </c>
      <c r="AO175" s="59">
        <f t="shared" si="144"/>
        <v>299.27200854723446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5.2769659418820751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5.2769659418820751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256.85706398254547</v>
      </c>
      <c r="BJ175" s="59">
        <f t="shared" si="146"/>
        <v>363.68094621014734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15.934197433604501</v>
      </c>
      <c r="BQ175" s="21">
        <f>EXP(-LN(2)/25)*BQ174+(1-EXP(-LN(2)/25))/(LN(2)/25)*Calculateur!BL175*Calculateur!BN175*VLOOKUP('Données projet'!$B$11,Paramètres!$A$1:$I$89,3,0)*0.475*44/12</f>
        <v>2.4175393163562018</v>
      </c>
      <c r="BR175" s="21">
        <f>EXP(-LN(2)/2)*BR174+(1-EXP(-LN(2)/2))/(LN(2)/2)*BL175*BO175*VLOOKUP('Données projet'!$B$11,Paramètres!$A$1:$I$89,3,0)*0.475*44/12</f>
        <v>3.0035039124262801E-16</v>
      </c>
      <c r="BS175" s="22">
        <f t="shared" si="169"/>
        <v>18.351736749960704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5.6843418860808015E-14</v>
      </c>
      <c r="BZ175" s="13">
        <f>BY175*VLOOKUP('Données projet'!$B$12,Paramètres!$A$1:$I$89,3,0)*VLOOKUP('Données projet'!$B$12,Paramètres!$A$1:$I$89,5,0)</f>
        <v>5.1431925385259088E-14</v>
      </c>
      <c r="CA175" s="13">
        <f t="shared" si="170"/>
        <v>8.3482866290946129E-13</v>
      </c>
      <c r="CB175" s="20">
        <f t="shared" si="171"/>
        <v>1.5435705246133045E-12</v>
      </c>
      <c r="CC175" s="59">
        <f t="shared" si="119"/>
        <v>288.81492944695918</v>
      </c>
      <c r="CD175" s="59">
        <f ca="1">AVERAGE(OFFSET($CC$3,0,0,'Données projet'!$E$12+1,1))-AVERAGE(OFFSET($H$3,0,0,'Données projet'!$E$12+1,1))</f>
        <v>357.68828740212223</v>
      </c>
      <c r="CE175" s="59">
        <f t="shared" si="148"/>
        <v>236.76626845829483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24.347028640788142</v>
      </c>
      <c r="CL175" s="21">
        <f>EXP(-LN(2)/25)*CL174+(1-EXP(-LN(2)/25))/(LN(2)/25)*Calculateur!CG175*Calculateur!CI175*VLOOKUP('Données projet'!$B$12,Paramètres!$A$1:$I$89,3,0)*0.475*44/12</f>
        <v>11.269108411868832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35.616137052656974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257.00000000000006</v>
      </c>
      <c r="CU175" s="17">
        <f>CT175*VLOOKUP('Données projet'!$B$13,Paramètres!$A$1:$I$89,3,0)*VLOOKUP('Données projet'!$B$13,Paramètres!$A$1:$I$89,5,0)</f>
        <v>168.38640000000004</v>
      </c>
      <c r="CV175" s="13">
        <f t="shared" si="173"/>
        <v>42.728430513203243</v>
      </c>
      <c r="CW175" s="20">
        <f t="shared" si="174"/>
        <v>367.69166314382898</v>
      </c>
      <c r="CX175" s="59">
        <f t="shared" si="122"/>
        <v>656.50659259078657</v>
      </c>
      <c r="CY175" s="59">
        <f ca="1">AVERAGE(OFFSET($CX$3,0,0,'Données projet'!$E$13+1,1))-AVERAGE(OFFSET($H$3,0,0,'Données projet'!$E$13+1,1))</f>
        <v>220.18342986563667</v>
      </c>
      <c r="CZ175" s="59">
        <f t="shared" si="150"/>
        <v>347.84382145531163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4.3596916607327901E-21</v>
      </c>
      <c r="DI175" s="22">
        <f t="shared" si="175"/>
        <v>4.3596916607327901E-21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5.7639226724859328E-14</v>
      </c>
      <c r="DQ175" s="13">
        <f t="shared" si="176"/>
        <v>9.2325701996134334E-13</v>
      </c>
      <c r="DR175" s="20">
        <f t="shared" si="177"/>
        <v>1.708394296311803E-12</v>
      </c>
      <c r="DS175" s="59">
        <f t="shared" si="125"/>
        <v>288.81492944695935</v>
      </c>
      <c r="DT175" s="59">
        <f ca="1">AVERAGE(OFFSET($DS$3,0,0,'Données projet'!$E$14+1,1))-AVERAGE(OFFSET($H$3,0,0,'Données projet'!$E$14+1,1))</f>
        <v>392.49465607243178</v>
      </c>
      <c r="DU175" s="59">
        <f t="shared" si="152"/>
        <v>258.031856676031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27.28546313191773</v>
      </c>
      <c r="EB175" s="21">
        <f>EXP(-LN(2)/25)*EB174+(1-EXP(-LN(2)/25))/(LN(2)/25)*Calculateur!DW175*Calculateur!DY175*VLOOKUP('Données projet'!$B$14,Paramètres!$A$1:$I$89,3,0)*0.475*44/12</f>
        <v>12.629173220197817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39.914636352115551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294.24530606293143</v>
      </c>
      <c r="EP175" s="59">
        <f t="shared" si="154"/>
        <v>275.88160405468193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23.079946469970967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23.079946469970967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1.1368683772161603E-13</v>
      </c>
      <c r="FF175" s="17">
        <f>FE175*VLOOKUP('Données projet'!$B$16,Paramètres!$A$1:$I$89,3,0)*VLOOKUP('Données projet'!$B$16,Paramètres!$A$1:$I$89,5,0)</f>
        <v>8.3355189417488869E-14</v>
      </c>
      <c r="FG175" s="13">
        <f t="shared" si="182"/>
        <v>1.2790518435140618E-12</v>
      </c>
      <c r="FH175" s="20">
        <f t="shared" si="183"/>
        <v>2.3728589156891171E-12</v>
      </c>
      <c r="FI175" s="59">
        <f t="shared" si="131"/>
        <v>288.81492944696004</v>
      </c>
      <c r="FJ175" s="59">
        <f ca="1">AVERAGE(OFFSET($FI$3,0,0,'Données projet'!$E$16+1,1))-AVERAGE(OFFSET($H$3,0,0,'Données projet'!$E$16+1,1))</f>
        <v>214.31585175697521</v>
      </c>
      <c r="FK175" s="59">
        <f t="shared" si="156"/>
        <v>244.60383864821372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10.718481917377789</v>
      </c>
      <c r="FR175" s="21">
        <f>EXP(-LN(2)/25)*FR174+(1-EXP(-LN(2)/25))/(LN(2)/25)*Calculateur!FM175*Calculateur!FO175*VLOOKUP('Données projet'!$B$16,Paramètres!$A$1:$I$89,3,0)*0.475*44/12</f>
        <v>0</v>
      </c>
      <c r="FS175" s="21">
        <f>EXP(-LN(2)/2)*FS174+(1-EXP(-LN(2)/2))/(LN(2)/2)*FM175*FP175*VLOOKUP('Données projet'!$B$16,Paramètres!$A$1:$I$89,3,0)*0.475*44/12</f>
        <v>0</v>
      </c>
      <c r="FT175" s="22">
        <f t="shared" si="184"/>
        <v>10.718481917377789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-5.6843418860808015E-14</v>
      </c>
      <c r="GA175" s="17">
        <f>FZ175*VLOOKUP('Données projet'!$B$17,Paramètres!$A$1:$I$89,3,0)*VLOOKUP('Données projet'!$B$17,Paramètres!$A$1:$I$89,5,0)</f>
        <v>-4.5224624045658861E-14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308.33954512886351</v>
      </c>
      <c r="GF175" s="59">
        <f t="shared" si="158"/>
        <v>408.79075392716277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14.841357952011572</v>
      </c>
      <c r="GM175" s="21">
        <f>EXP(-LN(2)/25)*GM174+(1-EXP(-LN(2)/25))/(LN(2)/25)*Calculateur!GH175*Calculateur!GJ175*VLOOKUP('Données projet'!$B$17,Paramètres!$A$1:$I$89,3,0)*0.475*44/12</f>
        <v>0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14.841357952011572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342.84342155097613</v>
      </c>
      <c r="T176" s="59">
        <f t="shared" si="142"/>
        <v>565.68976940602215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13.713989719631758</v>
      </c>
      <c r="AA176" s="21">
        <f>EXP(-LN(2)/25)*AA175+(1-EXP(-LN(2)/25))/(LN(2)/25)*Calculateur!V176*Calculateur!X176*VLOOKUP('Données projet'!$B$9,Paramètres!$A$1:$I$89,3,0)*0.475*44/12</f>
        <v>2.540202006505091</v>
      </c>
      <c r="AB176" s="21">
        <f>EXP(-LN(2)/2)*AB175+(1-EXP(-LN(2)/2))/(LN(2)/2)*V176*Y176*VLOOKUP('Données projet'!$B$9,Paramètres!$A$1:$I$89,3,0)*0.475*44/12</f>
        <v>2.2437536410179837E-18</v>
      </c>
      <c r="AC176" s="22">
        <f t="shared" si="163"/>
        <v>16.254191726136849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320.33056209214476</v>
      </c>
      <c r="AO176" s="59">
        <f t="shared" si="144"/>
        <v>299.27200854723446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5.132667030697732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5.132667030697732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256.85706398254547</v>
      </c>
      <c r="BJ176" s="59">
        <f t="shared" si="146"/>
        <v>363.68094621014734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15.621737540832289</v>
      </c>
      <c r="BQ176" s="21">
        <f>EXP(-LN(2)/25)*BQ175+(1-EXP(-LN(2)/25))/(LN(2)/25)*Calculateur!BL176*Calculateur!BN176*VLOOKUP('Données projet'!$B$11,Paramètres!$A$1:$I$89,3,0)*0.475*44/12</f>
        <v>2.351431576617574</v>
      </c>
      <c r="BR176" s="21">
        <f>EXP(-LN(2)/2)*BR175+(1-EXP(-LN(2)/2))/(LN(2)/2)*BL176*BO176*VLOOKUP('Données projet'!$B$11,Paramètres!$A$1:$I$89,3,0)*0.475*44/12</f>
        <v>2.1237979837969491E-16</v>
      </c>
      <c r="BS176" s="22">
        <f t="shared" si="169"/>
        <v>17.973169117449864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5.6843418860808015E-14</v>
      </c>
      <c r="BZ176" s="13">
        <f>BY176*VLOOKUP('Données projet'!$B$12,Paramètres!$A$1:$I$89,3,0)*VLOOKUP('Données projet'!$B$12,Paramètres!$A$1:$I$89,5,0)</f>
        <v>5.1431925385259088E-14</v>
      </c>
      <c r="CA176" s="13">
        <f t="shared" si="170"/>
        <v>8.3482866290946129E-13</v>
      </c>
      <c r="CB176" s="20">
        <f t="shared" si="171"/>
        <v>1.5435705246133045E-12</v>
      </c>
      <c r="CC176" s="59">
        <f t="shared" si="119"/>
        <v>288.89331365275001</v>
      </c>
      <c r="CD176" s="59">
        <f ca="1">AVERAGE(OFFSET($CC$3,0,0,'Données projet'!$E$12+1,1))-AVERAGE(OFFSET($H$3,0,0,'Données projet'!$E$12+1,1))</f>
        <v>357.68828740212223</v>
      </c>
      <c r="CE176" s="59">
        <f t="shared" si="148"/>
        <v>236.76626845829483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23.869598259363421</v>
      </c>
      <c r="CL176" s="21">
        <f>EXP(-LN(2)/25)*CL175+(1-EXP(-LN(2)/25))/(LN(2)/25)*Calculateur!CG176*Calculateur!CI176*VLOOKUP('Données projet'!$B$12,Paramètres!$A$1:$I$89,3,0)*0.475*44/12</f>
        <v>10.960954049729622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34.830552309093044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257.00000000000006</v>
      </c>
      <c r="CU176" s="17">
        <f>CT176*VLOOKUP('Données projet'!$B$13,Paramètres!$A$1:$I$89,3,0)*VLOOKUP('Données projet'!$B$13,Paramètres!$A$1:$I$89,5,0)</f>
        <v>168.38640000000004</v>
      </c>
      <c r="CV176" s="13">
        <f t="shared" si="173"/>
        <v>42.728430513203243</v>
      </c>
      <c r="CW176" s="20">
        <f t="shared" si="174"/>
        <v>367.69166314382898</v>
      </c>
      <c r="CX176" s="59">
        <f t="shared" si="122"/>
        <v>656.58497679657739</v>
      </c>
      <c r="CY176" s="59">
        <f ca="1">AVERAGE(OFFSET($CX$3,0,0,'Données projet'!$E$13+1,1))-AVERAGE(OFFSET($H$3,0,0,'Données projet'!$E$13+1,1))</f>
        <v>220.18342986563667</v>
      </c>
      <c r="CZ176" s="59">
        <f t="shared" si="150"/>
        <v>347.84382145531163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3.082767537186597E-21</v>
      </c>
      <c r="DI176" s="22">
        <f t="shared" si="175"/>
        <v>3.082767537186597E-21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5.7639226724859328E-14</v>
      </c>
      <c r="DQ176" s="13">
        <f t="shared" si="176"/>
        <v>9.2325701996134334E-13</v>
      </c>
      <c r="DR176" s="20">
        <f t="shared" si="177"/>
        <v>1.708394296311803E-12</v>
      </c>
      <c r="DS176" s="59">
        <f t="shared" si="125"/>
        <v>288.89331365275018</v>
      </c>
      <c r="DT176" s="59">
        <f ca="1">AVERAGE(OFFSET($DS$3,0,0,'Données projet'!$E$14+1,1))-AVERAGE(OFFSET($H$3,0,0,'Données projet'!$E$14+1,1))</f>
        <v>392.49465607243178</v>
      </c>
      <c r="DU176" s="59">
        <f t="shared" si="152"/>
        <v>258.031856676031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26.750411842390026</v>
      </c>
      <c r="EB176" s="21">
        <f>EXP(-LN(2)/25)*EB175+(1-EXP(-LN(2)/25))/(LN(2)/25)*Calculateur!DW176*Calculateur!DY176*VLOOKUP('Données projet'!$B$14,Paramètres!$A$1:$I$89,3,0)*0.475*44/12</f>
        <v>12.283827814352152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39.03423965674218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294.24530606293143</v>
      </c>
      <c r="EP176" s="59">
        <f t="shared" si="154"/>
        <v>275.88160405468193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22.627362797072156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22.627362797072156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1.1368683772161603E-13</v>
      </c>
      <c r="FF176" s="17">
        <f>FE176*VLOOKUP('Données projet'!$B$16,Paramètres!$A$1:$I$89,3,0)*VLOOKUP('Données projet'!$B$16,Paramètres!$A$1:$I$89,5,0)</f>
        <v>8.3355189417488869E-14</v>
      </c>
      <c r="FG176" s="13">
        <f t="shared" si="182"/>
        <v>1.2790518435140618E-12</v>
      </c>
      <c r="FH176" s="20">
        <f t="shared" si="183"/>
        <v>2.3728589156891171E-12</v>
      </c>
      <c r="FI176" s="59">
        <f t="shared" si="131"/>
        <v>288.89331365275086</v>
      </c>
      <c r="FJ176" s="59">
        <f ca="1">AVERAGE(OFFSET($FI$3,0,0,'Données projet'!$E$16+1,1))-AVERAGE(OFFSET($H$3,0,0,'Données projet'!$E$16+1,1))</f>
        <v>214.31585175697521</v>
      </c>
      <c r="FK176" s="59">
        <f t="shared" si="156"/>
        <v>244.60383864821372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10.508299024606442</v>
      </c>
      <c r="FR176" s="21">
        <f>EXP(-LN(2)/25)*FR175+(1-EXP(-LN(2)/25))/(LN(2)/25)*Calculateur!FM176*Calculateur!FO176*VLOOKUP('Données projet'!$B$16,Paramètres!$A$1:$I$89,3,0)*0.475*44/12</f>
        <v>0</v>
      </c>
      <c r="FS176" s="21">
        <f>EXP(-LN(2)/2)*FS175+(1-EXP(-LN(2)/2))/(LN(2)/2)*FM176*FP176*VLOOKUP('Données projet'!$B$16,Paramètres!$A$1:$I$89,3,0)*0.475*44/12</f>
        <v>0</v>
      </c>
      <c r="FT176" s="22">
        <f t="shared" si="184"/>
        <v>10.508299024606442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-5.6843418860808015E-14</v>
      </c>
      <c r="GA176" s="17">
        <f>FZ176*VLOOKUP('Données projet'!$B$17,Paramètres!$A$1:$I$89,3,0)*VLOOKUP('Données projet'!$B$17,Paramètres!$A$1:$I$89,5,0)</f>
        <v>-4.5224624045658861E-14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308.33954512886351</v>
      </c>
      <c r="GF176" s="59">
        <f t="shared" si="158"/>
        <v>408.79075392716277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14.550327974907132</v>
      </c>
      <c r="GM176" s="21">
        <f>EXP(-LN(2)/25)*GM175+(1-EXP(-LN(2)/25))/(LN(2)/25)*Calculateur!GH176*Calculateur!GJ176*VLOOKUP('Données projet'!$B$17,Paramètres!$A$1:$I$89,3,0)*0.475*44/12</f>
        <v>0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14.550327974907132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342.84342155097613</v>
      </c>
      <c r="T177" s="59">
        <f t="shared" si="142"/>
        <v>565.68976940602215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13.445066745937563</v>
      </c>
      <c r="AA177" s="21">
        <f>EXP(-LN(2)/25)*AA176+(1-EXP(-LN(2)/25))/(LN(2)/25)*Calculateur!V177*Calculateur!X177*VLOOKUP('Données projet'!$B$9,Paramètres!$A$1:$I$89,3,0)*0.475*44/12</f>
        <v>2.4707400490537914</v>
      </c>
      <c r="AB177" s="21">
        <f>EXP(-LN(2)/2)*AB176+(1-EXP(-LN(2)/2))/(LN(2)/2)*V177*Y177*VLOOKUP('Données projet'!$B$9,Paramètres!$A$1:$I$89,3,0)*0.475*44/12</f>
        <v>1.5865734148758227E-18</v>
      </c>
      <c r="AC177" s="22">
        <f t="shared" si="163"/>
        <v>15.915806794991354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320.33056209214476</v>
      </c>
      <c r="AO177" s="59">
        <f t="shared" si="144"/>
        <v>299.27200854723446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4.9923139808280741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4.9923139808280741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256.85706398254547</v>
      </c>
      <c r="BJ177" s="59">
        <f t="shared" si="146"/>
        <v>363.68094621014734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15.315404795975624</v>
      </c>
      <c r="BQ177" s="21">
        <f>EXP(-LN(2)/25)*BQ176+(1-EXP(-LN(2)/25))/(LN(2)/25)*Calculateur!BL177*Calculateur!BN177*VLOOKUP('Données projet'!$B$11,Paramètres!$A$1:$I$89,3,0)*0.475*44/12</f>
        <v>2.2871315564985539</v>
      </c>
      <c r="BR177" s="21">
        <f>EXP(-LN(2)/2)*BR176+(1-EXP(-LN(2)/2))/(LN(2)/2)*BL177*BO177*VLOOKUP('Données projet'!$B$11,Paramètres!$A$1:$I$89,3,0)*0.475*44/12</f>
        <v>1.5017519562131401E-16</v>
      </c>
      <c r="BS177" s="22">
        <f t="shared" si="169"/>
        <v>17.602536352474178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5.6843418860808015E-14</v>
      </c>
      <c r="BZ177" s="13">
        <f>BY177*VLOOKUP('Données projet'!$B$12,Paramètres!$A$1:$I$89,3,0)*VLOOKUP('Données projet'!$B$12,Paramètres!$A$1:$I$89,5,0)</f>
        <v>5.1431925385259088E-14</v>
      </c>
      <c r="CA177" s="13">
        <f t="shared" si="170"/>
        <v>8.3482866290946129E-13</v>
      </c>
      <c r="CB177" s="20">
        <f t="shared" si="171"/>
        <v>1.5435705246133045E-12</v>
      </c>
      <c r="CC177" s="59">
        <f t="shared" si="119"/>
        <v>288.97033806781127</v>
      </c>
      <c r="CD177" s="59">
        <f ca="1">AVERAGE(OFFSET($CC$3,0,0,'Données projet'!$E$12+1,1))-AVERAGE(OFFSET($H$3,0,0,'Données projet'!$E$12+1,1))</f>
        <v>357.68828740212223</v>
      </c>
      <c r="CE177" s="59">
        <f t="shared" si="148"/>
        <v>236.76626845829483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23.401529996514657</v>
      </c>
      <c r="CL177" s="21">
        <f>EXP(-LN(2)/25)*CL176+(1-EXP(-LN(2)/25))/(LN(2)/25)*Calculateur!CG177*Calculateur!CI177*VLOOKUP('Données projet'!$B$12,Paramètres!$A$1:$I$89,3,0)*0.475*44/12</f>
        <v>10.661226184828244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34.062756181342905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257.00000000000006</v>
      </c>
      <c r="CU177" s="17">
        <f>CT177*VLOOKUP('Données projet'!$B$13,Paramètres!$A$1:$I$89,3,0)*VLOOKUP('Données projet'!$B$13,Paramètres!$A$1:$I$89,5,0)</f>
        <v>168.38640000000004</v>
      </c>
      <c r="CV177" s="13">
        <f t="shared" si="173"/>
        <v>42.728430513203243</v>
      </c>
      <c r="CW177" s="20">
        <f t="shared" si="174"/>
        <v>367.69166314382898</v>
      </c>
      <c r="CX177" s="59">
        <f t="shared" si="122"/>
        <v>656.66200121163865</v>
      </c>
      <c r="CY177" s="59">
        <f ca="1">AVERAGE(OFFSET($CX$3,0,0,'Données projet'!$E$13+1,1))-AVERAGE(OFFSET($H$3,0,0,'Données projet'!$E$13+1,1))</f>
        <v>220.18342986563667</v>
      </c>
      <c r="CZ177" s="59">
        <f t="shared" si="150"/>
        <v>347.84382145531163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2.179845830366395E-21</v>
      </c>
      <c r="DI177" s="22">
        <f t="shared" si="175"/>
        <v>2.179845830366395E-21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5.7639226724859328E-14</v>
      </c>
      <c r="DQ177" s="13">
        <f t="shared" si="176"/>
        <v>9.2325701996134334E-13</v>
      </c>
      <c r="DR177" s="20">
        <f t="shared" si="177"/>
        <v>1.708394296311803E-12</v>
      </c>
      <c r="DS177" s="59">
        <f t="shared" si="125"/>
        <v>288.97033806781144</v>
      </c>
      <c r="DT177" s="59">
        <f ca="1">AVERAGE(OFFSET($DS$3,0,0,'Données projet'!$E$14+1,1))-AVERAGE(OFFSET($H$3,0,0,'Données projet'!$E$14+1,1))</f>
        <v>392.49465607243178</v>
      </c>
      <c r="DU177" s="59">
        <f t="shared" si="152"/>
        <v>258.031856676031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26.225852582300895</v>
      </c>
      <c r="EB177" s="21">
        <f>EXP(-LN(2)/25)*EB176+(1-EXP(-LN(2)/25))/(LN(2)/25)*Calculateur!DW177*Calculateur!DY177*VLOOKUP('Données projet'!$B$14,Paramètres!$A$1:$I$89,3,0)*0.475*44/12</f>
        <v>11.947925896790263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38.173778479091155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294.24530606293143</v>
      </c>
      <c r="EP177" s="59">
        <f t="shared" si="154"/>
        <v>275.88160405468193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22.183654013950107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22.183654013950107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1.1368683772161603E-13</v>
      </c>
      <c r="FF177" s="17">
        <f>FE177*VLOOKUP('Données projet'!$B$16,Paramètres!$A$1:$I$89,3,0)*VLOOKUP('Données projet'!$B$16,Paramètres!$A$1:$I$89,5,0)</f>
        <v>8.3355189417488869E-14</v>
      </c>
      <c r="FG177" s="13">
        <f t="shared" si="182"/>
        <v>1.2790518435140618E-12</v>
      </c>
      <c r="FH177" s="20">
        <f t="shared" si="183"/>
        <v>2.3728589156891171E-12</v>
      </c>
      <c r="FI177" s="59">
        <f t="shared" si="131"/>
        <v>288.97033806781212</v>
      </c>
      <c r="FJ177" s="59">
        <f ca="1">AVERAGE(OFFSET($FI$3,0,0,'Données projet'!$E$16+1,1))-AVERAGE(OFFSET($H$3,0,0,'Données projet'!$E$16+1,1))</f>
        <v>214.31585175697521</v>
      </c>
      <c r="FK177" s="59">
        <f t="shared" si="156"/>
        <v>244.60383864821372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10.302237690163436</v>
      </c>
      <c r="FR177" s="21">
        <f>EXP(-LN(2)/25)*FR176+(1-EXP(-LN(2)/25))/(LN(2)/25)*Calculateur!FM177*Calculateur!FO177*VLOOKUP('Données projet'!$B$16,Paramètres!$A$1:$I$89,3,0)*0.475*44/12</f>
        <v>0</v>
      </c>
      <c r="FS177" s="21">
        <f>EXP(-LN(2)/2)*FS176+(1-EXP(-LN(2)/2))/(LN(2)/2)*FM177*FP177*VLOOKUP('Données projet'!$B$16,Paramètres!$A$1:$I$89,3,0)*0.475*44/12</f>
        <v>0</v>
      </c>
      <c r="FT177" s="22">
        <f t="shared" si="184"/>
        <v>10.302237690163436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-5.6843418860808015E-14</v>
      </c>
      <c r="GA177" s="17">
        <f>FZ177*VLOOKUP('Données projet'!$B$17,Paramètres!$A$1:$I$89,3,0)*VLOOKUP('Données projet'!$B$17,Paramètres!$A$1:$I$89,5,0)</f>
        <v>-4.5224624045658861E-14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308.33954512886351</v>
      </c>
      <c r="GF177" s="59">
        <f t="shared" si="158"/>
        <v>408.79075392716277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14.265004918142951</v>
      </c>
      <c r="GM177" s="21">
        <f>EXP(-LN(2)/25)*GM176+(1-EXP(-LN(2)/25))/(LN(2)/25)*Calculateur!GH177*Calculateur!GJ177*VLOOKUP('Données projet'!$B$17,Paramètres!$A$1:$I$89,3,0)*0.475*44/12</f>
        <v>0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14.265004918142951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342.84342155097613</v>
      </c>
      <c r="T178" s="59">
        <f t="shared" si="142"/>
        <v>565.68976940602215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13.181417187730693</v>
      </c>
      <c r="AA178" s="21">
        <f>EXP(-LN(2)/25)*AA177+(1-EXP(-LN(2)/25))/(LN(2)/25)*Calculateur!V178*Calculateur!X178*VLOOKUP('Données projet'!$B$9,Paramètres!$A$1:$I$89,3,0)*0.475*44/12</f>
        <v>2.4031775324818434</v>
      </c>
      <c r="AB178" s="21">
        <f>EXP(-LN(2)/2)*AB177+(1-EXP(-LN(2)/2))/(LN(2)/2)*V178*Y178*VLOOKUP('Données projet'!$B$9,Paramètres!$A$1:$I$89,3,0)*0.475*44/12</f>
        <v>1.1218768205089918E-18</v>
      </c>
      <c r="AC178" s="22">
        <f t="shared" si="163"/>
        <v>15.584594720212536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320.33056209214476</v>
      </c>
      <c r="AO178" s="59">
        <f t="shared" si="144"/>
        <v>299.27200854723446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4.8557988924879485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4.8557988924879485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256.85706398254547</v>
      </c>
      <c r="BJ178" s="59">
        <f t="shared" si="146"/>
        <v>363.68094621014734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15.015079049401074</v>
      </c>
      <c r="BQ178" s="21">
        <f>EXP(-LN(2)/25)*BQ177+(1-EXP(-LN(2)/25))/(LN(2)/25)*Calculateur!BL178*Calculateur!BN178*VLOOKUP('Données projet'!$B$11,Paramètres!$A$1:$I$89,3,0)*0.475*44/12</f>
        <v>2.2245898238110797</v>
      </c>
      <c r="BR178" s="21">
        <f>EXP(-LN(2)/2)*BR177+(1-EXP(-LN(2)/2))/(LN(2)/2)*BL178*BO178*VLOOKUP('Données projet'!$B$11,Paramètres!$A$1:$I$89,3,0)*0.475*44/12</f>
        <v>1.0618989918984745E-16</v>
      </c>
      <c r="BS178" s="22">
        <f t="shared" si="169"/>
        <v>17.239668873212153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5.6843418860808015E-14</v>
      </c>
      <c r="BZ178" s="13">
        <f>BY178*VLOOKUP('Données projet'!$B$12,Paramètres!$A$1:$I$89,3,0)*VLOOKUP('Données projet'!$B$12,Paramètres!$A$1:$I$89,5,0)</f>
        <v>5.1431925385259088E-14</v>
      </c>
      <c r="CA178" s="13">
        <f t="shared" si="170"/>
        <v>8.3482866290946129E-13</v>
      </c>
      <c r="CB178" s="20">
        <f t="shared" si="171"/>
        <v>1.5435705246133045E-12</v>
      </c>
      <c r="CC178" s="59">
        <f t="shared" si="119"/>
        <v>289.04602628147194</v>
      </c>
      <c r="CD178" s="59">
        <f ca="1">AVERAGE(OFFSET($CC$3,0,0,'Données projet'!$E$12+1,1))-AVERAGE(OFFSET($H$3,0,0,'Données projet'!$E$12+1,1))</f>
        <v>357.68828740212223</v>
      </c>
      <c r="CE178" s="59">
        <f t="shared" si="148"/>
        <v>236.76626845829483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22.942640266806908</v>
      </c>
      <c r="CL178" s="21">
        <f>EXP(-LN(2)/25)*CL177+(1-EXP(-LN(2)/25))/(LN(2)/25)*Calculateur!CG178*Calculateur!CI178*VLOOKUP('Données projet'!$B$12,Paramètres!$A$1:$I$89,3,0)*0.475*44/12</f>
        <v>10.369694394154598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33.312334660961504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257.00000000000006</v>
      </c>
      <c r="CU178" s="17">
        <f>CT178*VLOOKUP('Données projet'!$B$13,Paramètres!$A$1:$I$89,3,0)*VLOOKUP('Données projet'!$B$13,Paramètres!$A$1:$I$89,5,0)</f>
        <v>168.38640000000004</v>
      </c>
      <c r="CV178" s="13">
        <f t="shared" si="173"/>
        <v>42.728430513203243</v>
      </c>
      <c r="CW178" s="20">
        <f t="shared" si="174"/>
        <v>367.69166314382898</v>
      </c>
      <c r="CX178" s="59">
        <f t="shared" si="122"/>
        <v>656.73768942529932</v>
      </c>
      <c r="CY178" s="59">
        <f ca="1">AVERAGE(OFFSET($CX$3,0,0,'Données projet'!$E$13+1,1))-AVERAGE(OFFSET($H$3,0,0,'Données projet'!$E$13+1,1))</f>
        <v>220.18342986563667</v>
      </c>
      <c r="CZ178" s="59">
        <f t="shared" si="150"/>
        <v>347.84382145531163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1.5413837685932985E-21</v>
      </c>
      <c r="DI178" s="22">
        <f t="shared" si="175"/>
        <v>1.5413837685932985E-21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5.7639226724859328E-14</v>
      </c>
      <c r="DQ178" s="13">
        <f t="shared" si="176"/>
        <v>9.2325701996134334E-13</v>
      </c>
      <c r="DR178" s="20">
        <f t="shared" si="177"/>
        <v>1.708394296311803E-12</v>
      </c>
      <c r="DS178" s="59">
        <f t="shared" si="125"/>
        <v>289.04602628147211</v>
      </c>
      <c r="DT178" s="59">
        <f ca="1">AVERAGE(OFFSET($DS$3,0,0,'Données projet'!$E$14+1,1))-AVERAGE(OFFSET($H$3,0,0,'Données projet'!$E$14+1,1))</f>
        <v>392.49465607243178</v>
      </c>
      <c r="DU178" s="59">
        <f t="shared" si="152"/>
        <v>258.031856676031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25.711579609352558</v>
      </c>
      <c r="EB178" s="21">
        <f>EXP(-LN(2)/25)*EB177+(1-EXP(-LN(2)/25))/(LN(2)/25)*Calculateur!DW178*Calculateur!DY178*VLOOKUP('Données projet'!$B$14,Paramètres!$A$1:$I$89,3,0)*0.475*44/12</f>
        <v>11.621209234828418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37.332788844180975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294.24530606293143</v>
      </c>
      <c r="EP178" s="59">
        <f t="shared" si="154"/>
        <v>275.88160405468193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21.74864608942945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21.74864608942945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1.1368683772161603E-13</v>
      </c>
      <c r="FF178" s="17">
        <f>FE178*VLOOKUP('Données projet'!$B$16,Paramètres!$A$1:$I$89,3,0)*VLOOKUP('Données projet'!$B$16,Paramètres!$A$1:$I$89,5,0)</f>
        <v>8.3355189417488869E-14</v>
      </c>
      <c r="FG178" s="13">
        <f t="shared" si="182"/>
        <v>1.2790518435140618E-12</v>
      </c>
      <c r="FH178" s="20">
        <f t="shared" si="183"/>
        <v>2.3728589156891171E-12</v>
      </c>
      <c r="FI178" s="59">
        <f t="shared" si="131"/>
        <v>289.04602628147279</v>
      </c>
      <c r="FJ178" s="59">
        <f ca="1">AVERAGE(OFFSET($FI$3,0,0,'Données projet'!$E$16+1,1))-AVERAGE(OFFSET($H$3,0,0,'Données projet'!$E$16+1,1))</f>
        <v>214.31585175697521</v>
      </c>
      <c r="FK178" s="59">
        <f t="shared" si="156"/>
        <v>244.60383864821372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10.100217092803854</v>
      </c>
      <c r="FR178" s="21">
        <f>EXP(-LN(2)/25)*FR177+(1-EXP(-LN(2)/25))/(LN(2)/25)*Calculateur!FM178*Calculateur!FO178*VLOOKUP('Données projet'!$B$16,Paramètres!$A$1:$I$89,3,0)*0.475*44/12</f>
        <v>0</v>
      </c>
      <c r="FS178" s="21">
        <f>EXP(-LN(2)/2)*FS177+(1-EXP(-LN(2)/2))/(LN(2)/2)*FM178*FP178*VLOOKUP('Données projet'!$B$16,Paramètres!$A$1:$I$89,3,0)*0.475*44/12</f>
        <v>0</v>
      </c>
      <c r="FT178" s="22">
        <f t="shared" si="184"/>
        <v>10.100217092803854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-5.6843418860808015E-14</v>
      </c>
      <c r="GA178" s="17">
        <f>FZ178*VLOOKUP('Données projet'!$B$17,Paramètres!$A$1:$I$89,3,0)*VLOOKUP('Données projet'!$B$17,Paramètres!$A$1:$I$89,5,0)</f>
        <v>-4.5224624045658861E-14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308.33954512886351</v>
      </c>
      <c r="GF178" s="59">
        <f t="shared" si="158"/>
        <v>408.79075392716277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13.985276872492037</v>
      </c>
      <c r="GM178" s="21">
        <f>EXP(-LN(2)/25)*GM177+(1-EXP(-LN(2)/25))/(LN(2)/25)*Calculateur!GH178*Calculateur!GJ178*VLOOKUP('Données projet'!$B$17,Paramètres!$A$1:$I$89,3,0)*0.475*44/12</f>
        <v>0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13.985276872492037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342.84342155097613</v>
      </c>
      <c r="T179" s="59">
        <f t="shared" si="142"/>
        <v>565.68976940602215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12.922937636549907</v>
      </c>
      <c r="AA179" s="21">
        <f>EXP(-LN(2)/25)*AA178+(1-EXP(-LN(2)/25))/(LN(2)/25)*Calculateur!V179*Calculateur!X179*VLOOKUP('Données projet'!$B$9,Paramètres!$A$1:$I$89,3,0)*0.475*44/12</f>
        <v>2.3374625164785137</v>
      </c>
      <c r="AB179" s="21">
        <f>EXP(-LN(2)/2)*AB178+(1-EXP(-LN(2)/2))/(LN(2)/2)*V179*Y179*VLOOKUP('Données projet'!$B$9,Paramètres!$A$1:$I$89,3,0)*0.475*44/12</f>
        <v>7.9328670743791135E-19</v>
      </c>
      <c r="AC179" s="22">
        <f t="shared" si="163"/>
        <v>15.260400153028421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320.33056209214476</v>
      </c>
      <c r="AO179" s="59">
        <f t="shared" si="144"/>
        <v>299.27200854723446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4.7230168164175002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4.7230168164175002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256.85706398254547</v>
      </c>
      <c r="BJ179" s="59">
        <f t="shared" si="146"/>
        <v>363.68094621014734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14.720642507536231</v>
      </c>
      <c r="BQ179" s="21">
        <f>EXP(-LN(2)/25)*BQ178+(1-EXP(-LN(2)/25))/(LN(2)/25)*Calculateur!BL179*Calculateur!BN179*VLOOKUP('Données projet'!$B$11,Paramètres!$A$1:$I$89,3,0)*0.475*44/12</f>
        <v>2.1637582980928713</v>
      </c>
      <c r="BR179" s="21">
        <f>EXP(-LN(2)/2)*BR178+(1-EXP(-LN(2)/2))/(LN(2)/2)*BL179*BO179*VLOOKUP('Données projet'!$B$11,Paramètres!$A$1:$I$89,3,0)*0.475*44/12</f>
        <v>7.5087597810657003E-17</v>
      </c>
      <c r="BS179" s="22">
        <f t="shared" si="169"/>
        <v>16.884400805629102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5.6843418860808015E-14</v>
      </c>
      <c r="BZ179" s="13">
        <f>BY179*VLOOKUP('Données projet'!$B$12,Paramètres!$A$1:$I$89,3,0)*VLOOKUP('Données projet'!$B$12,Paramètres!$A$1:$I$89,5,0)</f>
        <v>5.1431925385259088E-14</v>
      </c>
      <c r="CA179" s="13">
        <f t="shared" si="170"/>
        <v>8.3482866290946129E-13</v>
      </c>
      <c r="CB179" s="20">
        <f t="shared" si="171"/>
        <v>1.5435705246133045E-12</v>
      </c>
      <c r="CC179" s="59">
        <f t="shared" si="119"/>
        <v>289.12040147383914</v>
      </c>
      <c r="CD179" s="59">
        <f ca="1">AVERAGE(OFFSET($CC$3,0,0,'Données projet'!$E$12+1,1))-AVERAGE(OFFSET($H$3,0,0,'Données projet'!$E$12+1,1))</f>
        <v>357.68828740212223</v>
      </c>
      <c r="CE179" s="59">
        <f t="shared" si="148"/>
        <v>236.76626845829483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22.492749084803631</v>
      </c>
      <c r="CL179" s="21">
        <f>EXP(-LN(2)/25)*CL178+(1-EXP(-LN(2)/25))/(LN(2)/25)*Calculateur!CG179*Calculateur!CI179*VLOOKUP('Données projet'!$B$12,Paramètres!$A$1:$I$89,3,0)*0.475*44/12</f>
        <v>10.086134555627913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32.578883640431542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257.00000000000006</v>
      </c>
      <c r="CU179" s="17">
        <f>CT179*VLOOKUP('Données projet'!$B$13,Paramètres!$A$1:$I$89,3,0)*VLOOKUP('Données projet'!$B$13,Paramètres!$A$1:$I$89,5,0)</f>
        <v>168.38640000000004</v>
      </c>
      <c r="CV179" s="13">
        <f t="shared" si="173"/>
        <v>42.728430513203243</v>
      </c>
      <c r="CW179" s="20">
        <f t="shared" si="174"/>
        <v>367.69166314382898</v>
      </c>
      <c r="CX179" s="59">
        <f t="shared" si="122"/>
        <v>656.81206461766658</v>
      </c>
      <c r="CY179" s="59">
        <f ca="1">AVERAGE(OFFSET($CX$3,0,0,'Données projet'!$E$13+1,1))-AVERAGE(OFFSET($H$3,0,0,'Données projet'!$E$13+1,1))</f>
        <v>220.18342986563667</v>
      </c>
      <c r="CZ179" s="59">
        <f t="shared" si="150"/>
        <v>347.84382145531163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1.0899229151831975E-21</v>
      </c>
      <c r="DI179" s="22">
        <f t="shared" si="175"/>
        <v>1.0899229151831975E-21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5.7639226724859328E-14</v>
      </c>
      <c r="DQ179" s="13">
        <f t="shared" si="176"/>
        <v>9.2325701996134334E-13</v>
      </c>
      <c r="DR179" s="20">
        <f t="shared" si="177"/>
        <v>1.708394296311803E-12</v>
      </c>
      <c r="DS179" s="59">
        <f t="shared" si="125"/>
        <v>289.12040147383931</v>
      </c>
      <c r="DT179" s="59">
        <f ca="1">AVERAGE(OFFSET($DS$3,0,0,'Données projet'!$E$14+1,1))-AVERAGE(OFFSET($H$3,0,0,'Données projet'!$E$14+1,1))</f>
        <v>392.49465607243178</v>
      </c>
      <c r="DU179" s="59">
        <f t="shared" si="152"/>
        <v>258.031856676031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25.207391215728197</v>
      </c>
      <c r="EB179" s="21">
        <f>EXP(-LN(2)/25)*EB178+(1-EXP(-LN(2)/25))/(LN(2)/25)*Calculateur!DW179*Calculateur!DY179*VLOOKUP('Données projet'!$B$14,Paramètres!$A$1:$I$89,3,0)*0.475*44/12</f>
        <v>11.303426657169203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36.510817872897398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294.24530606293143</v>
      </c>
      <c r="EP179" s="59">
        <f t="shared" si="154"/>
        <v>275.88160405468193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21.322168404980008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21.322168404980008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1.1368683772161603E-13</v>
      </c>
      <c r="FF179" s="17">
        <f>FE179*VLOOKUP('Données projet'!$B$16,Paramètres!$A$1:$I$89,3,0)*VLOOKUP('Données projet'!$B$16,Paramètres!$A$1:$I$89,5,0)</f>
        <v>8.3355189417488869E-14</v>
      </c>
      <c r="FG179" s="13">
        <f t="shared" si="182"/>
        <v>1.2790518435140618E-12</v>
      </c>
      <c r="FH179" s="20">
        <f t="shared" si="183"/>
        <v>2.3728589156891171E-12</v>
      </c>
      <c r="FI179" s="59">
        <f t="shared" si="131"/>
        <v>289.12040147383999</v>
      </c>
      <c r="FJ179" s="59">
        <f ca="1">AVERAGE(OFFSET($FI$3,0,0,'Données projet'!$E$16+1,1))-AVERAGE(OFFSET($H$3,0,0,'Données projet'!$E$16+1,1))</f>
        <v>214.31585175697521</v>
      </c>
      <c r="FK179" s="59">
        <f t="shared" si="156"/>
        <v>244.60383864821372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9.9021579961380954</v>
      </c>
      <c r="FR179" s="21">
        <f>EXP(-LN(2)/25)*FR178+(1-EXP(-LN(2)/25))/(LN(2)/25)*Calculateur!FM179*Calculateur!FO179*VLOOKUP('Données projet'!$B$16,Paramètres!$A$1:$I$89,3,0)*0.475*44/12</f>
        <v>0</v>
      </c>
      <c r="FS179" s="21">
        <f>EXP(-LN(2)/2)*FS178+(1-EXP(-LN(2)/2))/(LN(2)/2)*FM179*FP179*VLOOKUP('Données projet'!$B$16,Paramètres!$A$1:$I$89,3,0)*0.475*44/12</f>
        <v>0</v>
      </c>
      <c r="FT179" s="22">
        <f t="shared" si="184"/>
        <v>9.9021579961380954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-5.6843418860808015E-14</v>
      </c>
      <c r="GA179" s="17">
        <f>FZ179*VLOOKUP('Données projet'!$B$17,Paramètres!$A$1:$I$89,3,0)*VLOOKUP('Données projet'!$B$17,Paramètres!$A$1:$I$89,5,0)</f>
        <v>-4.5224624045658861E-14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308.33954512886351</v>
      </c>
      <c r="GF179" s="59">
        <f t="shared" si="158"/>
        <v>408.79075392716277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13.711034123199076</v>
      </c>
      <c r="GM179" s="21">
        <f>EXP(-LN(2)/25)*GM178+(1-EXP(-LN(2)/25))/(LN(2)/25)*Calculateur!GH179*Calculateur!GJ179*VLOOKUP('Données projet'!$B$17,Paramètres!$A$1:$I$89,3,0)*0.475*44/12</f>
        <v>0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13.711034123199076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342.84342155097613</v>
      </c>
      <c r="T180" s="59">
        <f t="shared" si="142"/>
        <v>565.68976940602215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12.669526711710818</v>
      </c>
      <c r="AA180" s="21">
        <f>EXP(-LN(2)/25)*AA179+(1-EXP(-LN(2)/25))/(LN(2)/25)*Calculateur!V180*Calculateur!X180*VLOOKUP('Données projet'!$B$9,Paramètres!$A$1:$I$89,3,0)*0.475*44/12</f>
        <v>2.2735444810435972</v>
      </c>
      <c r="AB180" s="21">
        <f>EXP(-LN(2)/2)*AB179+(1-EXP(-LN(2)/2))/(LN(2)/2)*V180*Y180*VLOOKUP('Données projet'!$B$9,Paramètres!$A$1:$I$89,3,0)*0.475*44/12</f>
        <v>5.6093841025449592E-19</v>
      </c>
      <c r="AC180" s="22">
        <f t="shared" si="163"/>
        <v>14.943071192754415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320.33056209214476</v>
      </c>
      <c r="AO180" s="59">
        <f t="shared" si="144"/>
        <v>299.27200854723446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4.5938656731999039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4.5938656731999039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256.85706398254547</v>
      </c>
      <c r="BJ180" s="59">
        <f t="shared" si="146"/>
        <v>363.68094621014734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14.431979686668802</v>
      </c>
      <c r="BQ180" s="21">
        <f>EXP(-LN(2)/25)*BQ179+(1-EXP(-LN(2)/25))/(LN(2)/25)*Calculateur!BL180*Calculateur!BN180*VLOOKUP('Données projet'!$B$11,Paramètres!$A$1:$I$89,3,0)*0.475*44/12</f>
        <v>2.1045902136444181</v>
      </c>
      <c r="BR180" s="21">
        <f>EXP(-LN(2)/2)*BR179+(1-EXP(-LN(2)/2))/(LN(2)/2)*BL180*BO180*VLOOKUP('Données projet'!$B$11,Paramètres!$A$1:$I$89,3,0)*0.475*44/12</f>
        <v>5.3094949594923727E-17</v>
      </c>
      <c r="BS180" s="22">
        <f t="shared" si="169"/>
        <v>16.536569900313221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5.6843418860808015E-14</v>
      </c>
      <c r="BZ180" s="13">
        <f>BY180*VLOOKUP('Données projet'!$B$12,Paramètres!$A$1:$I$89,3,0)*VLOOKUP('Données projet'!$B$12,Paramètres!$A$1:$I$89,5,0)</f>
        <v>5.1431925385259088E-14</v>
      </c>
      <c r="CA180" s="13">
        <f t="shared" si="170"/>
        <v>8.3482866290946129E-13</v>
      </c>
      <c r="CB180" s="20">
        <f t="shared" si="171"/>
        <v>1.5435705246133045E-12</v>
      </c>
      <c r="CC180" s="59">
        <f t="shared" si="119"/>
        <v>289.1934864228968</v>
      </c>
      <c r="CD180" s="59">
        <f ca="1">AVERAGE(OFFSET($CC$3,0,0,'Données projet'!$E$12+1,1))-AVERAGE(OFFSET($H$3,0,0,'Données projet'!$E$12+1,1))</f>
        <v>357.68828740212223</v>
      </c>
      <c r="CE180" s="59">
        <f t="shared" si="148"/>
        <v>236.76626845829483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22.051679994472913</v>
      </c>
      <c r="CL180" s="21">
        <f>EXP(-LN(2)/25)*CL179+(1-EXP(-LN(2)/25))/(LN(2)/25)*Calculateur!CG180*Calculateur!CI180*VLOOKUP('Données projet'!$B$12,Paramètres!$A$1:$I$89,3,0)*0.475*44/12</f>
        <v>9.8103286757975035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31.862008670270416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257.00000000000006</v>
      </c>
      <c r="CU180" s="17">
        <f>CT180*VLOOKUP('Données projet'!$B$13,Paramètres!$A$1:$I$89,3,0)*VLOOKUP('Données projet'!$B$13,Paramètres!$A$1:$I$89,5,0)</f>
        <v>168.38640000000004</v>
      </c>
      <c r="CV180" s="13">
        <f t="shared" si="173"/>
        <v>42.728430513203243</v>
      </c>
      <c r="CW180" s="20">
        <f t="shared" si="174"/>
        <v>367.69166314382898</v>
      </c>
      <c r="CX180" s="59">
        <f t="shared" si="122"/>
        <v>656.88514956672429</v>
      </c>
      <c r="CY180" s="59">
        <f ca="1">AVERAGE(OFFSET($CX$3,0,0,'Données projet'!$E$13+1,1))-AVERAGE(OFFSET($H$3,0,0,'Données projet'!$E$13+1,1))</f>
        <v>220.18342986563667</v>
      </c>
      <c r="CZ180" s="59">
        <f t="shared" si="150"/>
        <v>347.84382145531163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7.7069188429664926E-22</v>
      </c>
      <c r="DI180" s="22">
        <f t="shared" si="175"/>
        <v>7.7069188429664926E-22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5.7639226724859328E-14</v>
      </c>
      <c r="DQ180" s="13">
        <f t="shared" si="176"/>
        <v>9.2325701996134334E-13</v>
      </c>
      <c r="DR180" s="20">
        <f t="shared" si="177"/>
        <v>1.708394296311803E-12</v>
      </c>
      <c r="DS180" s="59">
        <f t="shared" si="125"/>
        <v>289.19348642289697</v>
      </c>
      <c r="DT180" s="59">
        <f ca="1">AVERAGE(OFFSET($DS$3,0,0,'Données projet'!$E$14+1,1))-AVERAGE(OFFSET($H$3,0,0,'Données projet'!$E$14+1,1))</f>
        <v>392.49465607243178</v>
      </c>
      <c r="DU180" s="59">
        <f t="shared" si="152"/>
        <v>258.031856676031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24.713089648978254</v>
      </c>
      <c r="EB180" s="21">
        <f>EXP(-LN(2)/25)*EB179+(1-EXP(-LN(2)/25))/(LN(2)/25)*Calculateur!DW180*Calculateur!DY180*VLOOKUP('Données projet'!$B$14,Paramètres!$A$1:$I$89,3,0)*0.475*44/12</f>
        <v>10.994333860807536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35.707423509785791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294.24530606293143</v>
      </c>
      <c r="EP180" s="59">
        <f t="shared" si="154"/>
        <v>275.88160405468193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20.904053687796917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20.904053687796917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1.1368683772161603E-13</v>
      </c>
      <c r="FF180" s="17">
        <f>FE180*VLOOKUP('Données projet'!$B$16,Paramètres!$A$1:$I$89,3,0)*VLOOKUP('Données projet'!$B$16,Paramètres!$A$1:$I$89,5,0)</f>
        <v>8.3355189417488869E-14</v>
      </c>
      <c r="FG180" s="13">
        <f t="shared" si="182"/>
        <v>1.2790518435140618E-12</v>
      </c>
      <c r="FH180" s="20">
        <f t="shared" si="183"/>
        <v>2.3728589156891171E-12</v>
      </c>
      <c r="FI180" s="59">
        <f t="shared" si="131"/>
        <v>289.19348642289765</v>
      </c>
      <c r="FJ180" s="59">
        <f ca="1">AVERAGE(OFFSET($FI$3,0,0,'Données projet'!$E$16+1,1))-AVERAGE(OFFSET($H$3,0,0,'Données projet'!$E$16+1,1))</f>
        <v>214.31585175697521</v>
      </c>
      <c r="FK180" s="59">
        <f t="shared" si="156"/>
        <v>244.60383864821372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9.7079827175538327</v>
      </c>
      <c r="FR180" s="21">
        <f>EXP(-LN(2)/25)*FR179+(1-EXP(-LN(2)/25))/(LN(2)/25)*Calculateur!FM180*Calculateur!FO180*VLOOKUP('Données projet'!$B$16,Paramètres!$A$1:$I$89,3,0)*0.475*44/12</f>
        <v>0</v>
      </c>
      <c r="FS180" s="21">
        <f>EXP(-LN(2)/2)*FS179+(1-EXP(-LN(2)/2))/(LN(2)/2)*FM180*FP180*VLOOKUP('Données projet'!$B$16,Paramètres!$A$1:$I$89,3,0)*0.475*44/12</f>
        <v>0</v>
      </c>
      <c r="FT180" s="22">
        <f t="shared" si="184"/>
        <v>9.7079827175538327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-5.6843418860808015E-14</v>
      </c>
      <c r="GA180" s="17">
        <f>FZ180*VLOOKUP('Données projet'!$B$17,Paramètres!$A$1:$I$89,3,0)*VLOOKUP('Données projet'!$B$17,Paramètres!$A$1:$I$89,5,0)</f>
        <v>-4.5224624045658861E-14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308.33954512886351</v>
      </c>
      <c r="GF180" s="59">
        <f t="shared" si="158"/>
        <v>408.79075392716277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13.442169106948189</v>
      </c>
      <c r="GM180" s="21">
        <f>EXP(-LN(2)/25)*GM179+(1-EXP(-LN(2)/25))/(LN(2)/25)*Calculateur!GH180*Calculateur!GJ180*VLOOKUP('Données projet'!$B$17,Paramètres!$A$1:$I$89,3,0)*0.475*44/12</f>
        <v>0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13.442169106948189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342.84342155097613</v>
      </c>
      <c r="T181" s="59">
        <f t="shared" si="142"/>
        <v>565.68976940602215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12.421085020542421</v>
      </c>
      <c r="AA181" s="21">
        <f>EXP(-LN(2)/25)*AA180+(1-EXP(-LN(2)/25))/(LN(2)/25)*Calculateur!V181*Calculateur!X181*VLOOKUP('Données projet'!$B$9,Paramètres!$A$1:$I$89,3,0)*0.475*44/12</f>
        <v>2.2113742876489519</v>
      </c>
      <c r="AB181" s="21">
        <f>EXP(-LN(2)/2)*AB180+(1-EXP(-LN(2)/2))/(LN(2)/2)*V181*Y181*VLOOKUP('Données projet'!$B$9,Paramètres!$A$1:$I$89,3,0)*0.475*44/12</f>
        <v>3.9664335371895568E-19</v>
      </c>
      <c r="AC181" s="22">
        <f t="shared" si="163"/>
        <v>14.632459308191372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320.33056209214476</v>
      </c>
      <c r="AO181" s="59">
        <f t="shared" si="144"/>
        <v>299.27200854723446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4.4682461747853566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4.4682461747853566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256.85706398254547</v>
      </c>
      <c r="BJ181" s="59">
        <f t="shared" si="146"/>
        <v>363.68094621014734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14.148977367651646</v>
      </c>
      <c r="BQ181" s="21">
        <f>EXP(-LN(2)/25)*BQ180+(1-EXP(-LN(2)/25))/(LN(2)/25)*Calculateur!BL181*Calculateur!BN181*VLOOKUP('Données projet'!$B$11,Paramètres!$A$1:$I$89,3,0)*0.475*44/12</f>
        <v>2.0470400835767224</v>
      </c>
      <c r="BR181" s="21">
        <f>EXP(-LN(2)/2)*BR180+(1-EXP(-LN(2)/2))/(LN(2)/2)*BL181*BO181*VLOOKUP('Données projet'!$B$11,Paramètres!$A$1:$I$89,3,0)*0.475*44/12</f>
        <v>3.7543798905328502E-17</v>
      </c>
      <c r="BS181" s="22">
        <f t="shared" si="169"/>
        <v>16.196017451228368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5.6843418860808015E-14</v>
      </c>
      <c r="BZ181" s="13">
        <f>BY181*VLOOKUP('Données projet'!$B$12,Paramètres!$A$1:$I$89,3,0)*VLOOKUP('Données projet'!$B$12,Paramètres!$A$1:$I$89,5,0)</f>
        <v>5.1431925385259088E-14</v>
      </c>
      <c r="CA181" s="13">
        <f t="shared" si="170"/>
        <v>8.3482866290946129E-13</v>
      </c>
      <c r="CB181" s="20">
        <f t="shared" si="171"/>
        <v>1.5435705246133045E-12</v>
      </c>
      <c r="CC181" s="59">
        <f t="shared" si="119"/>
        <v>289.2653035114817</v>
      </c>
      <c r="CD181" s="59">
        <f ca="1">AVERAGE(OFFSET($CC$3,0,0,'Données projet'!$E$12+1,1))-AVERAGE(OFFSET($H$3,0,0,'Données projet'!$E$12+1,1))</f>
        <v>357.68828740212223</v>
      </c>
      <c r="CE181" s="59">
        <f t="shared" si="148"/>
        <v>236.76626845829483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21.619259999977999</v>
      </c>
      <c r="CL181" s="21">
        <f>EXP(-LN(2)/25)*CL180+(1-EXP(-LN(2)/25))/(LN(2)/25)*Calculateur!CG181*Calculateur!CI181*VLOOKUP('Données projet'!$B$12,Paramètres!$A$1:$I$89,3,0)*0.475*44/12</f>
        <v>9.5420647222550574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31.161324722233054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257.00000000000006</v>
      </c>
      <c r="CU181" s="17">
        <f>CT181*VLOOKUP('Données projet'!$B$13,Paramètres!$A$1:$I$89,3,0)*VLOOKUP('Données projet'!$B$13,Paramètres!$A$1:$I$89,5,0)</f>
        <v>168.38640000000004</v>
      </c>
      <c r="CV181" s="13">
        <f t="shared" si="173"/>
        <v>42.728430513203243</v>
      </c>
      <c r="CW181" s="20">
        <f t="shared" si="174"/>
        <v>367.69166314382898</v>
      </c>
      <c r="CX181" s="59">
        <f t="shared" si="122"/>
        <v>656.95696665530909</v>
      </c>
      <c r="CY181" s="59">
        <f ca="1">AVERAGE(OFFSET($CX$3,0,0,'Données projet'!$E$13+1,1))-AVERAGE(OFFSET($H$3,0,0,'Données projet'!$E$13+1,1))</f>
        <v>220.18342986563667</v>
      </c>
      <c r="CZ181" s="59">
        <f t="shared" si="150"/>
        <v>347.84382145531163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5.4496145759159876E-22</v>
      </c>
      <c r="DI181" s="22">
        <f t="shared" si="175"/>
        <v>5.4496145759159876E-22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5.7639226724859328E-14</v>
      </c>
      <c r="DQ181" s="13">
        <f t="shared" si="176"/>
        <v>9.2325701996134334E-13</v>
      </c>
      <c r="DR181" s="20">
        <f t="shared" si="177"/>
        <v>1.708394296311803E-12</v>
      </c>
      <c r="DS181" s="59">
        <f t="shared" si="125"/>
        <v>289.26530351148187</v>
      </c>
      <c r="DT181" s="59">
        <f ca="1">AVERAGE(OFFSET($DS$3,0,0,'Données projet'!$E$14+1,1))-AVERAGE(OFFSET($H$3,0,0,'Données projet'!$E$14+1,1))</f>
        <v>392.49465607243178</v>
      </c>
      <c r="DU181" s="59">
        <f t="shared" si="152"/>
        <v>258.031856676031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24.228481034458092</v>
      </c>
      <c r="EB181" s="21">
        <f>EXP(-LN(2)/25)*EB180+(1-EXP(-LN(2)/25))/(LN(2)/25)*Calculateur!DW181*Calculateur!DY181*VLOOKUP('Données projet'!$B$14,Paramètres!$A$1:$I$89,3,0)*0.475*44/12</f>
        <v>10.693693223216865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34.922174257674953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294.24530606293143</v>
      </c>
      <c r="EP181" s="59">
        <f t="shared" si="154"/>
        <v>275.88160405468193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20.494137945192989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20.494137945192989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1.1368683772161603E-13</v>
      </c>
      <c r="FF181" s="17">
        <f>FE181*VLOOKUP('Données projet'!$B$16,Paramètres!$A$1:$I$89,3,0)*VLOOKUP('Données projet'!$B$16,Paramètres!$A$1:$I$89,5,0)</f>
        <v>8.3355189417488869E-14</v>
      </c>
      <c r="FG181" s="13">
        <f t="shared" si="182"/>
        <v>1.2790518435140618E-12</v>
      </c>
      <c r="FH181" s="20">
        <f t="shared" si="183"/>
        <v>2.3728589156891171E-12</v>
      </c>
      <c r="FI181" s="59">
        <f t="shared" si="131"/>
        <v>289.26530351148256</v>
      </c>
      <c r="FJ181" s="59">
        <f ca="1">AVERAGE(OFFSET($FI$3,0,0,'Données projet'!$E$16+1,1))-AVERAGE(OFFSET($H$3,0,0,'Données projet'!$E$16+1,1))</f>
        <v>214.31585175697521</v>
      </c>
      <c r="FK181" s="59">
        <f t="shared" si="156"/>
        <v>244.60383864821372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9.517615097747381</v>
      </c>
      <c r="FR181" s="21">
        <f>EXP(-LN(2)/25)*FR180+(1-EXP(-LN(2)/25))/(LN(2)/25)*Calculateur!FM181*Calculateur!FO181*VLOOKUP('Données projet'!$B$16,Paramètres!$A$1:$I$89,3,0)*0.475*44/12</f>
        <v>0</v>
      </c>
      <c r="FS181" s="21">
        <f>EXP(-LN(2)/2)*FS180+(1-EXP(-LN(2)/2))/(LN(2)/2)*FM181*FP181*VLOOKUP('Données projet'!$B$16,Paramètres!$A$1:$I$89,3,0)*0.475*44/12</f>
        <v>0</v>
      </c>
      <c r="FT181" s="22">
        <f t="shared" si="184"/>
        <v>9.517615097747381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-5.6843418860808015E-14</v>
      </c>
      <c r="GA181" s="17">
        <f>FZ181*VLOOKUP('Données projet'!$B$17,Paramètres!$A$1:$I$89,3,0)*VLOOKUP('Données projet'!$B$17,Paramètres!$A$1:$I$89,5,0)</f>
        <v>-4.5224624045658861E-14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308.33954512886351</v>
      </c>
      <c r="GF181" s="59">
        <f t="shared" si="158"/>
        <v>408.79075392716277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13.178576369674515</v>
      </c>
      <c r="GM181" s="21">
        <f>EXP(-LN(2)/25)*GM180+(1-EXP(-LN(2)/25))/(LN(2)/25)*Calculateur!GH181*Calculateur!GJ181*VLOOKUP('Données projet'!$B$17,Paramètres!$A$1:$I$89,3,0)*0.475*44/12</f>
        <v>0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13.178576369674515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342.84342155097613</v>
      </c>
      <c r="T182" s="59">
        <f t="shared" si="142"/>
        <v>565.68976940602215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12.177515119403367</v>
      </c>
      <c r="AA182" s="21">
        <f>EXP(-LN(2)/25)*AA181+(1-EXP(-LN(2)/25))/(LN(2)/25)*Calculateur!V182*Calculateur!X182*VLOOKUP('Données projet'!$B$9,Paramètres!$A$1:$I$89,3,0)*0.475*44/12</f>
        <v>2.1509041414620715</v>
      </c>
      <c r="AB182" s="21">
        <f>EXP(-LN(2)/2)*AB181+(1-EXP(-LN(2)/2))/(LN(2)/2)*V182*Y182*VLOOKUP('Données projet'!$B$9,Paramètres!$A$1:$I$89,3,0)*0.475*44/12</f>
        <v>2.8046920512724796E-19</v>
      </c>
      <c r="AC182" s="22">
        <f t="shared" si="163"/>
        <v>14.328419260865438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320.33056209214476</v>
      </c>
      <c r="AO182" s="59">
        <f t="shared" si="144"/>
        <v>299.27200854723446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4.3460617481609969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4.3460617481609969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256.85706398254547</v>
      </c>
      <c r="BJ182" s="59">
        <f t="shared" si="146"/>
        <v>363.68094621014734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13.871524551496048</v>
      </c>
      <c r="BQ182" s="21">
        <f>EXP(-LN(2)/25)*BQ181+(1-EXP(-LN(2)/25))/(LN(2)/25)*Calculateur!BL182*Calculateur!BN182*VLOOKUP('Données projet'!$B$11,Paramètres!$A$1:$I$89,3,0)*0.475*44/12</f>
        <v>1.9910636648421576</v>
      </c>
      <c r="BR182" s="21">
        <f>EXP(-LN(2)/2)*BR181+(1-EXP(-LN(2)/2))/(LN(2)/2)*BL182*BO182*VLOOKUP('Données projet'!$B$11,Paramètres!$A$1:$I$89,3,0)*0.475*44/12</f>
        <v>2.6547474797461864E-17</v>
      </c>
      <c r="BS182" s="22">
        <f t="shared" si="169"/>
        <v>15.862588216338205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5.6843418860808015E-14</v>
      </c>
      <c r="BZ182" s="13">
        <f>BY182*VLOOKUP('Données projet'!$B$12,Paramètres!$A$1:$I$89,3,0)*VLOOKUP('Données projet'!$B$12,Paramètres!$A$1:$I$89,5,0)</f>
        <v>5.1431925385259088E-14</v>
      </c>
      <c r="CA182" s="13">
        <f t="shared" si="170"/>
        <v>8.3482866290946129E-13</v>
      </c>
      <c r="CB182" s="20">
        <f t="shared" si="171"/>
        <v>1.5435705246133045E-12</v>
      </c>
      <c r="CC182" s="59">
        <f t="shared" si="119"/>
        <v>289.33587473413866</v>
      </c>
      <c r="CD182" s="59">
        <f ca="1">AVERAGE(OFFSET($CC$3,0,0,'Données projet'!$E$12+1,1))-AVERAGE(OFFSET($H$3,0,0,'Données projet'!$E$12+1,1))</f>
        <v>357.68828740212223</v>
      </c>
      <c r="CE182" s="59">
        <f t="shared" si="148"/>
        <v>236.76626845829483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21.195319497824975</v>
      </c>
      <c r="CL182" s="21">
        <f>EXP(-LN(2)/25)*CL181+(1-EXP(-LN(2)/25))/(LN(2)/25)*Calculateur!CG182*Calculateur!CI182*VLOOKUP('Données projet'!$B$12,Paramètres!$A$1:$I$89,3,0)*0.475*44/12</f>
        <v>9.2811364606296181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30.476455958454594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257.00000000000006</v>
      </c>
      <c r="CU182" s="17">
        <f>CT182*VLOOKUP('Données projet'!$B$13,Paramètres!$A$1:$I$89,3,0)*VLOOKUP('Données projet'!$B$13,Paramètres!$A$1:$I$89,5,0)</f>
        <v>168.38640000000004</v>
      </c>
      <c r="CV182" s="13">
        <f t="shared" si="173"/>
        <v>42.728430513203243</v>
      </c>
      <c r="CW182" s="20">
        <f t="shared" si="174"/>
        <v>367.69166314382898</v>
      </c>
      <c r="CX182" s="59">
        <f t="shared" si="122"/>
        <v>657.0275378779661</v>
      </c>
      <c r="CY182" s="59">
        <f ca="1">AVERAGE(OFFSET($CX$3,0,0,'Données projet'!$E$13+1,1))-AVERAGE(OFFSET($H$3,0,0,'Données projet'!$E$13+1,1))</f>
        <v>220.18342986563667</v>
      </c>
      <c r="CZ182" s="59">
        <f t="shared" si="150"/>
        <v>347.84382145531163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3.8534594214832463E-22</v>
      </c>
      <c r="DI182" s="22">
        <f t="shared" si="175"/>
        <v>3.8534594214832463E-22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5.7639226724859328E-14</v>
      </c>
      <c r="DQ182" s="13">
        <f t="shared" si="176"/>
        <v>9.2325701996134334E-13</v>
      </c>
      <c r="DR182" s="20">
        <f t="shared" si="177"/>
        <v>1.708394296311803E-12</v>
      </c>
      <c r="DS182" s="59">
        <f t="shared" si="125"/>
        <v>289.33587473413883</v>
      </c>
      <c r="DT182" s="59">
        <f ca="1">AVERAGE(OFFSET($DS$3,0,0,'Données projet'!$E$14+1,1))-AVERAGE(OFFSET($H$3,0,0,'Données projet'!$E$14+1,1))</f>
        <v>392.49465607243178</v>
      </c>
      <c r="DU182" s="59">
        <f t="shared" si="152"/>
        <v>258.031856676031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23.753375299286603</v>
      </c>
      <c r="EB182" s="21">
        <f>EXP(-LN(2)/25)*EB181+(1-EXP(-LN(2)/25))/(LN(2)/25)*Calculateur!DW182*Calculateur!DY182*VLOOKUP('Données projet'!$B$14,Paramètres!$A$1:$I$89,3,0)*0.475*44/12</f>
        <v>10.401273619671114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34.154648918957719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294.24530606293143</v>
      </c>
      <c r="EP182" s="59">
        <f t="shared" si="154"/>
        <v>275.88160405468193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20.09226040027761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20.09226040027761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1.1368683772161603E-13</v>
      </c>
      <c r="FF182" s="17">
        <f>FE182*VLOOKUP('Données projet'!$B$16,Paramètres!$A$1:$I$89,3,0)*VLOOKUP('Données projet'!$B$16,Paramètres!$A$1:$I$89,5,0)</f>
        <v>8.3355189417488869E-14</v>
      </c>
      <c r="FG182" s="13">
        <f t="shared" si="182"/>
        <v>1.2790518435140618E-12</v>
      </c>
      <c r="FH182" s="20">
        <f t="shared" si="183"/>
        <v>2.3728589156891171E-12</v>
      </c>
      <c r="FI182" s="59">
        <f t="shared" si="131"/>
        <v>289.33587473413951</v>
      </c>
      <c r="FJ182" s="59">
        <f ca="1">AVERAGE(OFFSET($FI$3,0,0,'Données projet'!$E$16+1,1))-AVERAGE(OFFSET($H$3,0,0,'Données projet'!$E$16+1,1))</f>
        <v>214.31585175697521</v>
      </c>
      <c r="FK182" s="59">
        <f t="shared" si="156"/>
        <v>244.60383864821372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9.3309804708525519</v>
      </c>
      <c r="FR182" s="21">
        <f>EXP(-LN(2)/25)*FR181+(1-EXP(-LN(2)/25))/(LN(2)/25)*Calculateur!FM182*Calculateur!FO182*VLOOKUP('Données projet'!$B$16,Paramètres!$A$1:$I$89,3,0)*0.475*44/12</f>
        <v>0</v>
      </c>
      <c r="FS182" s="21">
        <f>EXP(-LN(2)/2)*FS181+(1-EXP(-LN(2)/2))/(LN(2)/2)*FM182*FP182*VLOOKUP('Données projet'!$B$16,Paramètres!$A$1:$I$89,3,0)*0.475*44/12</f>
        <v>0</v>
      </c>
      <c r="FT182" s="22">
        <f t="shared" si="184"/>
        <v>9.3309804708525519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-5.6843418860808015E-14</v>
      </c>
      <c r="GA182" s="17">
        <f>FZ182*VLOOKUP('Données projet'!$B$17,Paramètres!$A$1:$I$89,3,0)*VLOOKUP('Données projet'!$B$17,Paramètres!$A$1:$I$89,5,0)</f>
        <v>-4.5224624045658861E-14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308.33954512886351</v>
      </c>
      <c r="GF182" s="59">
        <f t="shared" si="158"/>
        <v>408.79075392716277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12.920152525203083</v>
      </c>
      <c r="GM182" s="21">
        <f>EXP(-LN(2)/25)*GM181+(1-EXP(-LN(2)/25))/(LN(2)/25)*Calculateur!GH182*Calculateur!GJ182*VLOOKUP('Données projet'!$B$17,Paramètres!$A$1:$I$89,3,0)*0.475*44/12</f>
        <v>0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12.920152525203083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342.84342155097613</v>
      </c>
      <c r="T183" s="59">
        <f t="shared" si="142"/>
        <v>565.68976940602215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11.93872147546268</v>
      </c>
      <c r="AA183" s="21">
        <f>EXP(-LN(2)/25)*AA182+(1-EXP(-LN(2)/25))/(LN(2)/25)*Calculateur!V183*Calculateur!X183*VLOOKUP('Données projet'!$B$9,Paramètres!$A$1:$I$89,3,0)*0.475*44/12</f>
        <v>2.0920875546026583</v>
      </c>
      <c r="AB183" s="21">
        <f>EXP(-LN(2)/2)*AB182+(1-EXP(-LN(2)/2))/(LN(2)/2)*V183*Y183*VLOOKUP('Données projet'!$B$9,Paramètres!$A$1:$I$89,3,0)*0.475*44/12</f>
        <v>1.9832167685947784E-19</v>
      </c>
      <c r="AC183" s="22">
        <f t="shared" si="163"/>
        <v>14.030809030065338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320.33056209214476</v>
      </c>
      <c r="AO183" s="59">
        <f t="shared" si="144"/>
        <v>299.27200854723446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4.2272184611080803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4.2272184611080803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256.85706398254547</v>
      </c>
      <c r="BJ183" s="59">
        <f t="shared" si="146"/>
        <v>363.68094621014734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13.599512415835752</v>
      </c>
      <c r="BQ183" s="21">
        <f>EXP(-LN(2)/25)*BQ182+(1-EXP(-LN(2)/25))/(LN(2)/25)*Calculateur!BL183*Calculateur!BN183*VLOOKUP('Données projet'!$B$11,Paramètres!$A$1:$I$89,3,0)*0.475*44/12</f>
        <v>1.9366179242215613</v>
      </c>
      <c r="BR183" s="21">
        <f>EXP(-LN(2)/2)*BR182+(1-EXP(-LN(2)/2))/(LN(2)/2)*BL183*BO183*VLOOKUP('Données projet'!$B$11,Paramètres!$A$1:$I$89,3,0)*0.475*44/12</f>
        <v>1.8771899452664251E-17</v>
      </c>
      <c r="BS183" s="22">
        <f t="shared" si="169"/>
        <v>15.536130340057314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5.6843418860808015E-14</v>
      </c>
      <c r="BZ183" s="13">
        <f>BY183*VLOOKUP('Données projet'!$B$12,Paramètres!$A$1:$I$89,3,0)*VLOOKUP('Données projet'!$B$12,Paramètres!$A$1:$I$89,5,0)</f>
        <v>5.1431925385259088E-14</v>
      </c>
      <c r="CA183" s="13">
        <f t="shared" si="170"/>
        <v>8.3482866290946129E-13</v>
      </c>
      <c r="CB183" s="20">
        <f t="shared" si="171"/>
        <v>1.5435705246133045E-12</v>
      </c>
      <c r="CC183" s="59">
        <f t="shared" si="119"/>
        <v>289.40522170385617</v>
      </c>
      <c r="CD183" s="59">
        <f ca="1">AVERAGE(OFFSET($CC$3,0,0,'Données projet'!$E$12+1,1))-AVERAGE(OFFSET($H$3,0,0,'Données projet'!$E$12+1,1))</f>
        <v>357.68828740212223</v>
      </c>
      <c r="CE183" s="59">
        <f t="shared" si="148"/>
        <v>236.76626845829483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20.779692210341</v>
      </c>
      <c r="CL183" s="21">
        <f>EXP(-LN(2)/25)*CL182+(1-EXP(-LN(2)/25))/(LN(2)/25)*Calculateur!CG183*Calculateur!CI183*VLOOKUP('Données projet'!$B$12,Paramètres!$A$1:$I$89,3,0)*0.475*44/12</f>
        <v>9.0273432960399465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29.807035506380949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257.00000000000006</v>
      </c>
      <c r="CU183" s="17">
        <f>CT183*VLOOKUP('Données projet'!$B$13,Paramètres!$A$1:$I$89,3,0)*VLOOKUP('Données projet'!$B$13,Paramètres!$A$1:$I$89,5,0)</f>
        <v>168.38640000000004</v>
      </c>
      <c r="CV183" s="13">
        <f t="shared" si="173"/>
        <v>42.728430513203243</v>
      </c>
      <c r="CW183" s="20">
        <f t="shared" si="174"/>
        <v>367.69166314382898</v>
      </c>
      <c r="CX183" s="59">
        <f t="shared" si="122"/>
        <v>657.09688484768367</v>
      </c>
      <c r="CY183" s="59">
        <f ca="1">AVERAGE(OFFSET($CX$3,0,0,'Données projet'!$E$13+1,1))-AVERAGE(OFFSET($H$3,0,0,'Données projet'!$E$13+1,1))</f>
        <v>220.18342986563667</v>
      </c>
      <c r="CZ183" s="59">
        <f t="shared" si="150"/>
        <v>347.84382145531163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2.7248072879579938E-22</v>
      </c>
      <c r="DI183" s="22">
        <f t="shared" si="175"/>
        <v>2.7248072879579938E-22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5.7639226724859328E-14</v>
      </c>
      <c r="DQ183" s="13">
        <f t="shared" si="176"/>
        <v>9.2325701996134334E-13</v>
      </c>
      <c r="DR183" s="20">
        <f t="shared" si="177"/>
        <v>1.708394296311803E-12</v>
      </c>
      <c r="DS183" s="59">
        <f t="shared" si="125"/>
        <v>289.40522170385634</v>
      </c>
      <c r="DT183" s="59">
        <f ca="1">AVERAGE(OFFSET($DS$3,0,0,'Données projet'!$E$14+1,1))-AVERAGE(OFFSET($H$3,0,0,'Données projet'!$E$14+1,1))</f>
        <v>392.49465607243178</v>
      </c>
      <c r="DU183" s="59">
        <f t="shared" si="152"/>
        <v>258.031856676031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23.287586097795941</v>
      </c>
      <c r="EB183" s="21">
        <f>EXP(-LN(2)/25)*EB182+(1-EXP(-LN(2)/25))/(LN(2)/25)*Calculateur!DW183*Calculateur!DY183*VLOOKUP('Données projet'!$B$14,Paramètres!$A$1:$I$89,3,0)*0.475*44/12</f>
        <v>10.116850245562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33.404436343357943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294.24530606293143</v>
      </c>
      <c r="EP183" s="59">
        <f t="shared" si="154"/>
        <v>275.88160405468193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19.698263428896922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19.698263428896922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1.1368683772161603E-13</v>
      </c>
      <c r="FF183" s="17">
        <f>FE183*VLOOKUP('Données projet'!$B$16,Paramètres!$A$1:$I$89,3,0)*VLOOKUP('Données projet'!$B$16,Paramètres!$A$1:$I$89,5,0)</f>
        <v>8.3355189417488869E-14</v>
      </c>
      <c r="FG183" s="13">
        <f t="shared" si="182"/>
        <v>1.2790518435140618E-12</v>
      </c>
      <c r="FH183" s="20">
        <f t="shared" si="183"/>
        <v>2.3728589156891171E-12</v>
      </c>
      <c r="FI183" s="59">
        <f t="shared" si="131"/>
        <v>289.40522170385702</v>
      </c>
      <c r="FJ183" s="59">
        <f ca="1">AVERAGE(OFFSET($FI$3,0,0,'Données projet'!$E$16+1,1))-AVERAGE(OFFSET($H$3,0,0,'Données projet'!$E$16+1,1))</f>
        <v>214.31585175697521</v>
      </c>
      <c r="FK183" s="59">
        <f t="shared" si="156"/>
        <v>244.60383864821372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9.148005635155247</v>
      </c>
      <c r="FR183" s="21">
        <f>EXP(-LN(2)/25)*FR182+(1-EXP(-LN(2)/25))/(LN(2)/25)*Calculateur!FM183*Calculateur!FO183*VLOOKUP('Données projet'!$B$16,Paramètres!$A$1:$I$89,3,0)*0.475*44/12</f>
        <v>0</v>
      </c>
      <c r="FS183" s="21">
        <f>EXP(-LN(2)/2)*FS182+(1-EXP(-LN(2)/2))/(LN(2)/2)*FM183*FP183*VLOOKUP('Données projet'!$B$16,Paramètres!$A$1:$I$89,3,0)*0.475*44/12</f>
        <v>0</v>
      </c>
      <c r="FT183" s="22">
        <f t="shared" si="184"/>
        <v>9.148005635155247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-5.6843418860808015E-14</v>
      </c>
      <c r="GA183" s="17">
        <f>FZ183*VLOOKUP('Données projet'!$B$17,Paramètres!$A$1:$I$89,3,0)*VLOOKUP('Données projet'!$B$17,Paramètres!$A$1:$I$89,5,0)</f>
        <v>-4.5224624045658861E-14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308.33954512886351</v>
      </c>
      <c r="GF183" s="59">
        <f t="shared" si="158"/>
        <v>408.79075392716277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12.666796214698754</v>
      </c>
      <c r="GM183" s="21">
        <f>EXP(-LN(2)/25)*GM182+(1-EXP(-LN(2)/25))/(LN(2)/25)*Calculateur!GH183*Calculateur!GJ183*VLOOKUP('Données projet'!$B$17,Paramètres!$A$1:$I$89,3,0)*0.475*44/12</f>
        <v>0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12.666796214698754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342.84342155097613</v>
      </c>
      <c r="T184" s="59">
        <f t="shared" si="142"/>
        <v>565.68976940602215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11.704610429229929</v>
      </c>
      <c r="AA184" s="21">
        <f>EXP(-LN(2)/25)*AA183+(1-EXP(-LN(2)/25))/(LN(2)/25)*Calculateur!V184*Calculateur!X184*VLOOKUP('Données projet'!$B$9,Paramètres!$A$1:$I$89,3,0)*0.475*44/12</f>
        <v>2.0348793104039458</v>
      </c>
      <c r="AB184" s="21">
        <f>EXP(-LN(2)/2)*AB183+(1-EXP(-LN(2)/2))/(LN(2)/2)*V184*Y184*VLOOKUP('Données projet'!$B$9,Paramètres!$A$1:$I$89,3,0)*0.475*44/12</f>
        <v>1.4023460256362398E-19</v>
      </c>
      <c r="AC184" s="22">
        <f t="shared" si="163"/>
        <v>13.739489739633875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320.33056209214476</v>
      </c>
      <c r="AO184" s="59">
        <f t="shared" si="144"/>
        <v>299.27200854723446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4.1116249499893227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4.1116249499893227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256.85706398254547</v>
      </c>
      <c r="BJ184" s="59">
        <f t="shared" si="146"/>
        <v>363.68094621014734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13.332834272244735</v>
      </c>
      <c r="BQ184" s="21">
        <f>EXP(-LN(2)/25)*BQ183+(1-EXP(-LN(2)/25))/(LN(2)/25)*Calculateur!BL184*Calculateur!BN184*VLOOKUP('Données projet'!$B$11,Paramètres!$A$1:$I$89,3,0)*0.475*44/12</f>
        <v>1.8836610052414122</v>
      </c>
      <c r="BR184" s="21">
        <f>EXP(-LN(2)/2)*BR183+(1-EXP(-LN(2)/2))/(LN(2)/2)*BL184*BO184*VLOOKUP('Données projet'!$B$11,Paramètres!$A$1:$I$89,3,0)*0.475*44/12</f>
        <v>1.3273737398730932E-17</v>
      </c>
      <c r="BS184" s="22">
        <f t="shared" si="169"/>
        <v>15.216495277486148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5.6843418860808015E-14</v>
      </c>
      <c r="BZ184" s="13">
        <f>BY184*VLOOKUP('Données projet'!$B$12,Paramètres!$A$1:$I$89,3,0)*VLOOKUP('Données projet'!$B$12,Paramètres!$A$1:$I$89,5,0)</f>
        <v>5.1431925385259088E-14</v>
      </c>
      <c r="CA184" s="13">
        <f t="shared" si="170"/>
        <v>8.3482866290946129E-13</v>
      </c>
      <c r="CB184" s="20">
        <f t="shared" si="171"/>
        <v>1.5435705246133045E-12</v>
      </c>
      <c r="CC184" s="59">
        <f t="shared" si="119"/>
        <v>289.47336565868562</v>
      </c>
      <c r="CD184" s="59">
        <f ca="1">AVERAGE(OFFSET($CC$3,0,0,'Données projet'!$E$12+1,1))-AVERAGE(OFFSET($H$3,0,0,'Données projet'!$E$12+1,1))</f>
        <v>357.68828740212223</v>
      </c>
      <c r="CE184" s="59">
        <f t="shared" si="148"/>
        <v>236.76626845829483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20.372215120456971</v>
      </c>
      <c r="CL184" s="21">
        <f>EXP(-LN(2)/25)*CL183+(1-EXP(-LN(2)/25))/(LN(2)/25)*Calculateur!CG184*Calculateur!CI184*VLOOKUP('Données projet'!$B$12,Paramètres!$A$1:$I$89,3,0)*0.475*44/12</f>
        <v>8.7804901188823816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29.152705239339355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257.00000000000006</v>
      </c>
      <c r="CU184" s="17">
        <f>CT184*VLOOKUP('Données projet'!$B$13,Paramètres!$A$1:$I$89,3,0)*VLOOKUP('Données projet'!$B$13,Paramètres!$A$1:$I$89,5,0)</f>
        <v>168.38640000000004</v>
      </c>
      <c r="CV184" s="13">
        <f t="shared" si="173"/>
        <v>42.728430513203243</v>
      </c>
      <c r="CW184" s="20">
        <f t="shared" si="174"/>
        <v>367.69166314382898</v>
      </c>
      <c r="CX184" s="59">
        <f t="shared" si="122"/>
        <v>657.16502880251301</v>
      </c>
      <c r="CY184" s="59">
        <f ca="1">AVERAGE(OFFSET($CX$3,0,0,'Données projet'!$E$13+1,1))-AVERAGE(OFFSET($H$3,0,0,'Données projet'!$E$13+1,1))</f>
        <v>220.18342986563667</v>
      </c>
      <c r="CZ184" s="59">
        <f t="shared" si="150"/>
        <v>347.84382145531163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1.9267297107416232E-22</v>
      </c>
      <c r="DI184" s="22">
        <f t="shared" si="175"/>
        <v>1.9267297107416232E-22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5.7639226724859328E-14</v>
      </c>
      <c r="DQ184" s="13">
        <f t="shared" si="176"/>
        <v>9.2325701996134334E-13</v>
      </c>
      <c r="DR184" s="20">
        <f t="shared" si="177"/>
        <v>1.708394296311803E-12</v>
      </c>
      <c r="DS184" s="59">
        <f t="shared" si="125"/>
        <v>289.47336565868579</v>
      </c>
      <c r="DT184" s="59">
        <f ca="1">AVERAGE(OFFSET($DS$3,0,0,'Données projet'!$E$14+1,1))-AVERAGE(OFFSET($H$3,0,0,'Données projet'!$E$14+1,1))</f>
        <v>392.49465607243178</v>
      </c>
      <c r="DU184" s="59">
        <f t="shared" si="152"/>
        <v>258.031856676031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22.830930738443151</v>
      </c>
      <c r="EB184" s="21">
        <f>EXP(-LN(2)/25)*EB183+(1-EXP(-LN(2)/25))/(LN(2)/25)*Calculateur!DW184*Calculateur!DY184*VLOOKUP('Données projet'!$B$14,Paramètres!$A$1:$I$89,3,0)*0.475*44/12</f>
        <v>9.8402044435750753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32.671135182018226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294.24530606293143</v>
      </c>
      <c r="EP184" s="59">
        <f t="shared" si="154"/>
        <v>275.88160405468193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19.311992497810586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19.311992497810586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1.1368683772161603E-13</v>
      </c>
      <c r="FF184" s="17">
        <f>FE184*VLOOKUP('Données projet'!$B$16,Paramètres!$A$1:$I$89,3,0)*VLOOKUP('Données projet'!$B$16,Paramètres!$A$1:$I$89,5,0)</f>
        <v>8.3355189417488869E-14</v>
      </c>
      <c r="FG184" s="13">
        <f t="shared" si="182"/>
        <v>1.2790518435140618E-12</v>
      </c>
      <c r="FH184" s="20">
        <f t="shared" si="183"/>
        <v>2.3728589156891171E-12</v>
      </c>
      <c r="FI184" s="59">
        <f t="shared" si="131"/>
        <v>289.47336565868648</v>
      </c>
      <c r="FJ184" s="59">
        <f ca="1">AVERAGE(OFFSET($FI$3,0,0,'Données projet'!$E$16+1,1))-AVERAGE(OFFSET($H$3,0,0,'Données projet'!$E$16+1,1))</f>
        <v>214.31585175697521</v>
      </c>
      <c r="FK184" s="59">
        <f t="shared" si="156"/>
        <v>244.60383864821372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8.9686188243823377</v>
      </c>
      <c r="FR184" s="21">
        <f>EXP(-LN(2)/25)*FR183+(1-EXP(-LN(2)/25))/(LN(2)/25)*Calculateur!FM184*Calculateur!FO184*VLOOKUP('Données projet'!$B$16,Paramètres!$A$1:$I$89,3,0)*0.475*44/12</f>
        <v>0</v>
      </c>
      <c r="FS184" s="21">
        <f>EXP(-LN(2)/2)*FS183+(1-EXP(-LN(2)/2))/(LN(2)/2)*FM184*FP184*VLOOKUP('Données projet'!$B$16,Paramètres!$A$1:$I$89,3,0)*0.475*44/12</f>
        <v>0</v>
      </c>
      <c r="FT184" s="22">
        <f t="shared" si="184"/>
        <v>8.9686188243823377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-5.6843418860808015E-14</v>
      </c>
      <c r="GA184" s="17">
        <f>FZ184*VLOOKUP('Données projet'!$B$17,Paramètres!$A$1:$I$89,3,0)*VLOOKUP('Données projet'!$B$17,Paramètres!$A$1:$I$89,5,0)</f>
        <v>-4.5224624045658861E-14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308.33954512886351</v>
      </c>
      <c r="GF184" s="59">
        <f t="shared" si="158"/>
        <v>408.79075392716277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12.418408066911326</v>
      </c>
      <c r="GM184" s="21">
        <f>EXP(-LN(2)/25)*GM183+(1-EXP(-LN(2)/25))/(LN(2)/25)*Calculateur!GH184*Calculateur!GJ184*VLOOKUP('Données projet'!$B$17,Paramètres!$A$1:$I$89,3,0)*0.475*44/12</f>
        <v>0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12.418408066911326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342.84342155097613</v>
      </c>
      <c r="T185" s="59">
        <f t="shared" si="142"/>
        <v>565.68976940602215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11.475090157820164</v>
      </c>
      <c r="AA185" s="21">
        <f>EXP(-LN(2)/25)*AA184+(1-EXP(-LN(2)/25))/(LN(2)/25)*Calculateur!V185*Calculateur!X185*VLOOKUP('Données projet'!$B$9,Paramètres!$A$1:$I$89,3,0)*0.475*44/12</f>
        <v>1.9792354286512976</v>
      </c>
      <c r="AB185" s="21">
        <f>EXP(-LN(2)/2)*AB184+(1-EXP(-LN(2)/2))/(LN(2)/2)*V185*Y185*VLOOKUP('Données projet'!$B$9,Paramètres!$A$1:$I$89,3,0)*0.475*44/12</f>
        <v>9.9160838429738919E-20</v>
      </c>
      <c r="AC185" s="22">
        <f t="shared" si="163"/>
        <v>13.454325586471462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320.33056209214476</v>
      </c>
      <c r="AO185" s="59">
        <f t="shared" si="144"/>
        <v>299.27200854723446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3.9991923495109059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3.9991923495109059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256.85706398254547</v>
      </c>
      <c r="BJ185" s="59">
        <f t="shared" si="146"/>
        <v>363.68094621014734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13.071385524391932</v>
      </c>
      <c r="BQ185" s="21">
        <f>EXP(-LN(2)/25)*BQ184+(1-EXP(-LN(2)/25))/(LN(2)/25)*Calculateur!BL185*Calculateur!BN185*VLOOKUP('Données projet'!$B$11,Paramètres!$A$1:$I$89,3,0)*0.475*44/12</f>
        <v>1.8321521959956588</v>
      </c>
      <c r="BR185" s="21">
        <f>EXP(-LN(2)/2)*BR184+(1-EXP(-LN(2)/2))/(LN(2)/2)*BL185*BO185*VLOOKUP('Données projet'!$B$11,Paramètres!$A$1:$I$89,3,0)*0.475*44/12</f>
        <v>9.3859497263321254E-18</v>
      </c>
      <c r="BS185" s="22">
        <f t="shared" si="169"/>
        <v>14.903537720387591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5.6843418860808015E-14</v>
      </c>
      <c r="BZ185" s="13">
        <f>BY185*VLOOKUP('Données projet'!$B$12,Paramètres!$A$1:$I$89,3,0)*VLOOKUP('Données projet'!$B$12,Paramètres!$A$1:$I$89,5,0)</f>
        <v>5.1431925385259088E-14</v>
      </c>
      <c r="CA185" s="13">
        <f t="shared" si="170"/>
        <v>8.3482866290946129E-13</v>
      </c>
      <c r="CB185" s="20">
        <f t="shared" si="171"/>
        <v>1.5435705246133045E-12</v>
      </c>
      <c r="CC185" s="59">
        <f t="shared" si="119"/>
        <v>289.54032746824595</v>
      </c>
      <c r="CD185" s="59">
        <f ca="1">AVERAGE(OFFSET($CC$3,0,0,'Données projet'!$E$12+1,1))-AVERAGE(OFFSET($H$3,0,0,'Données projet'!$E$12+1,1))</f>
        <v>357.68828740212223</v>
      </c>
      <c r="CE185" s="59">
        <f t="shared" si="148"/>
        <v>236.76626845829483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19.972728407769086</v>
      </c>
      <c r="CL185" s="21">
        <f>EXP(-LN(2)/25)*CL184+(1-EXP(-LN(2)/25))/(LN(2)/25)*Calculateur!CG185*Calculateur!CI185*VLOOKUP('Données projet'!$B$12,Paramètres!$A$1:$I$89,3,0)*0.475*44/12</f>
        <v>8.5403871548356349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28.513115562604721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257.00000000000006</v>
      </c>
      <c r="CU185" s="17">
        <f>CT185*VLOOKUP('Données projet'!$B$13,Paramètres!$A$1:$I$89,3,0)*VLOOKUP('Données projet'!$B$13,Paramètres!$A$1:$I$89,5,0)</f>
        <v>168.38640000000004</v>
      </c>
      <c r="CV185" s="13">
        <f t="shared" si="173"/>
        <v>42.728430513203243</v>
      </c>
      <c r="CW185" s="20">
        <f t="shared" si="174"/>
        <v>367.69166314382898</v>
      </c>
      <c r="CX185" s="59">
        <f t="shared" si="122"/>
        <v>657.23199061207333</v>
      </c>
      <c r="CY185" s="59">
        <f ca="1">AVERAGE(OFFSET($CX$3,0,0,'Données projet'!$E$13+1,1))-AVERAGE(OFFSET($H$3,0,0,'Données projet'!$E$13+1,1))</f>
        <v>220.18342986563667</v>
      </c>
      <c r="CZ185" s="59">
        <f t="shared" si="150"/>
        <v>347.84382145531163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1.3624036439789969E-22</v>
      </c>
      <c r="DI185" s="22">
        <f t="shared" si="175"/>
        <v>1.3624036439789969E-22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5.7639226724859328E-14</v>
      </c>
      <c r="DQ185" s="13">
        <f t="shared" si="176"/>
        <v>9.2325701996134334E-13</v>
      </c>
      <c r="DR185" s="20">
        <f t="shared" si="177"/>
        <v>1.708394296311803E-12</v>
      </c>
      <c r="DS185" s="59">
        <f t="shared" si="125"/>
        <v>289.54032746824612</v>
      </c>
      <c r="DT185" s="59">
        <f ca="1">AVERAGE(OFFSET($DS$3,0,0,'Données projet'!$E$14+1,1))-AVERAGE(OFFSET($H$3,0,0,'Données projet'!$E$14+1,1))</f>
        <v>392.49465607243178</v>
      </c>
      <c r="DU185" s="59">
        <f t="shared" si="152"/>
        <v>258.031856676031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22.383230112155001</v>
      </c>
      <c r="EB185" s="21">
        <f>EXP(-LN(2)/25)*EB184+(1-EXP(-LN(2)/25))/(LN(2)/25)*Calculateur!DW185*Calculateur!DY185*VLOOKUP('Données projet'!$B$14,Paramètres!$A$1:$I$89,3,0)*0.475*44/12</f>
        <v>9.5711235355916529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31.954353647746654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294.24530606293143</v>
      </c>
      <c r="EP185" s="59">
        <f t="shared" si="154"/>
        <v>275.88160405468193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18.933296104080849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18.933296104080849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1.1368683772161603E-13</v>
      </c>
      <c r="FF185" s="17">
        <f>FE185*VLOOKUP('Données projet'!$B$16,Paramètres!$A$1:$I$89,3,0)*VLOOKUP('Données projet'!$B$16,Paramètres!$A$1:$I$89,5,0)</f>
        <v>8.3355189417488869E-14</v>
      </c>
      <c r="FG185" s="13">
        <f t="shared" si="182"/>
        <v>1.2790518435140618E-12</v>
      </c>
      <c r="FH185" s="20">
        <f t="shared" si="183"/>
        <v>2.3728589156891171E-12</v>
      </c>
      <c r="FI185" s="59">
        <f t="shared" si="131"/>
        <v>289.5403274682468</v>
      </c>
      <c r="FJ185" s="59">
        <f ca="1">AVERAGE(OFFSET($FI$3,0,0,'Données projet'!$E$16+1,1))-AVERAGE(OFFSET($H$3,0,0,'Données projet'!$E$16+1,1))</f>
        <v>214.31585175697521</v>
      </c>
      <c r="FK185" s="59">
        <f t="shared" si="156"/>
        <v>244.60383864821372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8.792749679553534</v>
      </c>
      <c r="FR185" s="21">
        <f>EXP(-LN(2)/25)*FR184+(1-EXP(-LN(2)/25))/(LN(2)/25)*Calculateur!FM185*Calculateur!FO185*VLOOKUP('Données projet'!$B$16,Paramètres!$A$1:$I$89,3,0)*0.475*44/12</f>
        <v>0</v>
      </c>
      <c r="FS185" s="21">
        <f>EXP(-LN(2)/2)*FS184+(1-EXP(-LN(2)/2))/(LN(2)/2)*FM185*FP185*VLOOKUP('Données projet'!$B$16,Paramètres!$A$1:$I$89,3,0)*0.475*44/12</f>
        <v>0</v>
      </c>
      <c r="FT185" s="22">
        <f t="shared" si="184"/>
        <v>8.792749679553534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-5.6843418860808015E-14</v>
      </c>
      <c r="GA185" s="17">
        <f>FZ185*VLOOKUP('Données projet'!$B$17,Paramètres!$A$1:$I$89,3,0)*VLOOKUP('Données projet'!$B$17,Paramètres!$A$1:$I$89,5,0)</f>
        <v>-4.5224624045658861E-14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308.33954512886351</v>
      </c>
      <c r="GF185" s="59">
        <f t="shared" si="158"/>
        <v>408.79075392716277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12.174890659200198</v>
      </c>
      <c r="GM185" s="21">
        <f>EXP(-LN(2)/25)*GM184+(1-EXP(-LN(2)/25))/(LN(2)/25)*Calculateur!GH185*Calculateur!GJ185*VLOOKUP('Données projet'!$B$17,Paramètres!$A$1:$I$89,3,0)*0.475*44/12</f>
        <v>0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12.174890659200198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342.84342155097613</v>
      </c>
      <c r="T186" s="59">
        <f t="shared" si="142"/>
        <v>565.68976940602215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11.250070638939201</v>
      </c>
      <c r="AA186" s="21">
        <f>EXP(-LN(2)/25)*AA185+(1-EXP(-LN(2)/25))/(LN(2)/25)*Calculateur!V186*Calculateur!X186*VLOOKUP('Données projet'!$B$9,Paramètres!$A$1:$I$89,3,0)*0.475*44/12</f>
        <v>1.9251131317713603</v>
      </c>
      <c r="AB186" s="21">
        <f>EXP(-LN(2)/2)*AB185+(1-EXP(-LN(2)/2))/(LN(2)/2)*V186*Y186*VLOOKUP('Données projet'!$B$9,Paramètres!$A$1:$I$89,3,0)*0.475*44/12</f>
        <v>7.011730128181199E-20</v>
      </c>
      <c r="AC186" s="22">
        <f t="shared" si="163"/>
        <v>13.175183770710561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320.33056209214476</v>
      </c>
      <c r="AO186" s="59">
        <f t="shared" si="144"/>
        <v>299.27200854723446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3.8898342244051447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3.8898342244051447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256.85706398254547</v>
      </c>
      <c r="BJ186" s="59">
        <f t="shared" si="146"/>
        <v>363.68094621014734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12.815063627016531</v>
      </c>
      <c r="BQ186" s="21">
        <f>EXP(-LN(2)/25)*BQ185+(1-EXP(-LN(2)/25))/(LN(2)/25)*Calculateur!BL186*Calculateur!BN186*VLOOKUP('Données projet'!$B$11,Paramètres!$A$1:$I$89,3,0)*0.475*44/12</f>
        <v>1.7820518978474609</v>
      </c>
      <c r="BR186" s="21">
        <f>EXP(-LN(2)/2)*BR185+(1-EXP(-LN(2)/2))/(LN(2)/2)*BL186*BO186*VLOOKUP('Données projet'!$B$11,Paramètres!$A$1:$I$89,3,0)*0.475*44/12</f>
        <v>6.6368686993654659E-18</v>
      </c>
      <c r="BS186" s="22">
        <f t="shared" si="169"/>
        <v>14.597115524863993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5.6843418860808015E-14</v>
      </c>
      <c r="BZ186" s="13">
        <f>BY186*VLOOKUP('Données projet'!$B$12,Paramètres!$A$1:$I$89,3,0)*VLOOKUP('Données projet'!$B$12,Paramètres!$A$1:$I$89,5,0)</f>
        <v>5.1431925385259088E-14</v>
      </c>
      <c r="CA186" s="13">
        <f t="shared" si="170"/>
        <v>8.3482866290946129E-13</v>
      </c>
      <c r="CB186" s="20">
        <f t="shared" si="171"/>
        <v>1.5435705246133045E-12</v>
      </c>
      <c r="CC186" s="59">
        <f t="shared" si="119"/>
        <v>289.60612764011449</v>
      </c>
      <c r="CD186" s="59">
        <f ca="1">AVERAGE(OFFSET($CC$3,0,0,'Données projet'!$E$12+1,1))-AVERAGE(OFFSET($H$3,0,0,'Données projet'!$E$12+1,1))</f>
        <v>357.68828740212223</v>
      </c>
      <c r="CE186" s="59">
        <f t="shared" si="148"/>
        <v>236.76626845829483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19.581075385854174</v>
      </c>
      <c r="CL186" s="21">
        <f>EXP(-LN(2)/25)*CL185+(1-EXP(-LN(2)/25))/(LN(2)/25)*Calculateur!CG186*Calculateur!CI186*VLOOKUP('Données projet'!$B$12,Paramètres!$A$1:$I$89,3,0)*0.475*44/12</f>
        <v>8.3068498189672137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27.887925204821386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257.00000000000006</v>
      </c>
      <c r="CU186" s="17">
        <f>CT186*VLOOKUP('Données projet'!$B$13,Paramètres!$A$1:$I$89,3,0)*VLOOKUP('Données projet'!$B$13,Paramètres!$A$1:$I$89,5,0)</f>
        <v>168.38640000000004</v>
      </c>
      <c r="CV186" s="13">
        <f t="shared" si="173"/>
        <v>42.728430513203243</v>
      </c>
      <c r="CW186" s="20">
        <f t="shared" si="174"/>
        <v>367.69166314382898</v>
      </c>
      <c r="CX186" s="59">
        <f t="shared" si="122"/>
        <v>657.29779078394199</v>
      </c>
      <c r="CY186" s="59">
        <f ca="1">AVERAGE(OFFSET($CX$3,0,0,'Données projet'!$E$13+1,1))-AVERAGE(OFFSET($H$3,0,0,'Données projet'!$E$13+1,1))</f>
        <v>220.18342986563667</v>
      </c>
      <c r="CZ186" s="59">
        <f t="shared" si="150"/>
        <v>347.84382145531163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9.6336485537081158E-23</v>
      </c>
      <c r="DI186" s="22">
        <f t="shared" si="175"/>
        <v>9.6336485537081158E-23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5.7639226724859328E-14</v>
      </c>
      <c r="DQ186" s="13">
        <f t="shared" si="176"/>
        <v>9.2325701996134334E-13</v>
      </c>
      <c r="DR186" s="20">
        <f t="shared" si="177"/>
        <v>1.708394296311803E-12</v>
      </c>
      <c r="DS186" s="59">
        <f t="shared" si="125"/>
        <v>289.60612764011466</v>
      </c>
      <c r="DT186" s="59">
        <f ca="1">AVERAGE(OFFSET($DS$3,0,0,'Données projet'!$E$14+1,1))-AVERAGE(OFFSET($H$3,0,0,'Données projet'!$E$14+1,1))</f>
        <v>392.49465607243178</v>
      </c>
      <c r="DU186" s="59">
        <f t="shared" si="152"/>
        <v>258.031856676031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21.944308622077944</v>
      </c>
      <c r="EB186" s="21">
        <f>EXP(-LN(2)/25)*EB185+(1-EXP(-LN(2)/25))/(LN(2)/25)*Calculateur!DW186*Calculateur!DY186*VLOOKUP('Données projet'!$B$14,Paramètres!$A$1:$I$89,3,0)*0.475*44/12</f>
        <v>9.3094006591873875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31.25370928126533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294.24530606293143</v>
      </c>
      <c r="EP186" s="59">
        <f t="shared" si="154"/>
        <v>275.88160405468193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18.562025715650162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18.562025715650162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1.1368683772161603E-13</v>
      </c>
      <c r="FF186" s="17">
        <f>FE186*VLOOKUP('Données projet'!$B$16,Paramètres!$A$1:$I$89,3,0)*VLOOKUP('Données projet'!$B$16,Paramètres!$A$1:$I$89,5,0)</f>
        <v>8.3355189417488869E-14</v>
      </c>
      <c r="FG186" s="13">
        <f t="shared" si="182"/>
        <v>1.2790518435140618E-12</v>
      </c>
      <c r="FH186" s="20">
        <f t="shared" si="183"/>
        <v>2.3728589156891171E-12</v>
      </c>
      <c r="FI186" s="59">
        <f t="shared" si="131"/>
        <v>289.60612764011535</v>
      </c>
      <c r="FJ186" s="59">
        <f ca="1">AVERAGE(OFFSET($FI$3,0,0,'Données projet'!$E$16+1,1))-AVERAGE(OFFSET($H$3,0,0,'Données projet'!$E$16+1,1))</f>
        <v>214.31585175697521</v>
      </c>
      <c r="FK186" s="59">
        <f t="shared" si="156"/>
        <v>244.60383864821372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8.6203292213852372</v>
      </c>
      <c r="FR186" s="21">
        <f>EXP(-LN(2)/25)*FR185+(1-EXP(-LN(2)/25))/(LN(2)/25)*Calculateur!FM186*Calculateur!FO186*VLOOKUP('Données projet'!$B$16,Paramètres!$A$1:$I$89,3,0)*0.475*44/12</f>
        <v>0</v>
      </c>
      <c r="FS186" s="21">
        <f>EXP(-LN(2)/2)*FS185+(1-EXP(-LN(2)/2))/(LN(2)/2)*FM186*FP186*VLOOKUP('Données projet'!$B$16,Paramètres!$A$1:$I$89,3,0)*0.475*44/12</f>
        <v>0</v>
      </c>
      <c r="FT186" s="22">
        <f t="shared" si="184"/>
        <v>8.6203292213852372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-5.6843418860808015E-14</v>
      </c>
      <c r="GA186" s="17">
        <f>FZ186*VLOOKUP('Données projet'!$B$17,Paramètres!$A$1:$I$89,3,0)*VLOOKUP('Données projet'!$B$17,Paramètres!$A$1:$I$89,5,0)</f>
        <v>-4.5224624045658861E-14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308.33954512886351</v>
      </c>
      <c r="GF186" s="59">
        <f t="shared" si="158"/>
        <v>408.79075392716277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11.936148479323332</v>
      </c>
      <c r="GM186" s="21">
        <f>EXP(-LN(2)/25)*GM185+(1-EXP(-LN(2)/25))/(LN(2)/25)*Calculateur!GH186*Calculateur!GJ186*VLOOKUP('Données projet'!$B$17,Paramètres!$A$1:$I$89,3,0)*0.475*44/12</f>
        <v>0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11.936148479323332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342.84342155097613</v>
      </c>
      <c r="T187" s="59">
        <f t="shared" si="142"/>
        <v>565.68976940602215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11.029463615575141</v>
      </c>
      <c r="AA187" s="21">
        <f>EXP(-LN(2)/25)*AA186+(1-EXP(-LN(2)/25))/(LN(2)/25)*Calculateur!V187*Calculateur!X187*VLOOKUP('Données projet'!$B$9,Paramètres!$A$1:$I$89,3,0)*0.475*44/12</f>
        <v>1.8724708119457727</v>
      </c>
      <c r="AB187" s="21">
        <f>EXP(-LN(2)/2)*AB186+(1-EXP(-LN(2)/2))/(LN(2)/2)*V187*Y187*VLOOKUP('Données projet'!$B$9,Paramètres!$A$1:$I$89,3,0)*0.475*44/12</f>
        <v>4.958041921486946E-20</v>
      </c>
      <c r="AC187" s="22">
        <f t="shared" si="163"/>
        <v>12.901934427520914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320.33056209214476</v>
      </c>
      <c r="AO187" s="59">
        <f t="shared" si="144"/>
        <v>299.27200854723446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3.7834665029812946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3.7834665029812946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256.85706398254547</v>
      </c>
      <c r="BJ187" s="59">
        <f t="shared" si="146"/>
        <v>363.68094621014734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12.563768045707743</v>
      </c>
      <c r="BQ187" s="21">
        <f>EXP(-LN(2)/25)*BQ186+(1-EXP(-LN(2)/25))/(LN(2)/25)*Calculateur!BL187*Calculateur!BN187*VLOOKUP('Données projet'!$B$11,Paramètres!$A$1:$I$89,3,0)*0.475*44/12</f>
        <v>1.7333215949867857</v>
      </c>
      <c r="BR187" s="21">
        <f>EXP(-LN(2)/2)*BR186+(1-EXP(-LN(2)/2))/(LN(2)/2)*BL187*BO187*VLOOKUP('Données projet'!$B$11,Paramètres!$A$1:$I$89,3,0)*0.475*44/12</f>
        <v>4.6929748631660627E-18</v>
      </c>
      <c r="BS187" s="22">
        <f t="shared" si="169"/>
        <v>14.297089640694528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5.6843418860808015E-14</v>
      </c>
      <c r="BZ187" s="13">
        <f>BY187*VLOOKUP('Données projet'!$B$12,Paramètres!$A$1:$I$89,3,0)*VLOOKUP('Données projet'!$B$12,Paramètres!$A$1:$I$89,5,0)</f>
        <v>5.1431925385259088E-14</v>
      </c>
      <c r="CA187" s="13">
        <f t="shared" si="170"/>
        <v>8.3482866290946129E-13</v>
      </c>
      <c r="CB187" s="20">
        <f t="shared" si="171"/>
        <v>1.5435705246133045E-12</v>
      </c>
      <c r="CC187" s="59">
        <f t="shared" si="119"/>
        <v>289.67078632610827</v>
      </c>
      <c r="CD187" s="59">
        <f ca="1">AVERAGE(OFFSET($CC$3,0,0,'Données projet'!$E$12+1,1))-AVERAGE(OFFSET($H$3,0,0,'Données projet'!$E$12+1,1))</f>
        <v>357.68828740212223</v>
      </c>
      <c r="CE187" s="59">
        <f t="shared" si="148"/>
        <v>236.76626845829483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19.197102440814259</v>
      </c>
      <c r="CL187" s="21">
        <f>EXP(-LN(2)/25)*CL186+(1-EXP(-LN(2)/25))/(LN(2)/25)*Calculateur!CG187*Calculateur!CI187*VLOOKUP('Données projet'!$B$12,Paramètres!$A$1:$I$89,3,0)*0.475*44/12</f>
        <v>8.0796985738293081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27.276801014643567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257.00000000000006</v>
      </c>
      <c r="CU187" s="17">
        <f>CT187*VLOOKUP('Données projet'!$B$13,Paramètres!$A$1:$I$89,3,0)*VLOOKUP('Données projet'!$B$13,Paramètres!$A$1:$I$89,5,0)</f>
        <v>168.38640000000004</v>
      </c>
      <c r="CV187" s="13">
        <f t="shared" si="173"/>
        <v>42.728430513203243</v>
      </c>
      <c r="CW187" s="20">
        <f t="shared" si="174"/>
        <v>367.69166314382898</v>
      </c>
      <c r="CX187" s="59">
        <f t="shared" si="122"/>
        <v>657.36244946993565</v>
      </c>
      <c r="CY187" s="59">
        <f ca="1">AVERAGE(OFFSET($CX$3,0,0,'Données projet'!$E$13+1,1))-AVERAGE(OFFSET($H$3,0,0,'Données projet'!$E$13+1,1))</f>
        <v>220.18342986563667</v>
      </c>
      <c r="CZ187" s="59">
        <f t="shared" si="150"/>
        <v>347.84382145531163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6.8120182198949845E-23</v>
      </c>
      <c r="DI187" s="22">
        <f t="shared" si="175"/>
        <v>6.8120182198949845E-23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5.7639226724859328E-14</v>
      </c>
      <c r="DQ187" s="13">
        <f t="shared" si="176"/>
        <v>9.2325701996134334E-13</v>
      </c>
      <c r="DR187" s="20">
        <f t="shared" si="177"/>
        <v>1.708394296311803E-12</v>
      </c>
      <c r="DS187" s="59">
        <f t="shared" si="125"/>
        <v>289.67078632610844</v>
      </c>
      <c r="DT187" s="59">
        <f ca="1">AVERAGE(OFFSET($DS$3,0,0,'Données projet'!$E$14+1,1))-AVERAGE(OFFSET($H$3,0,0,'Données projet'!$E$14+1,1))</f>
        <v>392.49465607243178</v>
      </c>
      <c r="DU187" s="59">
        <f t="shared" si="152"/>
        <v>258.031856676031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21.513994114705625</v>
      </c>
      <c r="EB187" s="21">
        <f>EXP(-LN(2)/25)*EB186+(1-EXP(-LN(2)/25))/(LN(2)/25)*Calculateur!DW187*Calculateur!DY187*VLOOKUP('Données projet'!$B$14,Paramètres!$A$1:$I$89,3,0)*0.475*44/12</f>
        <v>9.054834608601805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30.56882872330743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294.24530606293143</v>
      </c>
      <c r="EP187" s="59">
        <f t="shared" si="154"/>
        <v>275.88160405468193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18.198035713084021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18.198035713084021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1.1368683772161603E-13</v>
      </c>
      <c r="FF187" s="17">
        <f>FE187*VLOOKUP('Données projet'!$B$16,Paramètres!$A$1:$I$89,3,0)*VLOOKUP('Données projet'!$B$16,Paramètres!$A$1:$I$89,5,0)</f>
        <v>8.3355189417488869E-14</v>
      </c>
      <c r="FG187" s="13">
        <f t="shared" si="182"/>
        <v>1.2790518435140618E-12</v>
      </c>
      <c r="FH187" s="20">
        <f t="shared" si="183"/>
        <v>2.3728589156891171E-12</v>
      </c>
      <c r="FI187" s="59">
        <f t="shared" si="131"/>
        <v>289.67078632610912</v>
      </c>
      <c r="FJ187" s="59">
        <f ca="1">AVERAGE(OFFSET($FI$3,0,0,'Données projet'!$E$16+1,1))-AVERAGE(OFFSET($H$3,0,0,'Données projet'!$E$16+1,1))</f>
        <v>214.31585175697521</v>
      </c>
      <c r="FK187" s="59">
        <f t="shared" si="156"/>
        <v>244.60383864821372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8.4512898232355251</v>
      </c>
      <c r="FR187" s="21">
        <f>EXP(-LN(2)/25)*FR186+(1-EXP(-LN(2)/25))/(LN(2)/25)*Calculateur!FM187*Calculateur!FO187*VLOOKUP('Données projet'!$B$16,Paramètres!$A$1:$I$89,3,0)*0.475*44/12</f>
        <v>0</v>
      </c>
      <c r="FS187" s="21">
        <f>EXP(-LN(2)/2)*FS186+(1-EXP(-LN(2)/2))/(LN(2)/2)*FM187*FP187*VLOOKUP('Données projet'!$B$16,Paramètres!$A$1:$I$89,3,0)*0.475*44/12</f>
        <v>0</v>
      </c>
      <c r="FT187" s="22">
        <f t="shared" si="184"/>
        <v>8.4512898232355251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-5.6843418860808015E-14</v>
      </c>
      <c r="GA187" s="17">
        <f>FZ187*VLOOKUP('Données projet'!$B$17,Paramètres!$A$1:$I$89,3,0)*VLOOKUP('Données projet'!$B$17,Paramètres!$A$1:$I$89,5,0)</f>
        <v>-4.5224624045658861E-14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308.33954512886351</v>
      </c>
      <c r="GF187" s="59">
        <f t="shared" si="158"/>
        <v>408.79075392716277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11.702087887975502</v>
      </c>
      <c r="GM187" s="21">
        <f>EXP(-LN(2)/25)*GM186+(1-EXP(-LN(2)/25))/(LN(2)/25)*Calculateur!GH187*Calculateur!GJ187*VLOOKUP('Données projet'!$B$17,Paramètres!$A$1:$I$89,3,0)*0.475*44/12</f>
        <v>0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11.702087887975502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342.84342155097613</v>
      </c>
      <c r="T188" s="59">
        <f t="shared" si="142"/>
        <v>565.68976940602215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10.813182561382252</v>
      </c>
      <c r="AA188" s="21">
        <f>EXP(-LN(2)/25)*AA187+(1-EXP(-LN(2)/25))/(LN(2)/25)*Calculateur!V188*Calculateur!X188*VLOOKUP('Données projet'!$B$9,Paramètres!$A$1:$I$89,3,0)*0.475*44/12</f>
        <v>1.8212679991241552</v>
      </c>
      <c r="AB188" s="21">
        <f>EXP(-LN(2)/2)*AB187+(1-EXP(-LN(2)/2))/(LN(2)/2)*V188*Y188*VLOOKUP('Données projet'!$B$9,Paramètres!$A$1:$I$89,3,0)*0.475*44/12</f>
        <v>3.5058650640905995E-20</v>
      </c>
      <c r="AC188" s="22">
        <f t="shared" si="163"/>
        <v>12.634450560506407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320.33056209214476</v>
      </c>
      <c r="AO188" s="59">
        <f t="shared" si="144"/>
        <v>299.27200854723446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3.6800074124934148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3.6800074124934148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256.85706398254547</v>
      </c>
      <c r="BJ188" s="59">
        <f t="shared" si="146"/>
        <v>363.68094621014734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12.317400217473249</v>
      </c>
      <c r="BQ188" s="21">
        <f>EXP(-LN(2)/25)*BQ187+(1-EXP(-LN(2)/25))/(LN(2)/25)*Calculateur!BL188*Calculateur!BN188*VLOOKUP('Données projet'!$B$11,Paramètres!$A$1:$I$89,3,0)*0.475*44/12</f>
        <v>1.6859238248204509</v>
      </c>
      <c r="BR188" s="21">
        <f>EXP(-LN(2)/2)*BR187+(1-EXP(-LN(2)/2))/(LN(2)/2)*BL188*BO188*VLOOKUP('Données projet'!$B$11,Paramètres!$A$1:$I$89,3,0)*0.475*44/12</f>
        <v>3.318434349682733E-18</v>
      </c>
      <c r="BS188" s="22">
        <f t="shared" si="169"/>
        <v>14.0033240422937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5.6843418860808015E-14</v>
      </c>
      <c r="BZ188" s="13">
        <f>BY188*VLOOKUP('Données projet'!$B$12,Paramètres!$A$1:$I$89,3,0)*VLOOKUP('Données projet'!$B$12,Paramètres!$A$1:$I$89,5,0)</f>
        <v>5.1431925385259088E-14</v>
      </c>
      <c r="CA188" s="13">
        <f t="shared" si="170"/>
        <v>8.3482866290946129E-13</v>
      </c>
      <c r="CB188" s="20">
        <f t="shared" si="171"/>
        <v>1.5435705246133045E-12</v>
      </c>
      <c r="CC188" s="59">
        <f t="shared" si="119"/>
        <v>289.73432332845528</v>
      </c>
      <c r="CD188" s="59">
        <f ca="1">AVERAGE(OFFSET($CC$3,0,0,'Données projet'!$E$12+1,1))-AVERAGE(OFFSET($H$3,0,0,'Données projet'!$E$12+1,1))</f>
        <v>357.68828740212223</v>
      </c>
      <c r="CE188" s="59">
        <f t="shared" si="148"/>
        <v>236.76626845829483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18.820658971026205</v>
      </c>
      <c r="CL188" s="21">
        <f>EXP(-LN(2)/25)*CL187+(1-EXP(-LN(2)/25))/(LN(2)/25)*Calculateur!CG188*Calculateur!CI188*VLOOKUP('Données projet'!$B$12,Paramètres!$A$1:$I$89,3,0)*0.475*44/12</f>
        <v>7.8587587914350641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26.67941776246127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257.00000000000006</v>
      </c>
      <c r="CU188" s="17">
        <f>CT188*VLOOKUP('Données projet'!$B$13,Paramètres!$A$1:$I$89,3,0)*VLOOKUP('Données projet'!$B$13,Paramètres!$A$1:$I$89,5,0)</f>
        <v>168.38640000000004</v>
      </c>
      <c r="CV188" s="13">
        <f t="shared" si="173"/>
        <v>42.728430513203243</v>
      </c>
      <c r="CW188" s="20">
        <f t="shared" si="174"/>
        <v>367.69166314382898</v>
      </c>
      <c r="CX188" s="59">
        <f t="shared" si="122"/>
        <v>657.42598647228272</v>
      </c>
      <c r="CY188" s="59">
        <f ca="1">AVERAGE(OFFSET($CX$3,0,0,'Données projet'!$E$13+1,1))-AVERAGE(OFFSET($H$3,0,0,'Données projet'!$E$13+1,1))</f>
        <v>220.18342986563667</v>
      </c>
      <c r="CZ188" s="59">
        <f t="shared" si="150"/>
        <v>347.84382145531163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4.8168242768540579E-23</v>
      </c>
      <c r="DI188" s="22">
        <f t="shared" si="175"/>
        <v>4.8168242768540579E-23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5.7639226724859328E-14</v>
      </c>
      <c r="DQ188" s="13">
        <f t="shared" si="176"/>
        <v>9.2325701996134334E-13</v>
      </c>
      <c r="DR188" s="20">
        <f t="shared" si="177"/>
        <v>1.708394296311803E-12</v>
      </c>
      <c r="DS188" s="59">
        <f t="shared" si="125"/>
        <v>289.73432332845545</v>
      </c>
      <c r="DT188" s="59">
        <f ca="1">AVERAGE(OFFSET($DS$3,0,0,'Données projet'!$E$14+1,1))-AVERAGE(OFFSET($H$3,0,0,'Données projet'!$E$14+1,1))</f>
        <v>392.49465607243178</v>
      </c>
      <c r="DU188" s="59">
        <f t="shared" si="152"/>
        <v>258.031856676031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21.092117812356943</v>
      </c>
      <c r="EB188" s="21">
        <f>EXP(-LN(2)/25)*EB187+(1-EXP(-LN(2)/25))/(LN(2)/25)*Calculateur!DW188*Calculateur!DY188*VLOOKUP('Données projet'!$B$14,Paramètres!$A$1:$I$89,3,0)*0.475*44/12</f>
        <v>8.8072296800565315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29.899347492413476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294.24530606293143</v>
      </c>
      <c r="EP188" s="59">
        <f t="shared" si="154"/>
        <v>275.88160405468193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17.841183332456225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17.841183332456225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1.1368683772161603E-13</v>
      </c>
      <c r="FF188" s="17">
        <f>FE188*VLOOKUP('Données projet'!$B$16,Paramètres!$A$1:$I$89,3,0)*VLOOKUP('Données projet'!$B$16,Paramètres!$A$1:$I$89,5,0)</f>
        <v>8.3355189417488869E-14</v>
      </c>
      <c r="FG188" s="13">
        <f t="shared" si="182"/>
        <v>1.2790518435140618E-12</v>
      </c>
      <c r="FH188" s="20">
        <f t="shared" si="183"/>
        <v>2.3728589156891171E-12</v>
      </c>
      <c r="FI188" s="59">
        <f t="shared" si="131"/>
        <v>289.73432332845613</v>
      </c>
      <c r="FJ188" s="59">
        <f ca="1">AVERAGE(OFFSET($FI$3,0,0,'Données projet'!$E$16+1,1))-AVERAGE(OFFSET($H$3,0,0,'Données projet'!$E$16+1,1))</f>
        <v>214.31585175697521</v>
      </c>
      <c r="FK188" s="59">
        <f t="shared" si="156"/>
        <v>244.60383864821372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8.2855651845796761</v>
      </c>
      <c r="FR188" s="21">
        <f>EXP(-LN(2)/25)*FR187+(1-EXP(-LN(2)/25))/(LN(2)/25)*Calculateur!FM188*Calculateur!FO188*VLOOKUP('Données projet'!$B$16,Paramètres!$A$1:$I$89,3,0)*0.475*44/12</f>
        <v>0</v>
      </c>
      <c r="FS188" s="21">
        <f>EXP(-LN(2)/2)*FS187+(1-EXP(-LN(2)/2))/(LN(2)/2)*FM188*FP188*VLOOKUP('Données projet'!$B$16,Paramètres!$A$1:$I$89,3,0)*0.475*44/12</f>
        <v>0</v>
      </c>
      <c r="FT188" s="22">
        <f t="shared" si="184"/>
        <v>8.2855651845796761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-5.6843418860808015E-14</v>
      </c>
      <c r="GA188" s="17">
        <f>FZ188*VLOOKUP('Données projet'!$B$17,Paramètres!$A$1:$I$89,3,0)*VLOOKUP('Données projet'!$B$17,Paramètres!$A$1:$I$89,5,0)</f>
        <v>-4.5224624045658861E-14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308.33954512886351</v>
      </c>
      <c r="GF188" s="59">
        <f t="shared" si="158"/>
        <v>408.79075392716277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11.472617082061138</v>
      </c>
      <c r="GM188" s="21">
        <f>EXP(-LN(2)/25)*GM187+(1-EXP(-LN(2)/25))/(LN(2)/25)*Calculateur!GH188*Calculateur!GJ188*VLOOKUP('Données projet'!$B$17,Paramètres!$A$1:$I$89,3,0)*0.475*44/12</f>
        <v>0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11.472617082061138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342.84342155097613</v>
      </c>
      <c r="T189" s="59">
        <f t="shared" si="142"/>
        <v>565.68976940602215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10.601142646743668</v>
      </c>
      <c r="AA189" s="21">
        <f>EXP(-LN(2)/25)*AA188+(1-EXP(-LN(2)/25))/(LN(2)/25)*Calculateur!V189*Calculateur!X189*VLOOKUP('Données projet'!$B$9,Paramètres!$A$1:$I$89,3,0)*0.475*44/12</f>
        <v>1.7714653299117835</v>
      </c>
      <c r="AB189" s="21">
        <f>EXP(-LN(2)/2)*AB188+(1-EXP(-LN(2)/2))/(LN(2)/2)*V189*Y189*VLOOKUP('Données projet'!$B$9,Paramètres!$A$1:$I$89,3,0)*0.475*44/12</f>
        <v>2.479020960743473E-20</v>
      </c>
      <c r="AC189" s="22">
        <f t="shared" si="163"/>
        <v>12.372607976655452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320.33056209214476</v>
      </c>
      <c r="AO189" s="59">
        <f t="shared" si="144"/>
        <v>299.27200854723446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3.5793774162756034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3.5793774162756034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256.85706398254547</v>
      </c>
      <c r="BJ189" s="59">
        <f t="shared" si="146"/>
        <v>363.68094621014734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12.075863512080897</v>
      </c>
      <c r="BQ189" s="21">
        <f>EXP(-LN(2)/25)*BQ188+(1-EXP(-LN(2)/25))/(LN(2)/25)*Calculateur!BL189*Calculateur!BN189*VLOOKUP('Données projet'!$B$11,Paramètres!$A$1:$I$89,3,0)*0.475*44/12</f>
        <v>1.639822149171855</v>
      </c>
      <c r="BR189" s="21">
        <f>EXP(-LN(2)/2)*BR188+(1-EXP(-LN(2)/2))/(LN(2)/2)*BL189*BO189*VLOOKUP('Données projet'!$B$11,Paramètres!$A$1:$I$89,3,0)*0.475*44/12</f>
        <v>2.3464874315830314E-18</v>
      </c>
      <c r="BS189" s="22">
        <f t="shared" si="169"/>
        <v>13.715685661252753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5.6843418860808015E-14</v>
      </c>
      <c r="BZ189" s="13">
        <f>BY189*VLOOKUP('Données projet'!$B$12,Paramètres!$A$1:$I$89,3,0)*VLOOKUP('Données projet'!$B$12,Paramètres!$A$1:$I$89,5,0)</f>
        <v>5.1431925385259088E-14</v>
      </c>
      <c r="CA189" s="13">
        <f t="shared" si="170"/>
        <v>8.3482866290946129E-13</v>
      </c>
      <c r="CB189" s="20">
        <f t="shared" si="171"/>
        <v>1.5435705246133045E-12</v>
      </c>
      <c r="CC189" s="59">
        <f t="shared" si="119"/>
        <v>289.79675810585894</v>
      </c>
      <c r="CD189" s="59">
        <f ca="1">AVERAGE(OFFSET($CC$3,0,0,'Données projet'!$E$12+1,1))-AVERAGE(OFFSET($H$3,0,0,'Données projet'!$E$12+1,1))</f>
        <v>357.68828740212223</v>
      </c>
      <c r="CE189" s="59">
        <f t="shared" si="148"/>
        <v>236.76626845829483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18.45159732807285</v>
      </c>
      <c r="CL189" s="21">
        <f>EXP(-LN(2)/25)*CL188+(1-EXP(-LN(2)/25))/(LN(2)/25)*Calculateur!CG189*Calculateur!CI189*VLOOKUP('Données projet'!$B$12,Paramètres!$A$1:$I$89,3,0)*0.475*44/12</f>
        <v>7.643860619009109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26.095457947081961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257.00000000000006</v>
      </c>
      <c r="CU189" s="17">
        <f>CT189*VLOOKUP('Données projet'!$B$13,Paramètres!$A$1:$I$89,3,0)*VLOOKUP('Données projet'!$B$13,Paramètres!$A$1:$I$89,5,0)</f>
        <v>168.38640000000004</v>
      </c>
      <c r="CV189" s="13">
        <f t="shared" si="173"/>
        <v>42.728430513203243</v>
      </c>
      <c r="CW189" s="20">
        <f t="shared" si="174"/>
        <v>367.69166314382898</v>
      </c>
      <c r="CX189" s="59">
        <f t="shared" si="122"/>
        <v>657.48842124968633</v>
      </c>
      <c r="CY189" s="59">
        <f ca="1">AVERAGE(OFFSET($CX$3,0,0,'Données projet'!$E$13+1,1))-AVERAGE(OFFSET($H$3,0,0,'Données projet'!$E$13+1,1))</f>
        <v>220.18342986563667</v>
      </c>
      <c r="CZ189" s="59">
        <f t="shared" si="150"/>
        <v>347.84382145531163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3.4060091099474923E-23</v>
      </c>
      <c r="DI189" s="22">
        <f t="shared" si="175"/>
        <v>3.4060091099474923E-23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5.7639226724859328E-14</v>
      </c>
      <c r="DQ189" s="13">
        <f t="shared" si="176"/>
        <v>9.2325701996134334E-13</v>
      </c>
      <c r="DR189" s="20">
        <f t="shared" si="177"/>
        <v>1.708394296311803E-12</v>
      </c>
      <c r="DS189" s="59">
        <f t="shared" si="125"/>
        <v>289.79675810585911</v>
      </c>
      <c r="DT189" s="59">
        <f ca="1">AVERAGE(OFFSET($DS$3,0,0,'Données projet'!$E$14+1,1))-AVERAGE(OFFSET($H$3,0,0,'Données projet'!$E$14+1,1))</f>
        <v>392.49465607243178</v>
      </c>
      <c r="DU189" s="59">
        <f t="shared" si="152"/>
        <v>258.031856676031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20.678514246978182</v>
      </c>
      <c r="EB189" s="21">
        <f>EXP(-LN(2)/25)*EB188+(1-EXP(-LN(2)/25))/(LN(2)/25)*Calculateur!DW189*Calculateur!DY189*VLOOKUP('Données projet'!$B$14,Paramètres!$A$1:$I$89,3,0)*0.475*44/12</f>
        <v>8.5663955213033063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29.244909768281488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294.24530606293143</v>
      </c>
      <c r="EP189" s="59">
        <f t="shared" si="154"/>
        <v>275.88160405468193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17.491328609354078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17.491328609354078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1.1368683772161603E-13</v>
      </c>
      <c r="FF189" s="17">
        <f>FE189*VLOOKUP('Données projet'!$B$16,Paramètres!$A$1:$I$89,3,0)*VLOOKUP('Données projet'!$B$16,Paramètres!$A$1:$I$89,5,0)</f>
        <v>8.3355189417488869E-14</v>
      </c>
      <c r="FG189" s="13">
        <f t="shared" si="182"/>
        <v>1.2790518435140618E-12</v>
      </c>
      <c r="FH189" s="20">
        <f t="shared" si="183"/>
        <v>2.3728589156891171E-12</v>
      </c>
      <c r="FI189" s="59">
        <f t="shared" si="131"/>
        <v>289.79675810585979</v>
      </c>
      <c r="FJ189" s="59">
        <f ca="1">AVERAGE(OFFSET($FI$3,0,0,'Données projet'!$E$16+1,1))-AVERAGE(OFFSET($H$3,0,0,'Données projet'!$E$16+1,1))</f>
        <v>214.31585175697521</v>
      </c>
      <c r="FK189" s="59">
        <f t="shared" si="156"/>
        <v>244.60383864821372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8.123090305005821</v>
      </c>
      <c r="FR189" s="21">
        <f>EXP(-LN(2)/25)*FR188+(1-EXP(-LN(2)/25))/(LN(2)/25)*Calculateur!FM189*Calculateur!FO189*VLOOKUP('Données projet'!$B$16,Paramètres!$A$1:$I$89,3,0)*0.475*44/12</f>
        <v>0</v>
      </c>
      <c r="FS189" s="21">
        <f>EXP(-LN(2)/2)*FS188+(1-EXP(-LN(2)/2))/(LN(2)/2)*FM189*FP189*VLOOKUP('Données projet'!$B$16,Paramètres!$A$1:$I$89,3,0)*0.475*44/12</f>
        <v>0</v>
      </c>
      <c r="FT189" s="22">
        <f t="shared" si="184"/>
        <v>8.123090305005821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-5.6843418860808015E-14</v>
      </c>
      <c r="GA189" s="17">
        <f>FZ189*VLOOKUP('Données projet'!$B$17,Paramètres!$A$1:$I$89,3,0)*VLOOKUP('Données projet'!$B$17,Paramètres!$A$1:$I$89,5,0)</f>
        <v>-4.5224624045658861E-14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308.33954512886351</v>
      </c>
      <c r="GF189" s="59">
        <f t="shared" si="158"/>
        <v>408.79075392716277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11.247646058687383</v>
      </c>
      <c r="GM189" s="21">
        <f>EXP(-LN(2)/25)*GM188+(1-EXP(-LN(2)/25))/(LN(2)/25)*Calculateur!GH189*Calculateur!GJ189*VLOOKUP('Données projet'!$B$17,Paramètres!$A$1:$I$89,3,0)*0.475*44/12</f>
        <v>0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11.247646058687383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342.84342155097613</v>
      </c>
      <c r="T190" s="59">
        <f t="shared" si="142"/>
        <v>565.68976940602215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10.39326070549957</v>
      </c>
      <c r="AA190" s="21">
        <f>EXP(-LN(2)/25)*AA189+(1-EXP(-LN(2)/25))/(LN(2)/25)*Calculateur!V190*Calculateur!X190*VLOOKUP('Données projet'!$B$9,Paramètres!$A$1:$I$89,3,0)*0.475*44/12</f>
        <v>1.7230245173080327</v>
      </c>
      <c r="AB190" s="21">
        <f>EXP(-LN(2)/2)*AB189+(1-EXP(-LN(2)/2))/(LN(2)/2)*V190*Y190*VLOOKUP('Données projet'!$B$9,Paramètres!$A$1:$I$89,3,0)*0.475*44/12</f>
        <v>1.7529325320452997E-20</v>
      </c>
      <c r="AC190" s="22">
        <f t="shared" si="163"/>
        <v>12.116285222807603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320.33056209214476</v>
      </c>
      <c r="AO190" s="59">
        <f t="shared" si="144"/>
        <v>299.27200854723446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3.4814991525962693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3.4814991525962693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256.85706398254547</v>
      </c>
      <c r="BJ190" s="59">
        <f t="shared" si="146"/>
        <v>363.68094621014734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11.839063194158445</v>
      </c>
      <c r="BQ190" s="21">
        <f>EXP(-LN(2)/25)*BQ189+(1-EXP(-LN(2)/25))/(LN(2)/25)*Calculateur!BL190*Calculateur!BN190*VLOOKUP('Données projet'!$B$11,Paramètres!$A$1:$I$89,3,0)*0.475*44/12</f>
        <v>1.5949811262682516</v>
      </c>
      <c r="BR190" s="21">
        <f>EXP(-LN(2)/2)*BR189+(1-EXP(-LN(2)/2))/(LN(2)/2)*BL190*BO190*VLOOKUP('Données projet'!$B$11,Paramètres!$A$1:$I$89,3,0)*0.475*44/12</f>
        <v>1.6592171748413665E-18</v>
      </c>
      <c r="BS190" s="22">
        <f t="shared" si="169"/>
        <v>13.434044320426697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5.6843418860808015E-14</v>
      </c>
      <c r="BZ190" s="13">
        <f>BY190*VLOOKUP('Données projet'!$B$12,Paramètres!$A$1:$I$89,3,0)*VLOOKUP('Données projet'!$B$12,Paramètres!$A$1:$I$89,5,0)</f>
        <v>5.1431925385259088E-14</v>
      </c>
      <c r="CA190" s="13">
        <f t="shared" si="170"/>
        <v>8.3482866290946129E-13</v>
      </c>
      <c r="CB190" s="20">
        <f t="shared" si="171"/>
        <v>1.5435705246133045E-12</v>
      </c>
      <c r="CC190" s="59">
        <f t="shared" si="119"/>
        <v>289.85810977945795</v>
      </c>
      <c r="CD190" s="59">
        <f ca="1">AVERAGE(OFFSET($CC$3,0,0,'Données projet'!$E$12+1,1))-AVERAGE(OFFSET($H$3,0,0,'Données projet'!$E$12+1,1))</f>
        <v>357.68828740212223</v>
      </c>
      <c r="CE190" s="59">
        <f t="shared" si="148"/>
        <v>236.76626845829483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18.089772758832435</v>
      </c>
      <c r="CL190" s="21">
        <f>EXP(-LN(2)/25)*CL189+(1-EXP(-LN(2)/25))/(LN(2)/25)*Calculateur!CG190*Calculateur!CI190*VLOOKUP('Données projet'!$B$12,Paramètres!$A$1:$I$89,3,0)*0.475*44/12</f>
        <v>7.4348388484091448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25.524611607241582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257.00000000000006</v>
      </c>
      <c r="CU190" s="17">
        <f>CT190*VLOOKUP('Données projet'!$B$13,Paramètres!$A$1:$I$89,3,0)*VLOOKUP('Données projet'!$B$13,Paramètres!$A$1:$I$89,5,0)</f>
        <v>168.38640000000004</v>
      </c>
      <c r="CV190" s="13">
        <f t="shared" si="173"/>
        <v>42.728430513203243</v>
      </c>
      <c r="CW190" s="20">
        <f t="shared" si="174"/>
        <v>367.69166314382898</v>
      </c>
      <c r="CX190" s="59">
        <f t="shared" si="122"/>
        <v>657.54977292328545</v>
      </c>
      <c r="CY190" s="59">
        <f ca="1">AVERAGE(OFFSET($CX$3,0,0,'Données projet'!$E$13+1,1))-AVERAGE(OFFSET($H$3,0,0,'Données projet'!$E$13+1,1))</f>
        <v>220.18342986563667</v>
      </c>
      <c r="CZ190" s="59">
        <f t="shared" si="150"/>
        <v>347.84382145531163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2.4084121384270289E-23</v>
      </c>
      <c r="DI190" s="22">
        <f t="shared" si="175"/>
        <v>2.4084121384270289E-23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5.7639226724859328E-14</v>
      </c>
      <c r="DQ190" s="13">
        <f t="shared" si="176"/>
        <v>9.2325701996134334E-13</v>
      </c>
      <c r="DR190" s="20">
        <f t="shared" si="177"/>
        <v>1.708394296311803E-12</v>
      </c>
      <c r="DS190" s="59">
        <f t="shared" si="125"/>
        <v>289.85810977945812</v>
      </c>
      <c r="DT190" s="59">
        <f ca="1">AVERAGE(OFFSET($DS$3,0,0,'Données projet'!$E$14+1,1))-AVERAGE(OFFSET($H$3,0,0,'Données projet'!$E$14+1,1))</f>
        <v>392.49465607243178</v>
      </c>
      <c r="DU190" s="59">
        <f t="shared" si="152"/>
        <v>258.031856676031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20.273021195243235</v>
      </c>
      <c r="EB190" s="21">
        <f>EXP(-LN(2)/25)*EB189+(1-EXP(-LN(2)/25))/(LN(2)/25)*Calculateur!DW190*Calculateur!DY190*VLOOKUP('Données projet'!$B$14,Paramètres!$A$1:$I$89,3,0)*0.475*44/12</f>
        <v>8.332146985286105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28.60516818052934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294.24530606293143</v>
      </c>
      <c r="EP190" s="59">
        <f t="shared" si="154"/>
        <v>275.88160405468193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17.148334323981654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17.148334323981654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1.1368683772161603E-13</v>
      </c>
      <c r="FF190" s="17">
        <f>FE190*VLOOKUP('Données projet'!$B$16,Paramètres!$A$1:$I$89,3,0)*VLOOKUP('Données projet'!$B$16,Paramètres!$A$1:$I$89,5,0)</f>
        <v>8.3355189417488869E-14</v>
      </c>
      <c r="FG190" s="13">
        <f t="shared" si="182"/>
        <v>1.2790518435140618E-12</v>
      </c>
      <c r="FH190" s="20">
        <f t="shared" si="183"/>
        <v>2.3728589156891171E-12</v>
      </c>
      <c r="FI190" s="59">
        <f t="shared" si="131"/>
        <v>289.8581097794588</v>
      </c>
      <c r="FJ190" s="59">
        <f ca="1">AVERAGE(OFFSET($FI$3,0,0,'Données projet'!$E$16+1,1))-AVERAGE(OFFSET($H$3,0,0,'Données projet'!$E$16+1,1))</f>
        <v>214.31585175697521</v>
      </c>
      <c r="FK190" s="59">
        <f t="shared" si="156"/>
        <v>244.60383864821372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7.9638014587205168</v>
      </c>
      <c r="FR190" s="21">
        <f>EXP(-LN(2)/25)*FR189+(1-EXP(-LN(2)/25))/(LN(2)/25)*Calculateur!FM190*Calculateur!FO190*VLOOKUP('Données projet'!$B$16,Paramètres!$A$1:$I$89,3,0)*0.475*44/12</f>
        <v>0</v>
      </c>
      <c r="FS190" s="21">
        <f>EXP(-LN(2)/2)*FS189+(1-EXP(-LN(2)/2))/(LN(2)/2)*FM190*FP190*VLOOKUP('Données projet'!$B$16,Paramètres!$A$1:$I$89,3,0)*0.475*44/12</f>
        <v>0</v>
      </c>
      <c r="FT190" s="22">
        <f t="shared" si="184"/>
        <v>7.9638014587205168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-5.6843418860808015E-14</v>
      </c>
      <c r="GA190" s="17">
        <f>FZ190*VLOOKUP('Données projet'!$B$17,Paramètres!$A$1:$I$89,3,0)*VLOOKUP('Données projet'!$B$17,Paramètres!$A$1:$I$89,5,0)</f>
        <v>-4.5224624045658861E-14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308.33954512886351</v>
      </c>
      <c r="GF190" s="59">
        <f t="shared" si="158"/>
        <v>408.79075392716277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11.027086579863212</v>
      </c>
      <c r="GM190" s="21">
        <f>EXP(-LN(2)/25)*GM189+(1-EXP(-LN(2)/25))/(LN(2)/25)*Calculateur!GH190*Calculateur!GJ190*VLOOKUP('Données projet'!$B$17,Paramètres!$A$1:$I$89,3,0)*0.475*44/12</f>
        <v>0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11.027086579863212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342.84342155097613</v>
      </c>
      <c r="T191" s="59">
        <f t="shared" si="142"/>
        <v>565.68976940602215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10.189455202327803</v>
      </c>
      <c r="AA191" s="21">
        <f>EXP(-LN(2)/25)*AA190+(1-EXP(-LN(2)/25))/(LN(2)/25)*Calculateur!V191*Calculateur!X191*VLOOKUP('Données projet'!$B$9,Paramètres!$A$1:$I$89,3,0)*0.475*44/12</f>
        <v>1.6759083212723231</v>
      </c>
      <c r="AB191" s="21">
        <f>EXP(-LN(2)/2)*AB190+(1-EXP(-LN(2)/2))/(LN(2)/2)*V191*Y191*VLOOKUP('Données projet'!$B$9,Paramètres!$A$1:$I$89,3,0)*0.475*44/12</f>
        <v>1.2395104803717365E-20</v>
      </c>
      <c r="AC191" s="22">
        <f t="shared" si="163"/>
        <v>11.865363523600127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320.33056209214476</v>
      </c>
      <c r="AO191" s="59">
        <f t="shared" si="144"/>
        <v>299.27200854723446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3.3862973751844407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3.3862973751844407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256.85706398254547</v>
      </c>
      <c r="BJ191" s="59">
        <f t="shared" si="146"/>
        <v>363.68094621014734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11.60690638603652</v>
      </c>
      <c r="BQ191" s="21">
        <f>EXP(-LN(2)/25)*BQ190+(1-EXP(-LN(2)/25))/(LN(2)/25)*Calculateur!BL191*Calculateur!BN191*VLOOKUP('Données projet'!$B$11,Paramètres!$A$1:$I$89,3,0)*0.475*44/12</f>
        <v>1.5513662834940343</v>
      </c>
      <c r="BR191" s="21">
        <f>EXP(-LN(2)/2)*BR190+(1-EXP(-LN(2)/2))/(LN(2)/2)*BL191*BO191*VLOOKUP('Données projet'!$B$11,Paramètres!$A$1:$I$89,3,0)*0.475*44/12</f>
        <v>1.1732437157915157E-18</v>
      </c>
      <c r="BS191" s="22">
        <f t="shared" si="169"/>
        <v>13.158272669530554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5.6843418860808015E-14</v>
      </c>
      <c r="BZ191" s="13">
        <f>BY191*VLOOKUP('Données projet'!$B$12,Paramètres!$A$1:$I$89,3,0)*VLOOKUP('Données projet'!$B$12,Paramètres!$A$1:$I$89,5,0)</f>
        <v>5.1431925385259088E-14</v>
      </c>
      <c r="CA191" s="13">
        <f t="shared" si="170"/>
        <v>8.3482866290946129E-13</v>
      </c>
      <c r="CB191" s="20">
        <f t="shared" si="171"/>
        <v>1.5435705246133045E-12</v>
      </c>
      <c r="CC191" s="59">
        <f t="shared" si="119"/>
        <v>289.91839713868177</v>
      </c>
      <c r="CD191" s="59">
        <f ca="1">AVERAGE(OFFSET($CC$3,0,0,'Données projet'!$E$12+1,1))-AVERAGE(OFFSET($H$3,0,0,'Données projet'!$E$12+1,1))</f>
        <v>357.68828740212223</v>
      </c>
      <c r="CE191" s="59">
        <f t="shared" si="148"/>
        <v>236.76626845829483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17.735043348703631</v>
      </c>
      <c r="CL191" s="21">
        <f>EXP(-LN(2)/25)*CL190+(1-EXP(-LN(2)/25))/(LN(2)/25)*Calculateur!CG191*Calculateur!CI191*VLOOKUP('Données projet'!$B$12,Paramètres!$A$1:$I$89,3,0)*0.475*44/12</f>
        <v>7.231532789118214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24.966576137821846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257.00000000000006</v>
      </c>
      <c r="CU191" s="17">
        <f>CT191*VLOOKUP('Données projet'!$B$13,Paramètres!$A$1:$I$89,3,0)*VLOOKUP('Données projet'!$B$13,Paramètres!$A$1:$I$89,5,0)</f>
        <v>168.38640000000004</v>
      </c>
      <c r="CV191" s="13">
        <f t="shared" si="173"/>
        <v>42.728430513203243</v>
      </c>
      <c r="CW191" s="20">
        <f t="shared" si="174"/>
        <v>367.69166314382898</v>
      </c>
      <c r="CX191" s="59">
        <f t="shared" si="122"/>
        <v>657.61006028250927</v>
      </c>
      <c r="CY191" s="59">
        <f ca="1">AVERAGE(OFFSET($CX$3,0,0,'Données projet'!$E$13+1,1))-AVERAGE(OFFSET($H$3,0,0,'Données projet'!$E$13+1,1))</f>
        <v>220.18342986563667</v>
      </c>
      <c r="CZ191" s="59">
        <f t="shared" si="150"/>
        <v>347.84382145531163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1.7030045549737461E-23</v>
      </c>
      <c r="DI191" s="22">
        <f t="shared" si="175"/>
        <v>1.7030045549737461E-23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5.7639226724859328E-14</v>
      </c>
      <c r="DQ191" s="13">
        <f t="shared" si="176"/>
        <v>9.2325701996134334E-13</v>
      </c>
      <c r="DR191" s="20">
        <f t="shared" si="177"/>
        <v>1.708394296311803E-12</v>
      </c>
      <c r="DS191" s="59">
        <f t="shared" si="125"/>
        <v>289.91839713868194</v>
      </c>
      <c r="DT191" s="59">
        <f ca="1">AVERAGE(OFFSET($DS$3,0,0,'Données projet'!$E$14+1,1))-AVERAGE(OFFSET($H$3,0,0,'Données projet'!$E$14+1,1))</f>
        <v>392.49465607243178</v>
      </c>
      <c r="DU191" s="59">
        <f t="shared" si="152"/>
        <v>258.031856676031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19.875479614926469</v>
      </c>
      <c r="EB191" s="21">
        <f>EXP(-LN(2)/25)*EB190+(1-EXP(-LN(2)/25))/(LN(2)/25)*Calculateur!DW191*Calculateur!DY191*VLOOKUP('Données projet'!$B$14,Paramètres!$A$1:$I$89,3,0)*0.475*44/12</f>
        <v>8.1043039878048901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27.979783602731359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294.24530606293143</v>
      </c>
      <c r="EP191" s="59">
        <f t="shared" si="154"/>
        <v>275.88160405468193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16.812065947339526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16.812065947339526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1.1368683772161603E-13</v>
      </c>
      <c r="FF191" s="17">
        <f>FE191*VLOOKUP('Données projet'!$B$16,Paramètres!$A$1:$I$89,3,0)*VLOOKUP('Données projet'!$B$16,Paramètres!$A$1:$I$89,5,0)</f>
        <v>8.3355189417488869E-14</v>
      </c>
      <c r="FG191" s="13">
        <f t="shared" si="182"/>
        <v>1.2790518435140618E-12</v>
      </c>
      <c r="FH191" s="20">
        <f t="shared" si="183"/>
        <v>2.3728589156891171E-12</v>
      </c>
      <c r="FI191" s="59">
        <f t="shared" si="131"/>
        <v>289.91839713868262</v>
      </c>
      <c r="FJ191" s="59">
        <f ca="1">AVERAGE(OFFSET($FI$3,0,0,'Données projet'!$E$16+1,1))-AVERAGE(OFFSET($H$3,0,0,'Données projet'!$E$16+1,1))</f>
        <v>214.31585175697521</v>
      </c>
      <c r="FK191" s="59">
        <f t="shared" si="156"/>
        <v>244.60383864821372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7.8076361695542653</v>
      </c>
      <c r="FR191" s="21">
        <f>EXP(-LN(2)/25)*FR190+(1-EXP(-LN(2)/25))/(LN(2)/25)*Calculateur!FM191*Calculateur!FO191*VLOOKUP('Données projet'!$B$16,Paramètres!$A$1:$I$89,3,0)*0.475*44/12</f>
        <v>0</v>
      </c>
      <c r="FS191" s="21">
        <f>EXP(-LN(2)/2)*FS190+(1-EXP(-LN(2)/2))/(LN(2)/2)*FM191*FP191*VLOOKUP('Données projet'!$B$16,Paramètres!$A$1:$I$89,3,0)*0.475*44/12</f>
        <v>0</v>
      </c>
      <c r="FT191" s="22">
        <f t="shared" si="184"/>
        <v>7.8076361695542653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-5.6843418860808015E-14</v>
      </c>
      <c r="GA191" s="17">
        <f>FZ191*VLOOKUP('Données projet'!$B$17,Paramètres!$A$1:$I$89,3,0)*VLOOKUP('Données projet'!$B$17,Paramètres!$A$1:$I$89,5,0)</f>
        <v>-4.5224624045658861E-14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308.33954512886351</v>
      </c>
      <c r="GF191" s="59">
        <f t="shared" si="158"/>
        <v>408.79075392716277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10.810852137890786</v>
      </c>
      <c r="GM191" s="21">
        <f>EXP(-LN(2)/25)*GM190+(1-EXP(-LN(2)/25))/(LN(2)/25)*Calculateur!GH191*Calculateur!GJ191*VLOOKUP('Données projet'!$B$17,Paramètres!$A$1:$I$89,3,0)*0.475*44/12</f>
        <v>0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10.810852137890786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342.84342155097613</v>
      </c>
      <c r="T192" s="59">
        <f t="shared" si="142"/>
        <v>565.68976940602215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9.9896462007641524</v>
      </c>
      <c r="AA192" s="21">
        <f>EXP(-LN(2)/25)*AA191+(1-EXP(-LN(2)/25))/(LN(2)/25)*Calculateur!V192*Calculateur!X192*VLOOKUP('Données projet'!$B$9,Paramètres!$A$1:$I$89,3,0)*0.475*44/12</f>
        <v>1.6300805200949431</v>
      </c>
      <c r="AB192" s="21">
        <f>EXP(-LN(2)/2)*AB191+(1-EXP(-LN(2)/2))/(LN(2)/2)*V192*Y192*VLOOKUP('Données projet'!$B$9,Paramètres!$A$1:$I$89,3,0)*0.475*44/12</f>
        <v>8.7646626602264987E-21</v>
      </c>
      <c r="AC192" s="22">
        <f t="shared" si="163"/>
        <v>11.619726720859095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320.33056209214476</v>
      </c>
      <c r="AO192" s="59">
        <f t="shared" si="144"/>
        <v>299.27200854723446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3.2936988953823829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3.2936988953823829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256.85706398254547</v>
      </c>
      <c r="BJ192" s="59">
        <f t="shared" si="146"/>
        <v>363.68094621014734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11.379302031320195</v>
      </c>
      <c r="BQ192" s="21">
        <f>EXP(-LN(2)/25)*BQ191+(1-EXP(-LN(2)/25))/(LN(2)/25)*Calculateur!BL192*Calculateur!BN192*VLOOKUP('Données projet'!$B$11,Paramètres!$A$1:$I$89,3,0)*0.475*44/12</f>
        <v>1.5089440908890828</v>
      </c>
      <c r="BR192" s="21">
        <f>EXP(-LN(2)/2)*BR191+(1-EXP(-LN(2)/2))/(LN(2)/2)*BL192*BO192*VLOOKUP('Données projet'!$B$11,Paramètres!$A$1:$I$89,3,0)*0.475*44/12</f>
        <v>8.2960858742068324E-19</v>
      </c>
      <c r="BS192" s="22">
        <f t="shared" si="169"/>
        <v>12.888246122209278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5.6843418860808015E-14</v>
      </c>
      <c r="BZ192" s="13">
        <f>BY192*VLOOKUP('Données projet'!$B$12,Paramètres!$A$1:$I$89,3,0)*VLOOKUP('Données projet'!$B$12,Paramètres!$A$1:$I$89,5,0)</f>
        <v>5.1431925385259088E-14</v>
      </c>
      <c r="CA192" s="13">
        <f t="shared" si="170"/>
        <v>8.3482866290946129E-13</v>
      </c>
      <c r="CB192" s="20">
        <f t="shared" si="171"/>
        <v>1.5435705246133045E-12</v>
      </c>
      <c r="CC192" s="59">
        <f t="shared" si="119"/>
        <v>289.97763864700539</v>
      </c>
      <c r="CD192" s="59">
        <f ca="1">AVERAGE(OFFSET($CC$3,0,0,'Données projet'!$E$12+1,1))-AVERAGE(OFFSET($H$3,0,0,'Données projet'!$E$12+1,1))</f>
        <v>357.68828740212223</v>
      </c>
      <c r="CE192" s="59">
        <f t="shared" si="148"/>
        <v>236.76626845829483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17.387269965943876</v>
      </c>
      <c r="CL192" s="21">
        <f>EXP(-LN(2)/25)*CL191+(1-EXP(-LN(2)/25))/(LN(2)/25)*Calculateur!CG192*Calculateur!CI192*VLOOKUP('Données projet'!$B$12,Paramètres!$A$1:$I$89,3,0)*0.475*44/12</f>
        <v>7.0337861447099952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24.421056110653872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257.00000000000006</v>
      </c>
      <c r="CU192" s="17">
        <f>CT192*VLOOKUP('Données projet'!$B$13,Paramètres!$A$1:$I$89,3,0)*VLOOKUP('Données projet'!$B$13,Paramètres!$A$1:$I$89,5,0)</f>
        <v>168.38640000000004</v>
      </c>
      <c r="CV192" s="13">
        <f t="shared" si="173"/>
        <v>42.728430513203243</v>
      </c>
      <c r="CW192" s="20">
        <f t="shared" si="174"/>
        <v>367.69166314382898</v>
      </c>
      <c r="CX192" s="59">
        <f t="shared" si="122"/>
        <v>657.66930179083283</v>
      </c>
      <c r="CY192" s="59">
        <f ca="1">AVERAGE(OFFSET($CX$3,0,0,'Données projet'!$E$13+1,1))-AVERAGE(OFFSET($H$3,0,0,'Données projet'!$E$13+1,1))</f>
        <v>220.18342986563667</v>
      </c>
      <c r="CZ192" s="59">
        <f t="shared" si="150"/>
        <v>347.84382145531163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1.2042060692135145E-23</v>
      </c>
      <c r="DI192" s="22">
        <f t="shared" si="175"/>
        <v>1.2042060692135145E-23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5.7639226724859328E-14</v>
      </c>
      <c r="DQ192" s="13">
        <f t="shared" si="176"/>
        <v>9.2325701996134334E-13</v>
      </c>
      <c r="DR192" s="20">
        <f t="shared" si="177"/>
        <v>1.708394296311803E-12</v>
      </c>
      <c r="DS192" s="59">
        <f t="shared" si="125"/>
        <v>289.97763864700556</v>
      </c>
      <c r="DT192" s="59">
        <f ca="1">AVERAGE(OFFSET($DS$3,0,0,'Données projet'!$E$14+1,1))-AVERAGE(OFFSET($H$3,0,0,'Données projet'!$E$14+1,1))</f>
        <v>392.49465607243178</v>
      </c>
      <c r="DU192" s="59">
        <f t="shared" si="152"/>
        <v>258.031856676031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19.485733582523295</v>
      </c>
      <c r="EB192" s="21">
        <f>EXP(-LN(2)/25)*EB191+(1-EXP(-LN(2)/25))/(LN(2)/25)*Calculateur!DW192*Calculateur!DY192*VLOOKUP('Données projet'!$B$14,Paramètres!$A$1:$I$89,3,0)*0.475*44/12</f>
        <v>7.8826913690715417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27.368424951594836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294.24530606293143</v>
      </c>
      <c r="EP192" s="59">
        <f t="shared" si="154"/>
        <v>275.88160405468193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16.482391588459894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16.482391588459894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1.1368683772161603E-13</v>
      </c>
      <c r="FF192" s="17">
        <f>FE192*VLOOKUP('Données projet'!$B$16,Paramètres!$A$1:$I$89,3,0)*VLOOKUP('Données projet'!$B$16,Paramètres!$A$1:$I$89,5,0)</f>
        <v>8.3355189417488869E-14</v>
      </c>
      <c r="FG192" s="13">
        <f t="shared" si="182"/>
        <v>1.2790518435140618E-12</v>
      </c>
      <c r="FH192" s="20">
        <f t="shared" si="183"/>
        <v>2.3728589156891171E-12</v>
      </c>
      <c r="FI192" s="59">
        <f t="shared" si="131"/>
        <v>289.97763864700624</v>
      </c>
      <c r="FJ192" s="59">
        <f ca="1">AVERAGE(OFFSET($FI$3,0,0,'Données projet'!$E$16+1,1))-AVERAGE(OFFSET($H$3,0,0,'Données projet'!$E$16+1,1))</f>
        <v>214.31585175697521</v>
      </c>
      <c r="FK192" s="59">
        <f t="shared" si="156"/>
        <v>244.60383864821372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7.6545331864571429</v>
      </c>
      <c r="FR192" s="21">
        <f>EXP(-LN(2)/25)*FR191+(1-EXP(-LN(2)/25))/(LN(2)/25)*Calculateur!FM192*Calculateur!FO192*VLOOKUP('Données projet'!$B$16,Paramètres!$A$1:$I$89,3,0)*0.475*44/12</f>
        <v>0</v>
      </c>
      <c r="FS192" s="21">
        <f>EXP(-LN(2)/2)*FS191+(1-EXP(-LN(2)/2))/(LN(2)/2)*FM192*FP192*VLOOKUP('Données projet'!$B$16,Paramètres!$A$1:$I$89,3,0)*0.475*44/12</f>
        <v>0</v>
      </c>
      <c r="FT192" s="22">
        <f t="shared" si="184"/>
        <v>7.6545331864571429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-5.6843418860808015E-14</v>
      </c>
      <c r="GA192" s="17">
        <f>FZ192*VLOOKUP('Données projet'!$B$17,Paramètres!$A$1:$I$89,3,0)*VLOOKUP('Données projet'!$B$17,Paramètres!$A$1:$I$89,5,0)</f>
        <v>-4.5224624045658861E-14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308.33954512886351</v>
      </c>
      <c r="GF192" s="59">
        <f t="shared" si="158"/>
        <v>408.79075392716277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10.598857921435451</v>
      </c>
      <c r="GM192" s="21">
        <f>EXP(-LN(2)/25)*GM191+(1-EXP(-LN(2)/25))/(LN(2)/25)*Calculateur!GH192*Calculateur!GJ192*VLOOKUP('Données projet'!$B$17,Paramètres!$A$1:$I$89,3,0)*0.475*44/12</f>
        <v>0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10.598857921435451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342.84342155097613</v>
      </c>
      <c r="T193" s="59">
        <f t="shared" si="142"/>
        <v>565.68976940602215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9.7937553318497077</v>
      </c>
      <c r="AA193" s="21">
        <f>EXP(-LN(2)/25)*AA192+(1-EXP(-LN(2)/25))/(LN(2)/25)*Calculateur!V193*Calculateur!X193*VLOOKUP('Données projet'!$B$9,Paramètres!$A$1:$I$89,3,0)*0.475*44/12</f>
        <v>1.585505882550738</v>
      </c>
      <c r="AB193" s="21">
        <f>EXP(-LN(2)/2)*AB192+(1-EXP(-LN(2)/2))/(LN(2)/2)*V193*Y193*VLOOKUP('Données projet'!$B$9,Paramètres!$A$1:$I$89,3,0)*0.475*44/12</f>
        <v>6.1975524018586825E-21</v>
      </c>
      <c r="AC193" s="22">
        <f t="shared" si="163"/>
        <v>11.379261214400445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320.33056209214476</v>
      </c>
      <c r="AO193" s="59">
        <f t="shared" si="144"/>
        <v>299.27200854723446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3.2036325258800544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3.2036325258800544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256.85706398254547</v>
      </c>
      <c r="BJ193" s="59">
        <f t="shared" si="146"/>
        <v>363.68094621014734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11.156160859174909</v>
      </c>
      <c r="BQ193" s="21">
        <f>EXP(-LN(2)/25)*BQ192+(1-EXP(-LN(2)/25))/(LN(2)/25)*Calculateur!BL193*Calculateur!BN193*VLOOKUP('Données projet'!$B$11,Paramètres!$A$1:$I$89,3,0)*0.475*44/12</f>
        <v>1.4676819353717998</v>
      </c>
      <c r="BR193" s="21">
        <f>EXP(-LN(2)/2)*BR192+(1-EXP(-LN(2)/2))/(LN(2)/2)*BL193*BO193*VLOOKUP('Données projet'!$B$11,Paramètres!$A$1:$I$89,3,0)*0.475*44/12</f>
        <v>5.8662185789575784E-19</v>
      </c>
      <c r="BS193" s="22">
        <f t="shared" si="169"/>
        <v>12.623842794546709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5.6843418860808015E-14</v>
      </c>
      <c r="BZ193" s="13">
        <f>BY193*VLOOKUP('Données projet'!$B$12,Paramètres!$A$1:$I$89,3,0)*VLOOKUP('Données projet'!$B$12,Paramètres!$A$1:$I$89,5,0)</f>
        <v>5.1431925385259088E-14</v>
      </c>
      <c r="CA193" s="13">
        <f t="shared" si="170"/>
        <v>8.3482866290946129E-13</v>
      </c>
      <c r="CB193" s="20">
        <f t="shared" si="171"/>
        <v>1.5435705246133045E-12</v>
      </c>
      <c r="CC193" s="59">
        <f t="shared" si="119"/>
        <v>290.03585244760382</v>
      </c>
      <c r="CD193" s="59">
        <f ca="1">AVERAGE(OFFSET($CC$3,0,0,'Données projet'!$E$12+1,1))-AVERAGE(OFFSET($H$3,0,0,'Données projet'!$E$12+1,1))</f>
        <v>357.68828740212223</v>
      </c>
      <c r="CE193" s="59">
        <f t="shared" si="148"/>
        <v>236.76626845829483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17.04631620709922</v>
      </c>
      <c r="CL193" s="21">
        <f>EXP(-LN(2)/25)*CL192+(1-EXP(-LN(2)/25))/(LN(2)/25)*Calculateur!CG193*Calculateur!CI193*VLOOKUP('Données projet'!$B$12,Paramètres!$A$1:$I$89,3,0)*0.475*44/12</f>
        <v>6.8414468926921632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23.887763099791385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257.00000000000006</v>
      </c>
      <c r="CU193" s="17">
        <f>CT193*VLOOKUP('Données projet'!$B$13,Paramètres!$A$1:$I$89,3,0)*VLOOKUP('Données projet'!$B$13,Paramètres!$A$1:$I$89,5,0)</f>
        <v>168.38640000000004</v>
      </c>
      <c r="CV193" s="13">
        <f t="shared" si="173"/>
        <v>42.728430513203243</v>
      </c>
      <c r="CW193" s="20">
        <f t="shared" si="174"/>
        <v>367.69166314382898</v>
      </c>
      <c r="CX193" s="59">
        <f t="shared" si="122"/>
        <v>657.72751559143126</v>
      </c>
      <c r="CY193" s="59">
        <f ca="1">AVERAGE(OFFSET($CX$3,0,0,'Données projet'!$E$13+1,1))-AVERAGE(OFFSET($H$3,0,0,'Données projet'!$E$13+1,1))</f>
        <v>220.18342986563667</v>
      </c>
      <c r="CZ193" s="59">
        <f t="shared" si="150"/>
        <v>347.84382145531163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8.5150227748687307E-24</v>
      </c>
      <c r="DI193" s="22">
        <f t="shared" si="175"/>
        <v>8.5150227748687307E-24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5.7639226724859328E-14</v>
      </c>
      <c r="DQ193" s="13">
        <f t="shared" si="176"/>
        <v>9.2325701996134334E-13</v>
      </c>
      <c r="DR193" s="20">
        <f t="shared" si="177"/>
        <v>1.708394296311803E-12</v>
      </c>
      <c r="DS193" s="59">
        <f t="shared" si="125"/>
        <v>290.03585244760399</v>
      </c>
      <c r="DT193" s="59">
        <f ca="1">AVERAGE(OFFSET($DS$3,0,0,'Données projet'!$E$14+1,1))-AVERAGE(OFFSET($H$3,0,0,'Données projet'!$E$14+1,1))</f>
        <v>392.49465607243178</v>
      </c>
      <c r="DU193" s="59">
        <f t="shared" si="152"/>
        <v>258.031856676031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19.103630232093941</v>
      </c>
      <c r="EB193" s="21">
        <f>EXP(-LN(2)/25)*EB192+(1-EXP(-LN(2)/25))/(LN(2)/25)*Calculateur!DW193*Calculateur!DY193*VLOOKUP('Données projet'!$B$14,Paramètres!$A$1:$I$89,3,0)*0.475*44/12</f>
        <v>7.6671387590515572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26.770768991145498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294.24530606293143</v>
      </c>
      <c r="EP193" s="59">
        <f t="shared" si="154"/>
        <v>275.88160405468193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16.159181942676387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16.159181942676387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1.1368683772161603E-13</v>
      </c>
      <c r="FF193" s="17">
        <f>FE193*VLOOKUP('Données projet'!$B$16,Paramètres!$A$1:$I$89,3,0)*VLOOKUP('Données projet'!$B$16,Paramètres!$A$1:$I$89,5,0)</f>
        <v>8.3355189417488869E-14</v>
      </c>
      <c r="FG193" s="13">
        <f t="shared" si="182"/>
        <v>1.2790518435140618E-12</v>
      </c>
      <c r="FH193" s="20">
        <f t="shared" si="183"/>
        <v>2.3728589156891171E-12</v>
      </c>
      <c r="FI193" s="59">
        <f t="shared" si="131"/>
        <v>290.03585244760467</v>
      </c>
      <c r="FJ193" s="59">
        <f ca="1">AVERAGE(OFFSET($FI$3,0,0,'Données projet'!$E$16+1,1))-AVERAGE(OFFSET($H$3,0,0,'Données projet'!$E$16+1,1))</f>
        <v>214.31585175697521</v>
      </c>
      <c r="FK193" s="59">
        <f t="shared" si="156"/>
        <v>244.60383864821372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7.5044324594749563</v>
      </c>
      <c r="FR193" s="21">
        <f>EXP(-LN(2)/25)*FR192+(1-EXP(-LN(2)/25))/(LN(2)/25)*Calculateur!FM193*Calculateur!FO193*VLOOKUP('Données projet'!$B$16,Paramètres!$A$1:$I$89,3,0)*0.475*44/12</f>
        <v>0</v>
      </c>
      <c r="FS193" s="21">
        <f>EXP(-LN(2)/2)*FS192+(1-EXP(-LN(2)/2))/(LN(2)/2)*FM193*FP193*VLOOKUP('Données projet'!$B$16,Paramètres!$A$1:$I$89,3,0)*0.475*44/12</f>
        <v>0</v>
      </c>
      <c r="FT193" s="22">
        <f t="shared" si="184"/>
        <v>7.5044324594749563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-5.6843418860808015E-14</v>
      </c>
      <c r="GA193" s="17">
        <f>FZ193*VLOOKUP('Données projet'!$B$17,Paramètres!$A$1:$I$89,3,0)*VLOOKUP('Données projet'!$B$17,Paramètres!$A$1:$I$89,5,0)</f>
        <v>-4.5224624045658861E-14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308.33954512886351</v>
      </c>
      <c r="GF193" s="59">
        <f t="shared" si="158"/>
        <v>408.79075392716277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10.391020782261101</v>
      </c>
      <c r="GM193" s="21">
        <f>EXP(-LN(2)/25)*GM192+(1-EXP(-LN(2)/25))/(LN(2)/25)*Calculateur!GH193*Calculateur!GJ193*VLOOKUP('Données projet'!$B$17,Paramètres!$A$1:$I$89,3,0)*0.475*44/12</f>
        <v>0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10.391020782261101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342.84342155097613</v>
      </c>
      <c r="T194" s="59">
        <f t="shared" si="142"/>
        <v>565.68976940602215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9.6017057633930438</v>
      </c>
      <c r="AA194" s="21">
        <f>EXP(-LN(2)/25)*AA193+(1-EXP(-LN(2)/25))/(LN(2)/25)*Calculateur!V194*Calculateur!X194*VLOOKUP('Données projet'!$B$9,Paramètres!$A$1:$I$89,3,0)*0.475*44/12</f>
        <v>1.5421501408142575</v>
      </c>
      <c r="AB194" s="21">
        <f>EXP(-LN(2)/2)*AB193+(1-EXP(-LN(2)/2))/(LN(2)/2)*V194*Y194*VLOOKUP('Données projet'!$B$9,Paramètres!$A$1:$I$89,3,0)*0.475*44/12</f>
        <v>4.3823313301132494E-21</v>
      </c>
      <c r="AC194" s="22">
        <f t="shared" si="163"/>
        <v>11.143855904207301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320.33056209214476</v>
      </c>
      <c r="AO194" s="59">
        <f t="shared" si="144"/>
        <v>299.27200854723446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3.1160290259881518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3.1160290259881518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256.85706398254547</v>
      </c>
      <c r="BJ194" s="59">
        <f t="shared" si="146"/>
        <v>363.68094621014734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10.937395349312716</v>
      </c>
      <c r="BQ194" s="21">
        <f>EXP(-LN(2)/25)*BQ193+(1-EXP(-LN(2)/25))/(LN(2)/25)*Calculateur!BL194*Calculateur!BN194*VLOOKUP('Données projet'!$B$11,Paramètres!$A$1:$I$89,3,0)*0.475*44/12</f>
        <v>1.4275480956670195</v>
      </c>
      <c r="BR194" s="21">
        <f>EXP(-LN(2)/2)*BR193+(1-EXP(-LN(2)/2))/(LN(2)/2)*BL194*BO194*VLOOKUP('Données projet'!$B$11,Paramètres!$A$1:$I$89,3,0)*0.475*44/12</f>
        <v>4.1480429371034162E-19</v>
      </c>
      <c r="BS194" s="22">
        <f t="shared" si="169"/>
        <v>12.364943444979735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5.6843418860808015E-14</v>
      </c>
      <c r="BZ194" s="13">
        <f>BY194*VLOOKUP('Données projet'!$B$12,Paramètres!$A$1:$I$89,3,0)*VLOOKUP('Données projet'!$B$12,Paramètres!$A$1:$I$89,5,0)</f>
        <v>5.1431925385259088E-14</v>
      </c>
      <c r="CA194" s="13">
        <f t="shared" si="170"/>
        <v>8.3482866290946129E-13</v>
      </c>
      <c r="CB194" s="20">
        <f t="shared" si="171"/>
        <v>1.5435705246133045E-12</v>
      </c>
      <c r="CC194" s="59">
        <f t="shared" si="119"/>
        <v>290.09305636890838</v>
      </c>
      <c r="CD194" s="59">
        <f ca="1">AVERAGE(OFFSET($CC$3,0,0,'Données projet'!$E$12+1,1))-AVERAGE(OFFSET($H$3,0,0,'Données projet'!$E$12+1,1))</f>
        <v>357.68828740212223</v>
      </c>
      <c r="CE194" s="59">
        <f t="shared" si="148"/>
        <v>236.76626845829483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16.71204834350425</v>
      </c>
      <c r="CL194" s="21">
        <f>EXP(-LN(2)/25)*CL193+(1-EXP(-LN(2)/25))/(LN(2)/25)*Calculateur!CG194*Calculateur!CI194*VLOOKUP('Données projet'!$B$12,Paramètres!$A$1:$I$89,3,0)*0.475*44/12</f>
        <v>6.6543671676354403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23.366415511139692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257.00000000000006</v>
      </c>
      <c r="CU194" s="17">
        <f>CT194*VLOOKUP('Données projet'!$B$13,Paramètres!$A$1:$I$89,3,0)*VLOOKUP('Données projet'!$B$13,Paramètres!$A$1:$I$89,5,0)</f>
        <v>168.38640000000004</v>
      </c>
      <c r="CV194" s="13">
        <f t="shared" si="173"/>
        <v>42.728430513203243</v>
      </c>
      <c r="CW194" s="20">
        <f t="shared" si="174"/>
        <v>367.69166314382898</v>
      </c>
      <c r="CX194" s="59">
        <f t="shared" si="122"/>
        <v>657.78471951273582</v>
      </c>
      <c r="CY194" s="59">
        <f ca="1">AVERAGE(OFFSET($CX$3,0,0,'Données projet'!$E$13+1,1))-AVERAGE(OFFSET($H$3,0,0,'Données projet'!$E$13+1,1))</f>
        <v>220.18342986563667</v>
      </c>
      <c r="CZ194" s="59">
        <f t="shared" si="150"/>
        <v>347.84382145531163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6.0210303460675723E-24</v>
      </c>
      <c r="DI194" s="22">
        <f t="shared" si="175"/>
        <v>6.0210303460675723E-24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5.7639226724859328E-14</v>
      </c>
      <c r="DQ194" s="13">
        <f t="shared" si="176"/>
        <v>9.2325701996134334E-13</v>
      </c>
      <c r="DR194" s="20">
        <f t="shared" si="177"/>
        <v>1.708394296311803E-12</v>
      </c>
      <c r="DS194" s="59">
        <f t="shared" si="125"/>
        <v>290.09305636890855</v>
      </c>
      <c r="DT194" s="59">
        <f ca="1">AVERAGE(OFFSET($DS$3,0,0,'Données projet'!$E$14+1,1))-AVERAGE(OFFSET($H$3,0,0,'Données projet'!$E$14+1,1))</f>
        <v>392.49465607243178</v>
      </c>
      <c r="DU194" s="59">
        <f t="shared" si="152"/>
        <v>258.031856676031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18.729019695306476</v>
      </c>
      <c r="EB194" s="21">
        <f>EXP(-LN(2)/25)*EB193+(1-EXP(-LN(2)/25))/(LN(2)/25)*Calculateur!DW194*Calculateur!DY194*VLOOKUP('Données projet'!$B$14,Paramètres!$A$1:$I$89,3,0)*0.475*44/12</f>
        <v>7.4574804464879882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26.186500141794465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294.24530606293143</v>
      </c>
      <c r="EP194" s="59">
        <f t="shared" si="154"/>
        <v>275.88160405468193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15.842310240908276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15.842310240908276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1.1368683772161603E-13</v>
      </c>
      <c r="FF194" s="17">
        <f>FE194*VLOOKUP('Données projet'!$B$16,Paramètres!$A$1:$I$89,3,0)*VLOOKUP('Données projet'!$B$16,Paramètres!$A$1:$I$89,5,0)</f>
        <v>8.3355189417488869E-14</v>
      </c>
      <c r="FG194" s="13">
        <f t="shared" si="182"/>
        <v>1.2790518435140618E-12</v>
      </c>
      <c r="FH194" s="20">
        <f t="shared" si="183"/>
        <v>2.3728589156891171E-12</v>
      </c>
      <c r="FI194" s="59">
        <f t="shared" si="131"/>
        <v>290.09305636890923</v>
      </c>
      <c r="FJ194" s="59">
        <f ca="1">AVERAGE(OFFSET($FI$3,0,0,'Données projet'!$E$16+1,1))-AVERAGE(OFFSET($H$3,0,0,'Données projet'!$E$16+1,1))</f>
        <v>214.31585175697521</v>
      </c>
      <c r="FK194" s="59">
        <f t="shared" si="156"/>
        <v>244.60383864821372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7.3572751161964867</v>
      </c>
      <c r="FR194" s="21">
        <f>EXP(-LN(2)/25)*FR193+(1-EXP(-LN(2)/25))/(LN(2)/25)*Calculateur!FM194*Calculateur!FO194*VLOOKUP('Données projet'!$B$16,Paramètres!$A$1:$I$89,3,0)*0.475*44/12</f>
        <v>0</v>
      </c>
      <c r="FS194" s="21">
        <f>EXP(-LN(2)/2)*FS193+(1-EXP(-LN(2)/2))/(LN(2)/2)*FM194*FP194*VLOOKUP('Données projet'!$B$16,Paramètres!$A$1:$I$89,3,0)*0.475*44/12</f>
        <v>0</v>
      </c>
      <c r="FT194" s="22">
        <f t="shared" si="184"/>
        <v>7.3572751161964867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-5.6843418860808015E-14</v>
      </c>
      <c r="GA194" s="17">
        <f>FZ194*VLOOKUP('Données projet'!$B$17,Paramètres!$A$1:$I$89,3,0)*VLOOKUP('Données projet'!$B$17,Paramètres!$A$1:$I$89,5,0)</f>
        <v>-4.5224624045658861E-14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308.33954512886351</v>
      </c>
      <c r="GF194" s="59">
        <f t="shared" si="158"/>
        <v>408.79075392716277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10.187259202617822</v>
      </c>
      <c r="GM194" s="21">
        <f>EXP(-LN(2)/25)*GM193+(1-EXP(-LN(2)/25))/(LN(2)/25)*Calculateur!GH194*Calculateur!GJ194*VLOOKUP('Données projet'!$B$17,Paramètres!$A$1:$I$89,3,0)*0.475*44/12</f>
        <v>0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10.187259202617822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342.84342155097613</v>
      </c>
      <c r="T195" s="59">
        <f t="shared" si="142"/>
        <v>565.68976940602215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9.4134221698351439</v>
      </c>
      <c r="AA195" s="21">
        <f>EXP(-LN(2)/25)*AA194+(1-EXP(-LN(2)/25))/(LN(2)/25)*Calculateur!V195*Calculateur!X195*VLOOKUP('Données projet'!$B$9,Paramètres!$A$1:$I$89,3,0)*0.475*44/12</f>
        <v>1.4999799641155402</v>
      </c>
      <c r="AB195" s="21">
        <f>EXP(-LN(2)/2)*AB194+(1-EXP(-LN(2)/2))/(LN(2)/2)*V195*Y195*VLOOKUP('Données projet'!$B$9,Paramètres!$A$1:$I$89,3,0)*0.475*44/12</f>
        <v>3.0987762009293412E-21</v>
      </c>
      <c r="AC195" s="22">
        <f t="shared" si="163"/>
        <v>10.913402133950685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320.33056209214476</v>
      </c>
      <c r="AO195" s="59">
        <f t="shared" si="144"/>
        <v>299.27200854723446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3.030821048407661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3.030821048407661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256.85706398254547</v>
      </c>
      <c r="BJ195" s="59">
        <f t="shared" si="146"/>
        <v>363.68094621014734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10.722919697665136</v>
      </c>
      <c r="BQ195" s="21">
        <f>EXP(-LN(2)/25)*BQ194+(1-EXP(-LN(2)/25))/(LN(2)/25)*Calculateur!BL195*Calculateur!BN195*VLOOKUP('Données projet'!$B$11,Paramètres!$A$1:$I$89,3,0)*0.475*44/12</f>
        <v>1.3885117179195132</v>
      </c>
      <c r="BR195" s="21">
        <f>EXP(-LN(2)/2)*BR194+(1-EXP(-LN(2)/2))/(LN(2)/2)*BL195*BO195*VLOOKUP('Données projet'!$B$11,Paramètres!$A$1:$I$89,3,0)*0.475*44/12</f>
        <v>2.9331092894787892E-19</v>
      </c>
      <c r="BS195" s="22">
        <f t="shared" si="169"/>
        <v>12.111431415584649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5.6843418860808015E-14</v>
      </c>
      <c r="BZ195" s="13">
        <f>BY195*VLOOKUP('Données projet'!$B$12,Paramètres!$A$1:$I$89,3,0)*VLOOKUP('Données projet'!$B$12,Paramètres!$A$1:$I$89,5,0)</f>
        <v>5.1431925385259088E-14</v>
      </c>
      <c r="CA195" s="13">
        <f t="shared" si="170"/>
        <v>8.3482866290946129E-13</v>
      </c>
      <c r="CB195" s="20">
        <f t="shared" si="171"/>
        <v>1.5435705246133045E-12</v>
      </c>
      <c r="CC195" s="59">
        <f t="shared" si="119"/>
        <v>290.1492679300672</v>
      </c>
      <c r="CD195" s="59">
        <f ca="1">AVERAGE(OFFSET($CC$3,0,0,'Données projet'!$E$12+1,1))-AVERAGE(OFFSET($H$3,0,0,'Données projet'!$E$12+1,1))</f>
        <v>357.68828740212223</v>
      </c>
      <c r="CE195" s="59">
        <f t="shared" si="148"/>
        <v>236.76626845829483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16.384335268831112</v>
      </c>
      <c r="CL195" s="21">
        <f>EXP(-LN(2)/25)*CL194+(1-EXP(-LN(2)/25))/(LN(2)/25)*Calculateur!CG195*Calculateur!CI195*VLOOKUP('Données projet'!$B$12,Paramètres!$A$1:$I$89,3,0)*0.475*44/12</f>
        <v>6.4724031474984889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22.856738416329602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257.00000000000006</v>
      </c>
      <c r="CU195" s="17">
        <f>CT195*VLOOKUP('Données projet'!$B$13,Paramètres!$A$1:$I$89,3,0)*VLOOKUP('Données projet'!$B$13,Paramètres!$A$1:$I$89,5,0)</f>
        <v>168.38640000000004</v>
      </c>
      <c r="CV195" s="13">
        <f t="shared" si="173"/>
        <v>42.728430513203243</v>
      </c>
      <c r="CW195" s="20">
        <f t="shared" si="174"/>
        <v>367.69166314382898</v>
      </c>
      <c r="CX195" s="59">
        <f t="shared" si="122"/>
        <v>657.84093107389458</v>
      </c>
      <c r="CY195" s="59">
        <f ca="1">AVERAGE(OFFSET($CX$3,0,0,'Données projet'!$E$13+1,1))-AVERAGE(OFFSET($H$3,0,0,'Données projet'!$E$13+1,1))</f>
        <v>220.18342986563667</v>
      </c>
      <c r="CZ195" s="59">
        <f t="shared" si="150"/>
        <v>347.84382145531163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4.2575113874343653E-24</v>
      </c>
      <c r="DI195" s="22">
        <f t="shared" si="175"/>
        <v>4.2575113874343653E-24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5.7639226724859328E-14</v>
      </c>
      <c r="DQ195" s="13">
        <f t="shared" si="176"/>
        <v>9.2325701996134334E-13</v>
      </c>
      <c r="DR195" s="20">
        <f t="shared" si="177"/>
        <v>1.708394296311803E-12</v>
      </c>
      <c r="DS195" s="59">
        <f t="shared" si="125"/>
        <v>290.14926793006737</v>
      </c>
      <c r="DT195" s="59">
        <f ca="1">AVERAGE(OFFSET($DS$3,0,0,'Données projet'!$E$14+1,1))-AVERAGE(OFFSET($H$3,0,0,'Données projet'!$E$14+1,1))</f>
        <v>392.49465607243178</v>
      </c>
      <c r="DU195" s="59">
        <f t="shared" si="152"/>
        <v>258.031856676031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18.361755042655545</v>
      </c>
      <c r="EB195" s="21">
        <f>EXP(-LN(2)/25)*EB194+(1-EXP(-LN(2)/25))/(LN(2)/25)*Calculateur!DW195*Calculateur!DY195*VLOOKUP('Données projet'!$B$14,Paramètres!$A$1:$I$89,3,0)*0.475*44/12</f>
        <v>7.2535552515069215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25.615310294162466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294.24530606293143</v>
      </c>
      <c r="EP195" s="59">
        <f t="shared" si="154"/>
        <v>275.88160405468193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15.531652199939185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15.531652199939185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1.1368683772161603E-13</v>
      </c>
      <c r="FF195" s="17">
        <f>FE195*VLOOKUP('Données projet'!$B$16,Paramètres!$A$1:$I$89,3,0)*VLOOKUP('Données projet'!$B$16,Paramètres!$A$1:$I$89,5,0)</f>
        <v>8.3355189417488869E-14</v>
      </c>
      <c r="FG195" s="13">
        <f t="shared" si="182"/>
        <v>1.2790518435140618E-12</v>
      </c>
      <c r="FH195" s="20">
        <f t="shared" si="183"/>
        <v>2.3728589156891171E-12</v>
      </c>
      <c r="FI195" s="59">
        <f t="shared" si="131"/>
        <v>290.14926793006805</v>
      </c>
      <c r="FJ195" s="59">
        <f ca="1">AVERAGE(OFFSET($FI$3,0,0,'Données projet'!$E$16+1,1))-AVERAGE(OFFSET($H$3,0,0,'Données projet'!$E$16+1,1))</f>
        <v>214.31585175697521</v>
      </c>
      <c r="FK195" s="59">
        <f t="shared" si="156"/>
        <v>244.60383864821372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7.2130034386625912</v>
      </c>
      <c r="FR195" s="21">
        <f>EXP(-LN(2)/25)*FR194+(1-EXP(-LN(2)/25))/(LN(2)/25)*Calculateur!FM195*Calculateur!FO195*VLOOKUP('Données projet'!$B$16,Paramètres!$A$1:$I$89,3,0)*0.475*44/12</f>
        <v>0</v>
      </c>
      <c r="FS195" s="21">
        <f>EXP(-LN(2)/2)*FS194+(1-EXP(-LN(2)/2))/(LN(2)/2)*FM195*FP195*VLOOKUP('Données projet'!$B$16,Paramètres!$A$1:$I$89,3,0)*0.475*44/12</f>
        <v>0</v>
      </c>
      <c r="FT195" s="22">
        <f t="shared" si="184"/>
        <v>7.2130034386625912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-5.6843418860808015E-14</v>
      </c>
      <c r="GA195" s="17">
        <f>FZ195*VLOOKUP('Données projet'!$B$17,Paramètres!$A$1:$I$89,3,0)*VLOOKUP('Données projet'!$B$17,Paramètres!$A$1:$I$89,5,0)</f>
        <v>-4.5224624045658861E-14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308.33954512886351</v>
      </c>
      <c r="GF195" s="59">
        <f t="shared" si="158"/>
        <v>408.79075392716277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9.987493263269057</v>
      </c>
      <c r="GM195" s="21">
        <f>EXP(-LN(2)/25)*GM194+(1-EXP(-LN(2)/25))/(LN(2)/25)*Calculateur!GH195*Calculateur!GJ195*VLOOKUP('Données projet'!$B$17,Paramètres!$A$1:$I$89,3,0)*0.475*44/12</f>
        <v>0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9.987493263269057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342.84342155097613</v>
      </c>
      <c r="T196" s="59">
        <f t="shared" si="142"/>
        <v>565.68976940602215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9.2288307027052632</v>
      </c>
      <c r="AA196" s="21">
        <f>EXP(-LN(2)/25)*AA195+(1-EXP(-LN(2)/25))/(LN(2)/25)*Calculateur!V196*Calculateur!X196*VLOOKUP('Données projet'!$B$9,Paramètres!$A$1:$I$89,3,0)*0.475*44/12</f>
        <v>1.4589629331162828</v>
      </c>
      <c r="AB196" s="21">
        <f>EXP(-LN(2)/2)*AB195+(1-EXP(-LN(2)/2))/(LN(2)/2)*V196*Y196*VLOOKUP('Données projet'!$B$9,Paramètres!$A$1:$I$89,3,0)*0.475*44/12</f>
        <v>2.1911656650566247E-21</v>
      </c>
      <c r="AC196" s="22">
        <f t="shared" si="163"/>
        <v>10.687793635821546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320.33056209214476</v>
      </c>
      <c r="AO196" s="59">
        <f t="shared" si="144"/>
        <v>299.27200854723446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2.9479430874550014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2.9479430874550014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256.85706398254547</v>
      </c>
      <c r="BJ196" s="59">
        <f t="shared" si="146"/>
        <v>363.68094621014734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10.512649782729133</v>
      </c>
      <c r="BQ196" s="21">
        <f>EXP(-LN(2)/25)*BQ195+(1-EXP(-LN(2)/25))/(LN(2)/25)*Calculateur!BL196*Calculateur!BN196*VLOOKUP('Données projet'!$B$11,Paramètres!$A$1:$I$89,3,0)*0.475*44/12</f>
        <v>1.3505427919743465</v>
      </c>
      <c r="BR196" s="21">
        <f>EXP(-LN(2)/2)*BR195+(1-EXP(-LN(2)/2))/(LN(2)/2)*BL196*BO196*VLOOKUP('Données projet'!$B$11,Paramètres!$A$1:$I$89,3,0)*0.475*44/12</f>
        <v>2.0740214685517081E-19</v>
      </c>
      <c r="BS196" s="22">
        <f t="shared" si="169"/>
        <v>11.863192574703479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5.6843418860808015E-14</v>
      </c>
      <c r="BZ196" s="13">
        <f>BY196*VLOOKUP('Données projet'!$B$12,Paramètres!$A$1:$I$89,3,0)*VLOOKUP('Données projet'!$B$12,Paramètres!$A$1:$I$89,5,0)</f>
        <v>5.1431925385259088E-14</v>
      </c>
      <c r="CA196" s="13">
        <f t="shared" si="170"/>
        <v>8.3482866290946129E-13</v>
      </c>
      <c r="CB196" s="20">
        <f t="shared" si="171"/>
        <v>1.5435705246133045E-12</v>
      </c>
      <c r="CC196" s="59">
        <f t="shared" ref="CC196:CC203" si="195">CB196+(BT196+BU196)*44/12</f>
        <v>290.20450434631005</v>
      </c>
      <c r="CD196" s="59">
        <f ca="1">AVERAGE(OFFSET($CC$3,0,0,'Données projet'!$E$12+1,1))-AVERAGE(OFFSET($H$3,0,0,'Données projet'!$E$12+1,1))</f>
        <v>357.68828740212223</v>
      </c>
      <c r="CE196" s="59">
        <f t="shared" si="148"/>
        <v>236.76626845829483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16.063048447667075</v>
      </c>
      <c r="CL196" s="21">
        <f>EXP(-LN(2)/25)*CL195+(1-EXP(-LN(2)/25))/(LN(2)/25)*Calculateur!CG196*Calculateur!CI196*VLOOKUP('Données projet'!$B$12,Paramètres!$A$1:$I$89,3,0)*0.475*44/12</f>
        <v>6.295414943061254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22.358463390728328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257.00000000000006</v>
      </c>
      <c r="CU196" s="17">
        <f>CT196*VLOOKUP('Données projet'!$B$13,Paramètres!$A$1:$I$89,3,0)*VLOOKUP('Données projet'!$B$13,Paramètres!$A$1:$I$89,5,0)</f>
        <v>168.38640000000004</v>
      </c>
      <c r="CV196" s="13">
        <f t="shared" si="173"/>
        <v>42.728430513203243</v>
      </c>
      <c r="CW196" s="20">
        <f t="shared" si="174"/>
        <v>367.69166314382898</v>
      </c>
      <c r="CX196" s="59">
        <f t="shared" ref="CX196:CX203" si="196">CW196+(CO196+CP196)*44/12</f>
        <v>657.89616749013749</v>
      </c>
      <c r="CY196" s="59">
        <f ca="1">AVERAGE(OFFSET($CX$3,0,0,'Données projet'!$E$13+1,1))-AVERAGE(OFFSET($H$3,0,0,'Données projet'!$E$13+1,1))</f>
        <v>220.18342986563667</v>
      </c>
      <c r="CZ196" s="59">
        <f t="shared" si="150"/>
        <v>347.84382145531163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3.0105151730337862E-24</v>
      </c>
      <c r="DI196" s="22">
        <f t="shared" si="175"/>
        <v>3.0105151730337862E-24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5.7639226724859328E-14</v>
      </c>
      <c r="DQ196" s="13">
        <f t="shared" si="176"/>
        <v>9.2325701996134334E-13</v>
      </c>
      <c r="DR196" s="20">
        <f t="shared" si="177"/>
        <v>1.708394296311803E-12</v>
      </c>
      <c r="DS196" s="59">
        <f t="shared" ref="DS196:DS203" si="197">DR196+(DJ196+DK196)*44/12</f>
        <v>290.20450434631022</v>
      </c>
      <c r="DT196" s="59">
        <f ca="1">AVERAGE(OFFSET($DS$3,0,0,'Données projet'!$E$14+1,1))-AVERAGE(OFFSET($H$3,0,0,'Données projet'!$E$14+1,1))</f>
        <v>392.49465607243178</v>
      </c>
      <c r="DU196" s="59">
        <f t="shared" si="152"/>
        <v>258.031856676031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18.001692225833782</v>
      </c>
      <c r="EB196" s="21">
        <f>EXP(-LN(2)/25)*EB195+(1-EXP(-LN(2)/25))/(LN(2)/25)*Calculateur!DW196*Calculateur!DY196*VLOOKUP('Données projet'!$B$14,Paramètres!$A$1:$I$89,3,0)*0.475*44/12</f>
        <v>7.0552064017065721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25.056898627540356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294.24530606293143</v>
      </c>
      <c r="EP196" s="59">
        <f t="shared" si="154"/>
        <v>275.88160405468193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15.227085973670802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15.227085973670802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1.1368683772161603E-13</v>
      </c>
      <c r="FF196" s="17">
        <f>FE196*VLOOKUP('Données projet'!$B$16,Paramètres!$A$1:$I$89,3,0)*VLOOKUP('Données projet'!$B$16,Paramètres!$A$1:$I$89,5,0)</f>
        <v>8.3355189417488869E-14</v>
      </c>
      <c r="FG196" s="13">
        <f t="shared" si="182"/>
        <v>1.2790518435140618E-12</v>
      </c>
      <c r="FH196" s="20">
        <f t="shared" si="183"/>
        <v>2.3728589156891171E-12</v>
      </c>
      <c r="FI196" s="59">
        <f t="shared" ref="FI196:FI203" si="199">FH196+(EZ196+FA196)*44/12</f>
        <v>290.2045043463109</v>
      </c>
      <c r="FJ196" s="59">
        <f ca="1">AVERAGE(OFFSET($FI$3,0,0,'Données projet'!$E$16+1,1))-AVERAGE(OFFSET($H$3,0,0,'Données projet'!$E$16+1,1))</f>
        <v>214.31585175697521</v>
      </c>
      <c r="FK196" s="59">
        <f t="shared" si="156"/>
        <v>244.60383864821372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7.0715608407281012</v>
      </c>
      <c r="FR196" s="21">
        <f>EXP(-LN(2)/25)*FR195+(1-EXP(-LN(2)/25))/(LN(2)/25)*Calculateur!FM196*Calculateur!FO196*VLOOKUP('Données projet'!$B$16,Paramètres!$A$1:$I$89,3,0)*0.475*44/12</f>
        <v>0</v>
      </c>
      <c r="FS196" s="21">
        <f>EXP(-LN(2)/2)*FS195+(1-EXP(-LN(2)/2))/(LN(2)/2)*FM196*FP196*VLOOKUP('Données projet'!$B$16,Paramètres!$A$1:$I$89,3,0)*0.475*44/12</f>
        <v>0</v>
      </c>
      <c r="FT196" s="22">
        <f t="shared" si="184"/>
        <v>7.0715608407281012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-5.6843418860808015E-14</v>
      </c>
      <c r="GA196" s="17">
        <f>FZ196*VLOOKUP('Données projet'!$B$17,Paramètres!$A$1:$I$89,3,0)*VLOOKUP('Données projet'!$B$17,Paramètres!$A$1:$I$89,5,0)</f>
        <v>-4.5224624045658861E-14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308.33954512886351</v>
      </c>
      <c r="GF196" s="59">
        <f t="shared" si="158"/>
        <v>408.79075392716277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9.7916446121457295</v>
      </c>
      <c r="GM196" s="21">
        <f>EXP(-LN(2)/25)*GM195+(1-EXP(-LN(2)/25))/(LN(2)/25)*Calculateur!GH196*Calculateur!GJ196*VLOOKUP('Données projet'!$B$17,Paramètres!$A$1:$I$89,3,0)*0.475*44/12</f>
        <v>0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9.7916446121457295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342.84342155097613</v>
      </c>
      <c r="T197" s="59">
        <f t="shared" ref="T197:T203" si="204">$T$3</f>
        <v>565.68976940602215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9.0478589616561216</v>
      </c>
      <c r="AA197" s="21">
        <f>EXP(-LN(2)/25)*AA196+(1-EXP(-LN(2)/25))/(LN(2)/25)*Calculateur!V197*Calculateur!X197*VLOOKUP('Données projet'!$B$9,Paramètres!$A$1:$I$89,3,0)*0.475*44/12</f>
        <v>1.4190675149866918</v>
      </c>
      <c r="AB197" s="21">
        <f>EXP(-LN(2)/2)*AB196+(1-EXP(-LN(2)/2))/(LN(2)/2)*V197*Y197*VLOOKUP('Données projet'!$B$9,Paramètres!$A$1:$I$89,3,0)*0.475*44/12</f>
        <v>1.5493881004646706E-21</v>
      </c>
      <c r="AC197" s="22">
        <f t="shared" si="163"/>
        <v>10.466926476642813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320.33056209214476</v>
      </c>
      <c r="AO197" s="59">
        <f t="shared" ref="AO197:AO203" si="205">$AO$3</f>
        <v>299.27200854723446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2.867331428702955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2.867331428702955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256.85706398254547</v>
      </c>
      <c r="BJ197" s="59">
        <f t="shared" ref="BJ197:BJ203" si="206">$BJ$3</f>
        <v>363.68094621014734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10.306503132573042</v>
      </c>
      <c r="BQ197" s="21">
        <f>EXP(-LN(2)/25)*BQ196+(1-EXP(-LN(2)/25))/(LN(2)/25)*Calculateur!BL197*Calculateur!BN197*VLOOKUP('Données projet'!$B$11,Paramètres!$A$1:$I$89,3,0)*0.475*44/12</f>
        <v>1.3136121283058493</v>
      </c>
      <c r="BR197" s="21">
        <f>EXP(-LN(2)/2)*BR196+(1-EXP(-LN(2)/2))/(LN(2)/2)*BL197*BO197*VLOOKUP('Données projet'!$B$11,Paramètres!$A$1:$I$89,3,0)*0.475*44/12</f>
        <v>1.4665546447393946E-19</v>
      </c>
      <c r="BS197" s="22">
        <f t="shared" si="169"/>
        <v>11.62011526087889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5.6843418860808015E-14</v>
      </c>
      <c r="BZ197" s="13">
        <f>BY197*VLOOKUP('Données projet'!$B$12,Paramètres!$A$1:$I$89,3,0)*VLOOKUP('Données projet'!$B$12,Paramètres!$A$1:$I$89,5,0)</f>
        <v>5.1431925385259088E-14</v>
      </c>
      <c r="CA197" s="13">
        <f t="shared" si="170"/>
        <v>8.3482866290946129E-13</v>
      </c>
      <c r="CB197" s="20">
        <f t="shared" si="171"/>
        <v>1.5435705246133045E-12</v>
      </c>
      <c r="CC197" s="59">
        <f t="shared" si="195"/>
        <v>290.25878253422127</v>
      </c>
      <c r="CD197" s="59">
        <f ca="1">AVERAGE(OFFSET($CC$3,0,0,'Données projet'!$E$12+1,1))-AVERAGE(OFFSET($H$3,0,0,'Données projet'!$E$12+1,1))</f>
        <v>357.68828740212223</v>
      </c>
      <c r="CE197" s="59">
        <f t="shared" ref="CE197:CE203" si="207">$CE$3</f>
        <v>236.76626845829483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15.748061865100455</v>
      </c>
      <c r="CL197" s="21">
        <f>EXP(-LN(2)/25)*CL196+(1-EXP(-LN(2)/25))/(LN(2)/25)*Calculateur!CG197*Calculateur!CI197*VLOOKUP('Données projet'!$B$12,Paramètres!$A$1:$I$89,3,0)*0.475*44/12</f>
        <v>6.1232664903817602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21.871328355482216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257.00000000000006</v>
      </c>
      <c r="CU197" s="17">
        <f>CT197*VLOOKUP('Données projet'!$B$13,Paramètres!$A$1:$I$89,3,0)*VLOOKUP('Données projet'!$B$13,Paramètres!$A$1:$I$89,5,0)</f>
        <v>168.38640000000004</v>
      </c>
      <c r="CV197" s="13">
        <f t="shared" si="173"/>
        <v>42.728430513203243</v>
      </c>
      <c r="CW197" s="20">
        <f t="shared" si="174"/>
        <v>367.69166314382898</v>
      </c>
      <c r="CX197" s="59">
        <f t="shared" si="196"/>
        <v>657.95044567804871</v>
      </c>
      <c r="CY197" s="59">
        <f ca="1">AVERAGE(OFFSET($CX$3,0,0,'Données projet'!$E$13+1,1))-AVERAGE(OFFSET($H$3,0,0,'Données projet'!$E$13+1,1))</f>
        <v>220.18342986563667</v>
      </c>
      <c r="CZ197" s="59">
        <f t="shared" ref="CZ197:CZ203" si="208">$CZ$3</f>
        <v>347.84382145531163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2.1287556937171827E-24</v>
      </c>
      <c r="DI197" s="22">
        <f t="shared" si="175"/>
        <v>2.1287556937171827E-24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5.7639226724859328E-14</v>
      </c>
      <c r="DQ197" s="13">
        <f t="shared" si="176"/>
        <v>9.2325701996134334E-13</v>
      </c>
      <c r="DR197" s="20">
        <f t="shared" si="177"/>
        <v>1.708394296311803E-12</v>
      </c>
      <c r="DS197" s="59">
        <f t="shared" si="197"/>
        <v>290.25878253422144</v>
      </c>
      <c r="DT197" s="59">
        <f ca="1">AVERAGE(OFFSET($DS$3,0,0,'Données projet'!$E$14+1,1))-AVERAGE(OFFSET($H$3,0,0,'Données projet'!$E$14+1,1))</f>
        <v>392.49465607243178</v>
      </c>
      <c r="DU197" s="59">
        <f t="shared" ref="DU197:DU203" si="209">$DU$3</f>
        <v>258.031856676031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17.648690021233261</v>
      </c>
      <c r="EB197" s="21">
        <f>EXP(-LN(2)/25)*EB196+(1-EXP(-LN(2)/25))/(LN(2)/25)*Calculateur!DW197*Calculateur!DY197*VLOOKUP('Données projet'!$B$14,Paramètres!$A$1:$I$89,3,0)*0.475*44/12</f>
        <v>6.8622814116347257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24.510971432867986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294.24530606293143</v>
      </c>
      <c r="EP197" s="59">
        <f t="shared" ref="EP197:EP203" si="210">$EP$3</f>
        <v>275.88160405468193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14.928492105332486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14.928492105332486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1.1368683772161603E-13</v>
      </c>
      <c r="FF197" s="17">
        <f>FE197*VLOOKUP('Données projet'!$B$16,Paramètres!$A$1:$I$89,3,0)*VLOOKUP('Données projet'!$B$16,Paramètres!$A$1:$I$89,5,0)</f>
        <v>8.3355189417488869E-14</v>
      </c>
      <c r="FG197" s="13">
        <f t="shared" si="182"/>
        <v>1.2790518435140618E-12</v>
      </c>
      <c r="FH197" s="20">
        <f t="shared" si="183"/>
        <v>2.3728589156891171E-12</v>
      </c>
      <c r="FI197" s="59">
        <f t="shared" si="199"/>
        <v>290.25878253422212</v>
      </c>
      <c r="FJ197" s="59">
        <f ca="1">AVERAGE(OFFSET($FI$3,0,0,'Données projet'!$E$16+1,1))-AVERAGE(OFFSET($H$3,0,0,'Données projet'!$E$16+1,1))</f>
        <v>214.31585175697521</v>
      </c>
      <c r="FK197" s="59">
        <f t="shared" ref="FK197:FK203" si="211">$FK$3</f>
        <v>244.60383864821372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6.9328918458676405</v>
      </c>
      <c r="FR197" s="21">
        <f>EXP(-LN(2)/25)*FR196+(1-EXP(-LN(2)/25))/(LN(2)/25)*Calculateur!FM197*Calculateur!FO197*VLOOKUP('Données projet'!$B$16,Paramètres!$A$1:$I$89,3,0)*0.475*44/12</f>
        <v>0</v>
      </c>
      <c r="FS197" s="21">
        <f>EXP(-LN(2)/2)*FS196+(1-EXP(-LN(2)/2))/(LN(2)/2)*FM197*FP197*VLOOKUP('Données projet'!$B$16,Paramètres!$A$1:$I$89,3,0)*0.475*44/12</f>
        <v>0</v>
      </c>
      <c r="FT197" s="22">
        <f t="shared" si="184"/>
        <v>6.9328918458676405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-5.6843418860808015E-14</v>
      </c>
      <c r="GA197" s="17">
        <f>FZ197*VLOOKUP('Données projet'!$B$17,Paramètres!$A$1:$I$89,3,0)*VLOOKUP('Données projet'!$B$17,Paramètres!$A$1:$I$89,5,0)</f>
        <v>-4.5224624045658861E-14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308.33954512886351</v>
      </c>
      <c r="GF197" s="59">
        <f t="shared" ref="GF197:GF203" si="212">$GF$3</f>
        <v>408.79075392716277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9.5996364336150481</v>
      </c>
      <c r="GM197" s="21">
        <f>EXP(-LN(2)/25)*GM196+(1-EXP(-LN(2)/25))/(LN(2)/25)*Calculateur!GH197*Calculateur!GJ197*VLOOKUP('Données projet'!$B$17,Paramètres!$A$1:$I$89,3,0)*0.475*44/12</f>
        <v>0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9.5996364336150481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342.84342155097613</v>
      </c>
      <c r="T198" s="59">
        <f t="shared" si="204"/>
        <v>565.68976940602215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8.87043596606709</v>
      </c>
      <c r="AA198" s="21">
        <f>EXP(-LN(2)/25)*AA197+(1-EXP(-LN(2)/25))/(LN(2)/25)*Calculateur!V198*Calculateur!X198*VLOOKUP('Données projet'!$B$9,Paramètres!$A$1:$I$89,3,0)*0.475*44/12</f>
        <v>1.3802630391638635</v>
      </c>
      <c r="AB198" s="21">
        <f>EXP(-LN(2)/2)*AB197+(1-EXP(-LN(2)/2))/(LN(2)/2)*V198*Y198*VLOOKUP('Données projet'!$B$9,Paramètres!$A$1:$I$89,3,0)*0.475*44/12</f>
        <v>1.0955828325283123E-21</v>
      </c>
      <c r="AC198" s="22">
        <f t="shared" si="163"/>
        <v>10.250699005230953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320.33056209214476</v>
      </c>
      <c r="AO198" s="59">
        <f t="shared" si="205"/>
        <v>299.27200854723446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2.7889240999986664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2.7889240999986664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256.85706398254547</v>
      </c>
      <c r="BJ198" s="59">
        <f t="shared" si="206"/>
        <v>363.68094621014734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10.104398892489471</v>
      </c>
      <c r="BQ198" s="21">
        <f>EXP(-LN(2)/25)*BQ197+(1-EXP(-LN(2)/25))/(LN(2)/25)*Calculateur!BL198*Calculateur!BN198*VLOOKUP('Données projet'!$B$11,Paramètres!$A$1:$I$89,3,0)*0.475*44/12</f>
        <v>1.2776913355774664</v>
      </c>
      <c r="BR198" s="21">
        <f>EXP(-LN(2)/2)*BR197+(1-EXP(-LN(2)/2))/(LN(2)/2)*BL198*BO198*VLOOKUP('Données projet'!$B$11,Paramètres!$A$1:$I$89,3,0)*0.475*44/12</f>
        <v>1.037010734275854E-19</v>
      </c>
      <c r="BS198" s="22">
        <f t="shared" si="169"/>
        <v>11.382090228066938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5.6843418860808015E-14</v>
      </c>
      <c r="BZ198" s="13">
        <f>BY198*VLOOKUP('Données projet'!$B$12,Paramètres!$A$1:$I$89,3,0)*VLOOKUP('Données projet'!$B$12,Paramètres!$A$1:$I$89,5,0)</f>
        <v>5.1431925385259088E-14</v>
      </c>
      <c r="CA198" s="13">
        <f t="shared" si="170"/>
        <v>8.3482866290946129E-13</v>
      </c>
      <c r="CB198" s="20">
        <f t="shared" si="171"/>
        <v>1.5435705246133045E-12</v>
      </c>
      <c r="CC198" s="59">
        <f t="shared" si="195"/>
        <v>290.31211911692003</v>
      </c>
      <c r="CD198" s="59">
        <f ca="1">AVERAGE(OFFSET($CC$3,0,0,'Données projet'!$E$12+1,1))-AVERAGE(OFFSET($H$3,0,0,'Données projet'!$E$12+1,1))</f>
        <v>357.68828740212223</v>
      </c>
      <c r="CE198" s="59">
        <f t="shared" si="207"/>
        <v>236.76626845829483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15.439251977295122</v>
      </c>
      <c r="CL198" s="21">
        <f>EXP(-LN(2)/25)*CL197+(1-EXP(-LN(2)/25))/(LN(2)/25)*Calculateur!CG198*Calculateur!CI198*VLOOKUP('Données projet'!$B$12,Paramètres!$A$1:$I$89,3,0)*0.475*44/12</f>
        <v>5.955825446193681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21.395077423488804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257.00000000000006</v>
      </c>
      <c r="CU198" s="17">
        <f>CT198*VLOOKUP('Données projet'!$B$13,Paramètres!$A$1:$I$89,3,0)*VLOOKUP('Données projet'!$B$13,Paramètres!$A$1:$I$89,5,0)</f>
        <v>168.38640000000004</v>
      </c>
      <c r="CV198" s="13">
        <f t="shared" si="173"/>
        <v>42.728430513203243</v>
      </c>
      <c r="CW198" s="20">
        <f t="shared" si="174"/>
        <v>367.69166314382898</v>
      </c>
      <c r="CX198" s="59">
        <f t="shared" si="196"/>
        <v>658.00378226074747</v>
      </c>
      <c r="CY198" s="59">
        <f ca="1">AVERAGE(OFFSET($CX$3,0,0,'Données projet'!$E$13+1,1))-AVERAGE(OFFSET($H$3,0,0,'Données projet'!$E$13+1,1))</f>
        <v>220.18342986563667</v>
      </c>
      <c r="CZ198" s="59">
        <f t="shared" si="208"/>
        <v>347.84382145531163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1.5052575865168931E-24</v>
      </c>
      <c r="DI198" s="22">
        <f t="shared" si="175"/>
        <v>1.5052575865168931E-24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5.7639226724859328E-14</v>
      </c>
      <c r="DQ198" s="13">
        <f t="shared" si="176"/>
        <v>9.2325701996134334E-13</v>
      </c>
      <c r="DR198" s="20">
        <f t="shared" si="177"/>
        <v>1.708394296311803E-12</v>
      </c>
      <c r="DS198" s="59">
        <f t="shared" si="197"/>
        <v>290.3121191169202</v>
      </c>
      <c r="DT198" s="59">
        <f ca="1">AVERAGE(OFFSET($DS$3,0,0,'Données projet'!$E$14+1,1))-AVERAGE(OFFSET($H$3,0,0,'Données projet'!$E$14+1,1))</f>
        <v>392.49465607243178</v>
      </c>
      <c r="DU198" s="59">
        <f t="shared" si="209"/>
        <v>258.031856676031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17.302609974554869</v>
      </c>
      <c r="EB198" s="21">
        <f>EXP(-LN(2)/25)*EB197+(1-EXP(-LN(2)/25))/(LN(2)/25)*Calculateur!DW198*Calculateur!DY198*VLOOKUP('Données projet'!$B$14,Paramètres!$A$1:$I$89,3,0)*0.475*44/12</f>
        <v>6.6746319655618791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23.977241940116748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294.24530606293143</v>
      </c>
      <c r="EP198" s="59">
        <f t="shared" si="210"/>
        <v>275.88160405468193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14.63575348062801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14.63575348062801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1.1368683772161603E-13</v>
      </c>
      <c r="FF198" s="17">
        <f>FE198*VLOOKUP('Données projet'!$B$16,Paramètres!$A$1:$I$89,3,0)*VLOOKUP('Données projet'!$B$16,Paramètres!$A$1:$I$89,5,0)</f>
        <v>8.3355189417488869E-14</v>
      </c>
      <c r="FG198" s="13">
        <f t="shared" si="182"/>
        <v>1.2790518435140618E-12</v>
      </c>
      <c r="FH198" s="20">
        <f t="shared" si="183"/>
        <v>2.3728589156891171E-12</v>
      </c>
      <c r="FI198" s="59">
        <f t="shared" si="199"/>
        <v>290.31211911692088</v>
      </c>
      <c r="FJ198" s="59">
        <f ca="1">AVERAGE(OFFSET($FI$3,0,0,'Données projet'!$E$16+1,1))-AVERAGE(OFFSET($H$3,0,0,'Données projet'!$E$16+1,1))</f>
        <v>214.31585175697521</v>
      </c>
      <c r="FK198" s="59">
        <f t="shared" si="211"/>
        <v>244.60383864821372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6.7969420654166575</v>
      </c>
      <c r="FR198" s="21">
        <f>EXP(-LN(2)/25)*FR197+(1-EXP(-LN(2)/25))/(LN(2)/25)*Calculateur!FM198*Calculateur!FO198*VLOOKUP('Données projet'!$B$16,Paramètres!$A$1:$I$89,3,0)*0.475*44/12</f>
        <v>0</v>
      </c>
      <c r="FS198" s="21">
        <f>EXP(-LN(2)/2)*FS197+(1-EXP(-LN(2)/2))/(LN(2)/2)*FM198*FP198*VLOOKUP('Données projet'!$B$16,Paramètres!$A$1:$I$89,3,0)*0.475*44/12</f>
        <v>0</v>
      </c>
      <c r="FT198" s="22">
        <f t="shared" si="184"/>
        <v>6.7969420654166575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-5.6843418860808015E-14</v>
      </c>
      <c r="GA198" s="17">
        <f>FZ198*VLOOKUP('Données projet'!$B$17,Paramètres!$A$1:$I$89,3,0)*VLOOKUP('Données projet'!$B$17,Paramètres!$A$1:$I$89,5,0)</f>
        <v>-4.5224624045658861E-14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308.33954512886351</v>
      </c>
      <c r="GF198" s="59">
        <f t="shared" si="212"/>
        <v>408.79075392716277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9.4113934183519294</v>
      </c>
      <c r="GM198" s="21">
        <f>EXP(-LN(2)/25)*GM197+(1-EXP(-LN(2)/25))/(LN(2)/25)*Calculateur!GH198*Calculateur!GJ198*VLOOKUP('Données projet'!$B$17,Paramètres!$A$1:$I$89,3,0)*0.475*44/12</f>
        <v>0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9.4113934183519294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342.84342155097613</v>
      </c>
      <c r="T199" s="59">
        <f t="shared" si="204"/>
        <v>565.68976940602215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8.6964921272042179</v>
      </c>
      <c r="AA199" s="21">
        <f>EXP(-LN(2)/25)*AA198+(1-EXP(-LN(2)/25))/(LN(2)/25)*Calculateur!V199*Calculateur!X199*VLOOKUP('Données projet'!$B$9,Paramètres!$A$1:$I$89,3,0)*0.475*44/12</f>
        <v>1.3425196737730491</v>
      </c>
      <c r="AB199" s="21">
        <f>EXP(-LN(2)/2)*AB198+(1-EXP(-LN(2)/2))/(LN(2)/2)*V199*Y199*VLOOKUP('Données projet'!$B$9,Paramètres!$A$1:$I$89,3,0)*0.475*44/12</f>
        <v>7.7469405023233531E-22</v>
      </c>
      <c r="AC199" s="22">
        <f t="shared" si="163"/>
        <v>10.039011800977267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320.33056209214476</v>
      </c>
      <c r="AO199" s="59">
        <f t="shared" si="205"/>
        <v>299.27200854723446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2.7126608238210586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2.7126608238210586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256.85706398254547</v>
      </c>
      <c r="BJ199" s="59">
        <f t="shared" si="206"/>
        <v>363.68094621014734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9.9062577932825242</v>
      </c>
      <c r="BQ199" s="21">
        <f>EXP(-LN(2)/25)*BQ198+(1-EXP(-LN(2)/25))/(LN(2)/25)*Calculateur!BL199*Calculateur!BN199*VLOOKUP('Données projet'!$B$11,Paramètres!$A$1:$I$89,3,0)*0.475*44/12</f>
        <v>1.2427527988152334</v>
      </c>
      <c r="BR199" s="21">
        <f>EXP(-LN(2)/2)*BR198+(1-EXP(-LN(2)/2))/(LN(2)/2)*BL199*BO199*VLOOKUP('Données projet'!$B$11,Paramètres!$A$1:$I$89,3,0)*0.475*44/12</f>
        <v>7.332773223696973E-20</v>
      </c>
      <c r="BS199" s="22">
        <f t="shared" si="169"/>
        <v>11.149010592097758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5.6843418860808015E-14</v>
      </c>
      <c r="BZ199" s="13">
        <f>BY199*VLOOKUP('Données projet'!$B$12,Paramètres!$A$1:$I$89,3,0)*VLOOKUP('Données projet'!$B$12,Paramètres!$A$1:$I$89,5,0)</f>
        <v>5.1431925385259088E-14</v>
      </c>
      <c r="CA199" s="13">
        <f t="shared" si="170"/>
        <v>8.3482866290946129E-13</v>
      </c>
      <c r="CB199" s="20">
        <f t="shared" si="171"/>
        <v>1.5435705246133045E-12</v>
      </c>
      <c r="CC199" s="59">
        <f t="shared" si="195"/>
        <v>290.36453042915173</v>
      </c>
      <c r="CD199" s="59">
        <f ca="1">AVERAGE(OFFSET($CC$3,0,0,'Données projet'!$E$12+1,1))-AVERAGE(OFFSET($H$3,0,0,'Données projet'!$E$12+1,1))</f>
        <v>357.68828740212223</v>
      </c>
      <c r="CE199" s="59">
        <f t="shared" si="207"/>
        <v>236.76626845829483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15.136497663034218</v>
      </c>
      <c r="CL199" s="21">
        <f>EXP(-LN(2)/25)*CL198+(1-EXP(-LN(2)/25))/(LN(2)/25)*Calculateur!CG199*Calculateur!CI199*VLOOKUP('Données projet'!$B$12,Paramètres!$A$1:$I$89,3,0)*0.475*44/12</f>
        <v>5.7929630861642671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20.929460749198483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257.00000000000006</v>
      </c>
      <c r="CU199" s="17">
        <f>CT199*VLOOKUP('Données projet'!$B$13,Paramètres!$A$1:$I$89,3,0)*VLOOKUP('Données projet'!$B$13,Paramètres!$A$1:$I$89,5,0)</f>
        <v>168.38640000000004</v>
      </c>
      <c r="CV199" s="13">
        <f t="shared" si="173"/>
        <v>42.728430513203243</v>
      </c>
      <c r="CW199" s="20">
        <f t="shared" si="174"/>
        <v>367.69166314382898</v>
      </c>
      <c r="CX199" s="59">
        <f t="shared" si="196"/>
        <v>658.05619357297917</v>
      </c>
      <c r="CY199" s="59">
        <f ca="1">AVERAGE(OFFSET($CX$3,0,0,'Données projet'!$E$13+1,1))-AVERAGE(OFFSET($H$3,0,0,'Données projet'!$E$13+1,1))</f>
        <v>220.18342986563667</v>
      </c>
      <c r="CZ199" s="59">
        <f t="shared" si="208"/>
        <v>347.84382145531163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1.0643778468585913E-24</v>
      </c>
      <c r="DI199" s="22">
        <f t="shared" si="175"/>
        <v>1.0643778468585913E-24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5.7639226724859328E-14</v>
      </c>
      <c r="DQ199" s="13">
        <f t="shared" si="176"/>
        <v>9.2325701996134334E-13</v>
      </c>
      <c r="DR199" s="20">
        <f t="shared" si="177"/>
        <v>1.708394296311803E-12</v>
      </c>
      <c r="DS199" s="59">
        <f t="shared" si="197"/>
        <v>290.3645304291519</v>
      </c>
      <c r="DT199" s="59">
        <f ca="1">AVERAGE(OFFSET($DS$3,0,0,'Données projet'!$E$14+1,1))-AVERAGE(OFFSET($H$3,0,0,'Données projet'!$E$14+1,1))</f>
        <v>392.49465607243178</v>
      </c>
      <c r="DU199" s="59">
        <f t="shared" si="209"/>
        <v>258.031856676031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16.963316346503856</v>
      </c>
      <c r="EB199" s="21">
        <f>EXP(-LN(2)/25)*EB198+(1-EXP(-LN(2)/25))/(LN(2)/25)*Calculateur!DW199*Calculateur!DY199*VLOOKUP('Données projet'!$B$14,Paramètres!$A$1:$I$89,3,0)*0.475*44/12</f>
        <v>6.4921138034599499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23.455430149963806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294.24530606293143</v>
      </c>
      <c r="EP199" s="59">
        <f t="shared" si="210"/>
        <v>275.88160405468193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14.348755281801056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14.348755281801056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1.1368683772161603E-13</v>
      </c>
      <c r="FF199" s="17">
        <f>FE199*VLOOKUP('Données projet'!$B$16,Paramètres!$A$1:$I$89,3,0)*VLOOKUP('Données projet'!$B$16,Paramètres!$A$1:$I$89,5,0)</f>
        <v>8.3355189417488869E-14</v>
      </c>
      <c r="FG199" s="13">
        <f t="shared" si="182"/>
        <v>1.2790518435140618E-12</v>
      </c>
      <c r="FH199" s="20">
        <f t="shared" si="183"/>
        <v>2.3728589156891171E-12</v>
      </c>
      <c r="FI199" s="59">
        <f t="shared" si="199"/>
        <v>290.36453042915258</v>
      </c>
      <c r="FJ199" s="59">
        <f ca="1">AVERAGE(OFFSET($FI$3,0,0,'Données projet'!$E$16+1,1))-AVERAGE(OFFSET($H$3,0,0,'Données projet'!$E$16+1,1))</f>
        <v>214.31585175697521</v>
      </c>
      <c r="FK199" s="59">
        <f t="shared" si="211"/>
        <v>244.60383864821372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6.6636581772391406</v>
      </c>
      <c r="FR199" s="21">
        <f>EXP(-LN(2)/25)*FR198+(1-EXP(-LN(2)/25))/(LN(2)/25)*Calculateur!FM199*Calculateur!FO199*VLOOKUP('Données projet'!$B$16,Paramètres!$A$1:$I$89,3,0)*0.475*44/12</f>
        <v>0</v>
      </c>
      <c r="FS199" s="21">
        <f>EXP(-LN(2)/2)*FS198+(1-EXP(-LN(2)/2))/(LN(2)/2)*FM199*FP199*VLOOKUP('Données projet'!$B$16,Paramètres!$A$1:$I$89,3,0)*0.475*44/12</f>
        <v>0</v>
      </c>
      <c r="FT199" s="22">
        <f t="shared" si="184"/>
        <v>6.6636581772391406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-5.6843418860808015E-14</v>
      </c>
      <c r="GA199" s="17">
        <f>FZ199*VLOOKUP('Données projet'!$B$17,Paramètres!$A$1:$I$89,3,0)*VLOOKUP('Données projet'!$B$17,Paramètres!$A$1:$I$89,5,0)</f>
        <v>-4.5224624045658861E-14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308.33954512886351</v>
      </c>
      <c r="GF199" s="59">
        <f t="shared" si="212"/>
        <v>408.79075392716277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9.2268417338012174</v>
      </c>
      <c r="GM199" s="21">
        <f>EXP(-LN(2)/25)*GM198+(1-EXP(-LN(2)/25))/(LN(2)/25)*Calculateur!GH199*Calculateur!GJ199*VLOOKUP('Données projet'!$B$17,Paramètres!$A$1:$I$89,3,0)*0.475*44/12</f>
        <v>0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9.2268417338012174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342.84342155097613</v>
      </c>
      <c r="T200" s="59">
        <f t="shared" si="204"/>
        <v>565.68976940602215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8.5259592209261807</v>
      </c>
      <c r="AA200" s="21">
        <f>EXP(-LN(2)/25)*AA199+(1-EXP(-LN(2)/25))/(LN(2)/25)*Calculateur!V200*Calculateur!X200*VLOOKUP('Données projet'!$B$9,Paramètres!$A$1:$I$89,3,0)*0.475*44/12</f>
        <v>1.3058084026936838</v>
      </c>
      <c r="AB200" s="21">
        <f>EXP(-LN(2)/2)*AB199+(1-EXP(-LN(2)/2))/(LN(2)/2)*V200*Y200*VLOOKUP('Données projet'!$B$9,Paramètres!$A$1:$I$89,3,0)*0.475*44/12</f>
        <v>5.4779141626415617E-22</v>
      </c>
      <c r="AC200" s="22">
        <f t="shared" si="163"/>
        <v>9.8317676236198643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320.33056209214476</v>
      </c>
      <c r="AO200" s="59">
        <f t="shared" si="205"/>
        <v>299.27200854723446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2.6384829709410389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2.6384829709410389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256.85706398254547</v>
      </c>
      <c r="BJ200" s="59">
        <f t="shared" si="206"/>
        <v>363.68094621014734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9.7120021201768889</v>
      </c>
      <c r="BQ200" s="21">
        <f>EXP(-LN(2)/25)*BQ199+(1-EXP(-LN(2)/25))/(LN(2)/25)*Calculateur!BL200*Calculateur!BN200*VLOOKUP('Données projet'!$B$11,Paramètres!$A$1:$I$89,3,0)*0.475*44/12</f>
        <v>1.2087696581781016</v>
      </c>
      <c r="BR200" s="21">
        <f>EXP(-LN(2)/2)*BR199+(1-EXP(-LN(2)/2))/(LN(2)/2)*BL200*BO200*VLOOKUP('Données projet'!$B$11,Paramètres!$A$1:$I$89,3,0)*0.475*44/12</f>
        <v>5.1850536713792702E-20</v>
      </c>
      <c r="BS200" s="22">
        <f t="shared" si="169"/>
        <v>10.92077177835499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5.6843418860808015E-14</v>
      </c>
      <c r="BZ200" s="13">
        <f>BY200*VLOOKUP('Données projet'!$B$12,Paramètres!$A$1:$I$89,3,0)*VLOOKUP('Données projet'!$B$12,Paramètres!$A$1:$I$89,5,0)</f>
        <v>5.1431925385259088E-14</v>
      </c>
      <c r="CA200" s="13">
        <f t="shared" si="170"/>
        <v>8.3482866290946129E-13</v>
      </c>
      <c r="CB200" s="20">
        <f t="shared" si="171"/>
        <v>1.5435705246133045E-12</v>
      </c>
      <c r="CC200" s="59">
        <f t="shared" si="195"/>
        <v>290.41603252229032</v>
      </c>
      <c r="CD200" s="59">
        <f ca="1">AVERAGE(OFFSET($CC$3,0,0,'Données projet'!$E$12+1,1))-AVERAGE(OFFSET($H$3,0,0,'Données projet'!$E$12+1,1))</f>
        <v>357.68828740212223</v>
      </c>
      <c r="CE200" s="59">
        <f t="shared" si="207"/>
        <v>236.76626845829483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14.839680176214072</v>
      </c>
      <c r="CL200" s="21">
        <f>EXP(-LN(2)/25)*CL199+(1-EXP(-LN(2)/25))/(LN(2)/25)*Calculateur!CG200*Calculateur!CI200*VLOOKUP('Données projet'!$B$12,Paramètres!$A$1:$I$89,3,0)*0.475*44/12</f>
        <v>5.6345542059344167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20.474234382148488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257.00000000000006</v>
      </c>
      <c r="CU200" s="17">
        <f>CT200*VLOOKUP('Données projet'!$B$13,Paramètres!$A$1:$I$89,3,0)*VLOOKUP('Données projet'!$B$13,Paramètres!$A$1:$I$89,5,0)</f>
        <v>168.38640000000004</v>
      </c>
      <c r="CV200" s="13">
        <f t="shared" si="173"/>
        <v>42.728430513203243</v>
      </c>
      <c r="CW200" s="20">
        <f t="shared" si="174"/>
        <v>367.69166314382898</v>
      </c>
      <c r="CX200" s="59">
        <f t="shared" si="196"/>
        <v>658.10769566611771</v>
      </c>
      <c r="CY200" s="59">
        <f ca="1">AVERAGE(OFFSET($CX$3,0,0,'Données projet'!$E$13+1,1))-AVERAGE(OFFSET($H$3,0,0,'Données projet'!$E$13+1,1))</f>
        <v>220.18342986563667</v>
      </c>
      <c r="CZ200" s="59">
        <f t="shared" si="208"/>
        <v>347.84382145531163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7.5262879325844654E-25</v>
      </c>
      <c r="DI200" s="22">
        <f t="shared" si="175"/>
        <v>7.5262879325844654E-25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5.7639226724859328E-14</v>
      </c>
      <c r="DQ200" s="13">
        <f t="shared" si="176"/>
        <v>9.2325701996134334E-13</v>
      </c>
      <c r="DR200" s="20">
        <f t="shared" si="177"/>
        <v>1.708394296311803E-12</v>
      </c>
      <c r="DS200" s="59">
        <f t="shared" si="197"/>
        <v>290.41603252229049</v>
      </c>
      <c r="DT200" s="59">
        <f ca="1">AVERAGE(OFFSET($DS$3,0,0,'Données projet'!$E$14+1,1))-AVERAGE(OFFSET($H$3,0,0,'Données projet'!$E$14+1,1))</f>
        <v>392.49465607243178</v>
      </c>
      <c r="DU200" s="59">
        <f t="shared" si="209"/>
        <v>258.031856676031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16.630676059550243</v>
      </c>
      <c r="EB200" s="21">
        <f>EXP(-LN(2)/25)*EB199+(1-EXP(-LN(2)/25))/(LN(2)/25)*Calculateur!DW200*Calculateur!DY200*VLOOKUP('Données projet'!$B$14,Paramètres!$A$1:$I$89,3,0)*0.475*44/12</f>
        <v>6.3145866100989103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22.945262669649154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294.24530606293143</v>
      </c>
      <c r="EP200" s="59">
        <f t="shared" si="210"/>
        <v>275.88160405468193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14.067384942601484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14.067384942601484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1.1368683772161603E-13</v>
      </c>
      <c r="FF200" s="17">
        <f>FE200*VLOOKUP('Données projet'!$B$16,Paramètres!$A$1:$I$89,3,0)*VLOOKUP('Données projet'!$B$16,Paramètres!$A$1:$I$89,5,0)</f>
        <v>8.3355189417488869E-14</v>
      </c>
      <c r="FG200" s="13">
        <f t="shared" si="182"/>
        <v>1.2790518435140618E-12</v>
      </c>
      <c r="FH200" s="20">
        <f t="shared" si="183"/>
        <v>2.3728589156891171E-12</v>
      </c>
      <c r="FI200" s="59">
        <f t="shared" si="199"/>
        <v>290.41603252229118</v>
      </c>
      <c r="FJ200" s="59">
        <f ca="1">AVERAGE(OFFSET($FI$3,0,0,'Données projet'!$E$16+1,1))-AVERAGE(OFFSET($H$3,0,0,'Données projet'!$E$16+1,1))</f>
        <v>214.31585175697521</v>
      </c>
      <c r="FK200" s="59">
        <f t="shared" si="211"/>
        <v>244.60383864821372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6.5329879048136403</v>
      </c>
      <c r="FR200" s="21">
        <f>EXP(-LN(2)/25)*FR199+(1-EXP(-LN(2)/25))/(LN(2)/25)*Calculateur!FM200*Calculateur!FO200*VLOOKUP('Données projet'!$B$16,Paramètres!$A$1:$I$89,3,0)*0.475*44/12</f>
        <v>0</v>
      </c>
      <c r="FS200" s="21">
        <f>EXP(-LN(2)/2)*FS199+(1-EXP(-LN(2)/2))/(LN(2)/2)*FM200*FP200*VLOOKUP('Données projet'!$B$16,Paramètres!$A$1:$I$89,3,0)*0.475*44/12</f>
        <v>0</v>
      </c>
      <c r="FT200" s="22">
        <f t="shared" si="184"/>
        <v>6.5329879048136403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-5.6843418860808015E-14</v>
      </c>
      <c r="GA200" s="17">
        <f>FZ200*VLOOKUP('Données projet'!$B$17,Paramètres!$A$1:$I$89,3,0)*VLOOKUP('Données projet'!$B$17,Paramètres!$A$1:$I$89,5,0)</f>
        <v>-4.5224624045658861E-14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308.33954512886351</v>
      </c>
      <c r="GF200" s="59">
        <f t="shared" si="212"/>
        <v>408.79075392716277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9.0459089952191327</v>
      </c>
      <c r="GM200" s="21">
        <f>EXP(-LN(2)/25)*GM199+(1-EXP(-LN(2)/25))/(LN(2)/25)*Calculateur!GH200*Calculateur!GJ200*VLOOKUP('Données projet'!$B$17,Paramètres!$A$1:$I$89,3,0)*0.475*44/12</f>
        <v>0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9.0459089952191327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342.84342155097613</v>
      </c>
      <c r="T201" s="59">
        <f t="shared" si="204"/>
        <v>565.68976940602215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8.3587703609254547</v>
      </c>
      <c r="AA201" s="21">
        <f>EXP(-LN(2)/25)*AA200+(1-EXP(-LN(2)/25))/(LN(2)/25)*Calculateur!V201*Calculateur!X201*VLOOKUP('Données projet'!$B$9,Paramètres!$A$1:$I$89,3,0)*0.475*44/12</f>
        <v>1.2701010032525455</v>
      </c>
      <c r="AB201" s="21">
        <f>EXP(-LN(2)/2)*AB200+(1-EXP(-LN(2)/2))/(LN(2)/2)*V201*Y201*VLOOKUP('Données projet'!$B$9,Paramètres!$A$1:$I$89,3,0)*0.475*44/12</f>
        <v>3.8734702511616765E-22</v>
      </c>
      <c r="AC201" s="22">
        <f t="shared" si="163"/>
        <v>9.6288713641779999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320.33056209214476</v>
      </c>
      <c r="AO201" s="59">
        <f t="shared" si="205"/>
        <v>299.27200854723446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2.5663335153488669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2.5663335153488669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256.85706398254547</v>
      </c>
      <c r="BJ201" s="59">
        <f t="shared" si="206"/>
        <v>363.68094621014734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9.5215556823365937</v>
      </c>
      <c r="BQ201" s="21">
        <f>EXP(-LN(2)/25)*BQ200+(1-EXP(-LN(2)/25))/(LN(2)/25)*Calculateur!BL201*Calculateur!BN201*VLOOKUP('Données projet'!$B$11,Paramètres!$A$1:$I$89,3,0)*0.475*44/12</f>
        <v>1.1757157883087876</v>
      </c>
      <c r="BR201" s="21">
        <f>EXP(-LN(2)/2)*BR200+(1-EXP(-LN(2)/2))/(LN(2)/2)*BL201*BO201*VLOOKUP('Données projet'!$B$11,Paramètres!$A$1:$I$89,3,0)*0.475*44/12</f>
        <v>3.6663866118484865E-20</v>
      </c>
      <c r="BS201" s="22">
        <f t="shared" si="169"/>
        <v>10.697271470645381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5.6843418860808015E-14</v>
      </c>
      <c r="BZ201" s="13">
        <f>BY201*VLOOKUP('Données projet'!$B$12,Paramètres!$A$1:$I$89,3,0)*VLOOKUP('Données projet'!$B$12,Paramètres!$A$1:$I$89,5,0)</f>
        <v>5.1431925385259088E-14</v>
      </c>
      <c r="CA201" s="13">
        <f t="shared" si="170"/>
        <v>8.3482866290946129E-13</v>
      </c>
      <c r="CB201" s="20">
        <f t="shared" si="171"/>
        <v>1.5435705246133045E-12</v>
      </c>
      <c r="CC201" s="59">
        <f t="shared" si="195"/>
        <v>290.46664116925444</v>
      </c>
      <c r="CD201" s="59">
        <f ca="1">AVERAGE(OFFSET($CC$3,0,0,'Données projet'!$E$12+1,1))-AVERAGE(OFFSET($H$3,0,0,'Données projet'!$E$12+1,1))</f>
        <v>357.68828740212223</v>
      </c>
      <c r="CE201" s="59">
        <f t="shared" si="207"/>
        <v>236.76626845829483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14.548683099269679</v>
      </c>
      <c r="CL201" s="21">
        <f>EXP(-LN(2)/25)*CL200+(1-EXP(-LN(2)/25))/(LN(2)/25)*Calculateur!CG201*Calculateur!CI201*VLOOKUP('Données projet'!$B$12,Paramètres!$A$1:$I$89,3,0)*0.475*44/12</f>
        <v>5.480477024864812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20.029160124134492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257.00000000000006</v>
      </c>
      <c r="CU201" s="17">
        <f>CT201*VLOOKUP('Données projet'!$B$13,Paramètres!$A$1:$I$89,3,0)*VLOOKUP('Données projet'!$B$13,Paramètres!$A$1:$I$89,5,0)</f>
        <v>168.38640000000004</v>
      </c>
      <c r="CV201" s="13">
        <f t="shared" si="173"/>
        <v>42.728430513203243</v>
      </c>
      <c r="CW201" s="20">
        <f t="shared" si="174"/>
        <v>367.69166314382898</v>
      </c>
      <c r="CX201" s="59">
        <f t="shared" si="196"/>
        <v>658.15830431308189</v>
      </c>
      <c r="CY201" s="59">
        <f ca="1">AVERAGE(OFFSET($CX$3,0,0,'Données projet'!$E$13+1,1))-AVERAGE(OFFSET($H$3,0,0,'Données projet'!$E$13+1,1))</f>
        <v>220.18342986563667</v>
      </c>
      <c r="CZ201" s="59">
        <f t="shared" si="208"/>
        <v>347.84382145531163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5.3218892342929567E-25</v>
      </c>
      <c r="DI201" s="22">
        <f t="shared" si="175"/>
        <v>5.3218892342929567E-25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5.7639226724859328E-14</v>
      </c>
      <c r="DQ201" s="13">
        <f t="shared" si="176"/>
        <v>9.2325701996134334E-13</v>
      </c>
      <c r="DR201" s="20">
        <f t="shared" si="177"/>
        <v>1.708394296311803E-12</v>
      </c>
      <c r="DS201" s="59">
        <f t="shared" si="197"/>
        <v>290.46664116925461</v>
      </c>
      <c r="DT201" s="59">
        <f ca="1">AVERAGE(OFFSET($DS$3,0,0,'Données projet'!$E$14+1,1))-AVERAGE(OFFSET($H$3,0,0,'Données projet'!$E$14+1,1))</f>
        <v>392.49465607243178</v>
      </c>
      <c r="DU201" s="59">
        <f t="shared" si="209"/>
        <v>258.031856676031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16.304558645733252</v>
      </c>
      <c r="EB201" s="21">
        <f>EXP(-LN(2)/25)*EB200+(1-EXP(-LN(2)/25))/(LN(2)/25)*Calculateur!DW201*Calculateur!DY201*VLOOKUP('Données projet'!$B$14,Paramètres!$A$1:$I$89,3,0)*0.475*44/12</f>
        <v>6.141913907176078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22.446472552909331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294.24530606293143</v>
      </c>
      <c r="EP201" s="59">
        <f t="shared" si="210"/>
        <v>275.88160405468193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13.791532104134653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13.791532104134653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1.1368683772161603E-13</v>
      </c>
      <c r="FF201" s="17">
        <f>FE201*VLOOKUP('Données projet'!$B$16,Paramètres!$A$1:$I$89,3,0)*VLOOKUP('Données projet'!$B$16,Paramètres!$A$1:$I$89,5,0)</f>
        <v>8.3355189417488869E-14</v>
      </c>
      <c r="FG201" s="13">
        <f t="shared" si="182"/>
        <v>1.2790518435140618E-12</v>
      </c>
      <c r="FH201" s="20">
        <f t="shared" si="183"/>
        <v>2.3728589156891171E-12</v>
      </c>
      <c r="FI201" s="59">
        <f t="shared" si="199"/>
        <v>290.4666411692553</v>
      </c>
      <c r="FJ201" s="59">
        <f ca="1">AVERAGE(OFFSET($FI$3,0,0,'Données projet'!$E$16+1,1))-AVERAGE(OFFSET($H$3,0,0,'Données projet'!$E$16+1,1))</f>
        <v>214.31585175697521</v>
      </c>
      <c r="FK201" s="59">
        <f t="shared" si="211"/>
        <v>244.60383864821372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6.4048799967294077</v>
      </c>
      <c r="FR201" s="21">
        <f>EXP(-LN(2)/25)*FR200+(1-EXP(-LN(2)/25))/(LN(2)/25)*Calculateur!FM201*Calculateur!FO201*VLOOKUP('Données projet'!$B$16,Paramètres!$A$1:$I$89,3,0)*0.475*44/12</f>
        <v>0</v>
      </c>
      <c r="FS201" s="21">
        <f>EXP(-LN(2)/2)*FS200+(1-EXP(-LN(2)/2))/(LN(2)/2)*FM201*FP201*VLOOKUP('Données projet'!$B$16,Paramètres!$A$1:$I$89,3,0)*0.475*44/12</f>
        <v>0</v>
      </c>
      <c r="FT201" s="22">
        <f t="shared" si="184"/>
        <v>6.4048799967294077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-5.6843418860808015E-14</v>
      </c>
      <c r="GA201" s="17">
        <f>FZ201*VLOOKUP('Données projet'!$B$17,Paramètres!$A$1:$I$89,3,0)*VLOOKUP('Données projet'!$B$17,Paramètres!$A$1:$I$89,5,0)</f>
        <v>-4.5224624045658861E-14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308.33954512886351</v>
      </c>
      <c r="GF201" s="59">
        <f t="shared" si="212"/>
        <v>408.79075392716277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8.8685242372825694</v>
      </c>
      <c r="GM201" s="21">
        <f>EXP(-LN(2)/25)*GM200+(1-EXP(-LN(2)/25))/(LN(2)/25)*Calculateur!GH201*Calculateur!GJ201*VLOOKUP('Données projet'!$B$17,Paramètres!$A$1:$I$89,3,0)*0.475*44/12</f>
        <v>0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8.8685242372825694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342.84342155097613</v>
      </c>
      <c r="T202" s="59">
        <f t="shared" si="204"/>
        <v>565.68976940602215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8.1948599724942071</v>
      </c>
      <c r="AA202" s="21">
        <f>EXP(-LN(2)/25)*AA201+(1-EXP(-LN(2)/25))/(LN(2)/25)*Calculateur!V202*Calculateur!X202*VLOOKUP('Données projet'!$B$9,Paramètres!$A$1:$I$89,3,0)*0.475*44/12</f>
        <v>1.2353700245268957</v>
      </c>
      <c r="AB202" s="21">
        <f>EXP(-LN(2)/2)*AB201+(1-EXP(-LN(2)/2))/(LN(2)/2)*V202*Y202*VLOOKUP('Données projet'!$B$9,Paramètres!$A$1:$I$89,3,0)*0.475*44/12</f>
        <v>2.7389570813207809E-22</v>
      </c>
      <c r="AC202" s="22">
        <f t="shared" si="163"/>
        <v>9.4302299970211028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320.33056209214476</v>
      </c>
      <c r="AO202" s="59">
        <f t="shared" si="205"/>
        <v>299.27200854723446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2.4961569904140379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2.4961569904140379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256.85706398254547</v>
      </c>
      <c r="BJ202" s="59">
        <f t="shared" si="206"/>
        <v>363.68094621014734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9.3348437829814888</v>
      </c>
      <c r="BQ202" s="21">
        <f>EXP(-LN(2)/25)*BQ201+(1-EXP(-LN(2)/25))/(LN(2)/25)*Calculateur!BL202*Calculateur!BN202*VLOOKUP('Données projet'!$B$11,Paramètres!$A$1:$I$89,3,0)*0.475*44/12</f>
        <v>1.1435657782492776</v>
      </c>
      <c r="BR202" s="21">
        <f>EXP(-LN(2)/2)*BR201+(1-EXP(-LN(2)/2))/(LN(2)/2)*BL202*BO202*VLOOKUP('Données projet'!$B$11,Paramètres!$A$1:$I$89,3,0)*0.475*44/12</f>
        <v>2.5925268356896351E-20</v>
      </c>
      <c r="BS202" s="22">
        <f t="shared" si="169"/>
        <v>10.478409561230766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5.6843418860808015E-14</v>
      </c>
      <c r="BZ202" s="13">
        <f>BY202*VLOOKUP('Données projet'!$B$12,Paramètres!$A$1:$I$89,3,0)*VLOOKUP('Données projet'!$B$12,Paramètres!$A$1:$I$89,5,0)</f>
        <v>5.1431925385259088E-14</v>
      </c>
      <c r="CA202" s="13">
        <f t="shared" si="170"/>
        <v>8.3482866290946129E-13</v>
      </c>
      <c r="CB202" s="20">
        <f t="shared" si="171"/>
        <v>1.5435705246133045E-12</v>
      </c>
      <c r="CC202" s="59">
        <f t="shared" si="195"/>
        <v>290.51637186933766</v>
      </c>
      <c r="CD202" s="59">
        <f ca="1">AVERAGE(OFFSET($CC$3,0,0,'Données projet'!$E$12+1,1))-AVERAGE(OFFSET($H$3,0,0,'Données projet'!$E$12+1,1))</f>
        <v>357.68828740212223</v>
      </c>
      <c r="CE202" s="59">
        <f t="shared" si="207"/>
        <v>236.76626845829483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14.263392297513475</v>
      </c>
      <c r="CL202" s="21">
        <f>EXP(-LN(2)/25)*CL201+(1-EXP(-LN(2)/25))/(LN(2)/25)*Calculateur!CG202*Calculateur!CI202*VLOOKUP('Données projet'!$B$12,Paramètres!$A$1:$I$89,3,0)*0.475*44/12</f>
        <v>5.3306130924141231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19.594005389927599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257.00000000000006</v>
      </c>
      <c r="CU202" s="17">
        <f>CT202*VLOOKUP('Données projet'!$B$13,Paramètres!$A$1:$I$89,3,0)*VLOOKUP('Données projet'!$B$13,Paramètres!$A$1:$I$89,5,0)</f>
        <v>168.38640000000004</v>
      </c>
      <c r="CV202" s="13">
        <f t="shared" si="173"/>
        <v>42.728430513203243</v>
      </c>
      <c r="CW202" s="20">
        <f t="shared" si="174"/>
        <v>367.69166314382898</v>
      </c>
      <c r="CX202" s="59">
        <f t="shared" si="196"/>
        <v>658.20803501316504</v>
      </c>
      <c r="CY202" s="59">
        <f ca="1">AVERAGE(OFFSET($CX$3,0,0,'Données projet'!$E$13+1,1))-AVERAGE(OFFSET($H$3,0,0,'Données projet'!$E$13+1,1))</f>
        <v>220.18342986563667</v>
      </c>
      <c r="CZ202" s="59">
        <f t="shared" si="208"/>
        <v>347.84382145531163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3.7631439662922327E-25</v>
      </c>
      <c r="DI202" s="22">
        <f t="shared" si="175"/>
        <v>3.7631439662922327E-25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5.7639226724859328E-14</v>
      </c>
      <c r="DQ202" s="13">
        <f t="shared" si="176"/>
        <v>9.2325701996134334E-13</v>
      </c>
      <c r="DR202" s="20">
        <f t="shared" si="177"/>
        <v>1.708394296311803E-12</v>
      </c>
      <c r="DS202" s="59">
        <f t="shared" si="197"/>
        <v>290.51637186933783</v>
      </c>
      <c r="DT202" s="59">
        <f ca="1">AVERAGE(OFFSET($DS$3,0,0,'Données projet'!$E$14+1,1))-AVERAGE(OFFSET($H$3,0,0,'Données projet'!$E$14+1,1))</f>
        <v>392.49465607243178</v>
      </c>
      <c r="DU202" s="59">
        <f t="shared" si="209"/>
        <v>258.031856676031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15.98483619548923</v>
      </c>
      <c r="EB202" s="21">
        <f>EXP(-LN(2)/25)*EB201+(1-EXP(-LN(2)/25))/(LN(2)/25)*Calculateur!DW202*Calculateur!DY202*VLOOKUP('Données projet'!$B$14,Paramètres!$A$1:$I$89,3,0)*0.475*44/12</f>
        <v>5.9739629483951333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21.958799143884363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294.24530606293143</v>
      </c>
      <c r="EP202" s="59">
        <f t="shared" si="210"/>
        <v>275.88160405468193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13.52108857157654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13.52108857157654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1.1368683772161603E-13</v>
      </c>
      <c r="FF202" s="17">
        <f>FE202*VLOOKUP('Données projet'!$B$16,Paramètres!$A$1:$I$89,3,0)*VLOOKUP('Données projet'!$B$16,Paramètres!$A$1:$I$89,5,0)</f>
        <v>8.3355189417488869E-14</v>
      </c>
      <c r="FG202" s="13">
        <f t="shared" si="182"/>
        <v>1.2790518435140618E-12</v>
      </c>
      <c r="FH202" s="20">
        <f t="shared" si="183"/>
        <v>2.3728589156891171E-12</v>
      </c>
      <c r="FI202" s="59">
        <f t="shared" si="199"/>
        <v>290.51637186933851</v>
      </c>
      <c r="FJ202" s="59">
        <f ca="1">AVERAGE(OFFSET($FI$3,0,0,'Données projet'!$E$16+1,1))-AVERAGE(OFFSET($H$3,0,0,'Données projet'!$E$16+1,1))</f>
        <v>214.31585175697521</v>
      </c>
      <c r="FK202" s="59">
        <f t="shared" si="211"/>
        <v>244.60383864821372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6.279284206584598</v>
      </c>
      <c r="FR202" s="21">
        <f>EXP(-LN(2)/25)*FR201+(1-EXP(-LN(2)/25))/(LN(2)/25)*Calculateur!FM202*Calculateur!FO202*VLOOKUP('Données projet'!$B$16,Paramètres!$A$1:$I$89,3,0)*0.475*44/12</f>
        <v>0</v>
      </c>
      <c r="FS202" s="21">
        <f>EXP(-LN(2)/2)*FS201+(1-EXP(-LN(2)/2))/(LN(2)/2)*FM202*FP202*VLOOKUP('Données projet'!$B$16,Paramètres!$A$1:$I$89,3,0)*0.475*44/12</f>
        <v>0</v>
      </c>
      <c r="FT202" s="22">
        <f t="shared" si="184"/>
        <v>6.279284206584598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-5.6843418860808015E-14</v>
      </c>
      <c r="GA202" s="17">
        <f>FZ202*VLOOKUP('Données projet'!$B$17,Paramètres!$A$1:$I$89,3,0)*VLOOKUP('Données projet'!$B$17,Paramètres!$A$1:$I$89,5,0)</f>
        <v>-4.5224624045658861E-14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308.33954512886351</v>
      </c>
      <c r="GF202" s="59">
        <f t="shared" si="212"/>
        <v>408.79075392716277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8.6946178862551218</v>
      </c>
      <c r="GM202" s="21">
        <f>EXP(-LN(2)/25)*GM201+(1-EXP(-LN(2)/25))/(LN(2)/25)*Calculateur!GH202*Calculateur!GJ202*VLOOKUP('Données projet'!$B$17,Paramètres!$A$1:$I$89,3,0)*0.475*44/12</f>
        <v>0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8.6946178862551218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342.84342155097613</v>
      </c>
      <c r="T203" s="59">
        <f t="shared" si="204"/>
        <v>565.68976940602215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8.03416376680463</v>
      </c>
      <c r="AA203" s="21">
        <f>EXP(-LN(2)/25)*AA202+(1-EXP(-LN(2)/25))/(LN(2)/25)*Calculateur!V203*Calculateur!X203*VLOOKUP('Données projet'!$B$9,Paramètres!$A$1:$I$89,3,0)*0.475*44/12</f>
        <v>1.2015887662409217</v>
      </c>
      <c r="AB203" s="21">
        <f>EXP(-LN(2)/2)*AB202+(1-EXP(-LN(2)/2))/(LN(2)/2)*V203*Y203*VLOOKUP('Données projet'!$B$9,Paramètres!$A$1:$I$89,3,0)*0.475*44/12</f>
        <v>1.9367351255808383E-22</v>
      </c>
      <c r="AC203" s="22">
        <f t="shared" si="163"/>
        <v>9.2357525330455523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320.33056209214476</v>
      </c>
      <c r="AO203" s="59">
        <f t="shared" si="205"/>
        <v>299.27200854723446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2.4278994462439751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2.4278994462439751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256.85706398254547</v>
      </c>
      <c r="BJ203" s="59">
        <f t="shared" si="206"/>
        <v>363.68094621014734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9.1517931900897231</v>
      </c>
      <c r="BQ203" s="21">
        <f>EXP(-LN(2)/25)*BQ202+(1-EXP(-LN(2)/25))/(LN(2)/25)*Calculateur!BL203*Calculateur!BN203*VLOOKUP('Données projet'!$B$11,Paramètres!$A$1:$I$89,3,0)*0.475*44/12</f>
        <v>1.1122949119055405</v>
      </c>
      <c r="BR203" s="21">
        <f>EXP(-LN(2)/2)*BR202+(1-EXP(-LN(2)/2))/(LN(2)/2)*BL203*BO203*VLOOKUP('Données projet'!$B$11,Paramètres!$A$1:$I$89,3,0)*0.475*44/12</f>
        <v>1.8331933059242432E-20</v>
      </c>
      <c r="BS203" s="22">
        <f t="shared" si="169"/>
        <v>10.264088101995263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5.6843418860808015E-14</v>
      </c>
      <c r="BZ203" s="13">
        <f>BY203*VLOOKUP('Données projet'!$B$12,Paramètres!$A$1:$I$89,3,0)*VLOOKUP('Données projet'!$B$12,Paramètres!$A$1:$I$89,5,0)</f>
        <v>5.1431925385259088E-14</v>
      </c>
      <c r="CA203" s="13">
        <f t="shared" si="170"/>
        <v>8.3482866290946129E-13</v>
      </c>
      <c r="CB203" s="20">
        <f t="shared" si="171"/>
        <v>1.5435705246133045E-12</v>
      </c>
      <c r="CC203" s="59">
        <f t="shared" si="195"/>
        <v>290.56523985295564</v>
      </c>
      <c r="CD203" s="59">
        <f ca="1">AVERAGE(OFFSET($CC$3,0,0,'Données projet'!$E$12+1,1))-AVERAGE(OFFSET($H$3,0,0,'Données projet'!$E$12+1,1))</f>
        <v>357.68828740212223</v>
      </c>
      <c r="CE203" s="59">
        <f t="shared" si="207"/>
        <v>236.76626845829483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13.983695874369502</v>
      </c>
      <c r="CL203" s="21">
        <f>EXP(-LN(2)/25)*CL202+(1-EXP(-LN(2)/25))/(LN(2)/25)*Calculateur!CG203*Calculateur!CI203*VLOOKUP('Données projet'!$B$12,Paramètres!$A$1:$I$89,3,0)*0.475*44/12</f>
        <v>5.1848471970772998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19.168543071446802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257.00000000000006</v>
      </c>
      <c r="CU203" s="17">
        <f>CT203*VLOOKUP('Données projet'!$B$13,Paramètres!$A$1:$I$89,3,0)*VLOOKUP('Données projet'!$B$13,Paramètres!$A$1:$I$89,5,0)</f>
        <v>168.38640000000004</v>
      </c>
      <c r="CV203" s="13">
        <f t="shared" si="173"/>
        <v>42.728430513203243</v>
      </c>
      <c r="CW203" s="20">
        <f t="shared" si="174"/>
        <v>367.69166314382898</v>
      </c>
      <c r="CX203" s="59">
        <f t="shared" si="196"/>
        <v>658.25690299678308</v>
      </c>
      <c r="CY203" s="59">
        <f ca="1">AVERAGE(OFFSET($CX$3,0,0,'Données projet'!$E$13+1,1))-AVERAGE(OFFSET($H$3,0,0,'Données projet'!$E$13+1,1))</f>
        <v>220.18342986563667</v>
      </c>
      <c r="CZ203" s="59">
        <f t="shared" si="208"/>
        <v>347.84382145531163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2.6609446171464783E-25</v>
      </c>
      <c r="DI203" s="22">
        <f t="shared" si="175"/>
        <v>2.6609446171464783E-25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5.7639226724859328E-14</v>
      </c>
      <c r="DQ203" s="13">
        <f t="shared" si="176"/>
        <v>9.2325701996134334E-13</v>
      </c>
      <c r="DR203" s="20">
        <f t="shared" si="177"/>
        <v>1.708394296311803E-12</v>
      </c>
      <c r="DS203" s="59">
        <f t="shared" si="197"/>
        <v>290.56523985295581</v>
      </c>
      <c r="DT203" s="59">
        <f ca="1">AVERAGE(OFFSET($DS$3,0,0,'Données projet'!$E$14+1,1))-AVERAGE(OFFSET($H$3,0,0,'Données projet'!$E$14+1,1))</f>
        <v>392.49465607243178</v>
      </c>
      <c r="DU203" s="59">
        <f t="shared" si="209"/>
        <v>258.031856676031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15.671383307483053</v>
      </c>
      <c r="EB203" s="21">
        <f>EXP(-LN(2)/25)*EB202+(1-EXP(-LN(2)/25))/(LN(2)/25)*Calculateur!DW203*Calculateur!DY203*VLOOKUP('Données projet'!$B$14,Paramètres!$A$1:$I$89,3,0)*0.475*44/12</f>
        <v>5.810604617414211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21.481987924897265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294.24530606293143</v>
      </c>
      <c r="EP203" s="59">
        <f t="shared" si="210"/>
        <v>275.88160405468193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13.255948271737624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13.255948271737624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1.1368683772161603E-13</v>
      </c>
      <c r="FF203" s="17">
        <f>FE203*VLOOKUP('Données projet'!$B$16,Paramètres!$A$1:$I$89,3,0)*VLOOKUP('Données projet'!$B$16,Paramètres!$A$1:$I$89,5,0)</f>
        <v>8.3355189417488869E-14</v>
      </c>
      <c r="FG203" s="13">
        <f t="shared" si="182"/>
        <v>1.2790518435140618E-12</v>
      </c>
      <c r="FH203" s="20">
        <f t="shared" si="183"/>
        <v>2.3728589156891171E-12</v>
      </c>
      <c r="FI203" s="59">
        <f t="shared" si="199"/>
        <v>290.56523985295649</v>
      </c>
      <c r="FJ203" s="59">
        <f ca="1">AVERAGE(OFFSET($FI$3,0,0,'Données projet'!$E$16+1,1))-AVERAGE(OFFSET($H$3,0,0,'Données projet'!$E$16+1,1))</f>
        <v>214.31585175697521</v>
      </c>
      <c r="FK203" s="59">
        <f t="shared" si="211"/>
        <v>244.60383864821372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6.1561512732786605</v>
      </c>
      <c r="FR203" s="21">
        <f>EXP(-LN(2)/25)*FR202+(1-EXP(-LN(2)/25))/(LN(2)/25)*Calculateur!FM203*Calculateur!FO203*VLOOKUP('Données projet'!$B$16,Paramètres!$A$1:$I$89,3,0)*0.475*44/12</f>
        <v>0</v>
      </c>
      <c r="FS203" s="21">
        <f>EXP(-LN(2)/2)*FS202+(1-EXP(-LN(2)/2))/(LN(2)/2)*FM203*FP203*VLOOKUP('Données projet'!$B$16,Paramètres!$A$1:$I$89,3,0)*0.475*44/12</f>
        <v>0</v>
      </c>
      <c r="FT203" s="22">
        <f t="shared" si="184"/>
        <v>6.1561512732786605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-5.6843418860808015E-14</v>
      </c>
      <c r="GA203" s="17">
        <f>FZ203*VLOOKUP('Données projet'!$B$17,Paramètres!$A$1:$I$89,3,0)*VLOOKUP('Données projet'!$B$17,Paramètres!$A$1:$I$89,5,0)</f>
        <v>-4.5224624045658861E-14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308.33954512886351</v>
      </c>
      <c r="GF203" s="59">
        <f t="shared" si="212"/>
        <v>408.79075392716277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8.5241217326989229</v>
      </c>
      <c r="GM203" s="21">
        <f>EXP(-LN(2)/25)*GM202+(1-EXP(-LN(2)/25))/(LN(2)/25)*Calculateur!GH203*Calculateur!GJ203*VLOOKUP('Données projet'!$B$17,Paramètres!$A$1:$I$89,3,0)*0.475*44/12</f>
        <v>0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8.5241217326989229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1.3070441688874561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1.1891387833073912</v>
      </c>
      <c r="BA205" s="82">
        <f>EXP(LN('Données projet'!B88)/'Données projet'!A88)</f>
        <v>1.2997069632623315</v>
      </c>
      <c r="BV205" s="82">
        <f>EXP(LN('Données projet'!B114)/'Données projet'!A114)</f>
        <v>1.1220412478485406</v>
      </c>
      <c r="CQ205" s="82">
        <f>EXP(LN('Données projet'!B140)/'Données projet'!A140)</f>
        <v>1.2244647396966932</v>
      </c>
      <c r="DL205" s="82">
        <f>EXP(LN('Données projet'!B166)/'Données projet'!A166)</f>
        <v>1.1220412478485406</v>
      </c>
      <c r="EG205" s="82">
        <f>EXP(LN('Données projet'!B192)/'Données projet'!A192)</f>
        <v>1.1891387833073912</v>
      </c>
      <c r="FB205" s="82">
        <f>EXP(LN('Données projet'!B218)/'Données projet'!A218)</f>
        <v>1.1891387833073912</v>
      </c>
      <c r="FW205" s="82">
        <f>EXP(LN('Données projet'!B244)/'Données projet'!A244)</f>
        <v>1.2244647396966932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211" workbookViewId="0">
      <selection activeCell="C17" sqref="C17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0.53820800000000002</v>
      </c>
      <c r="C6" s="147">
        <f ca="1">IF(OR('Données projet'!B9="",'Données projet'!C9="",'Données projet'!C9=0%),0,Calculateur!S3)</f>
        <v>342.84342155097613</v>
      </c>
      <c r="D6" s="147">
        <f>IF(OR('Données projet'!B9="",'Données projet'!C9="",'Données projet'!C9=0%),0,Calculateur!T3)</f>
        <v>565.68976940602215</v>
      </c>
      <c r="E6" s="147">
        <f ca="1">MIN(C6,D6)</f>
        <v>342.84342155097613</v>
      </c>
      <c r="F6" s="147">
        <f ca="1">E6*B6</f>
        <v>184.52107222610778</v>
      </c>
      <c r="G6" s="147">
        <f ca="1">F6*(100%-'Données projet'!$C$24)*(100%-'Données projet'!$C$25)*(100%-'Données projet'!$C$26)*(100%-'Données projet'!$C$27)</f>
        <v>149.46206850314729</v>
      </c>
      <c r="H6" s="148">
        <f>IF(OR('Données projet'!B9="",'Données projet'!C9="",'Données projet'!C9=0%),0,AVERAGE(Calculateur!$AC$3:$AC$33)*B6)</f>
        <v>2.4122642021648959</v>
      </c>
      <c r="I6" s="149">
        <f>H6*(100%-'Données projet'!$C$24)*(100%-'Données projet'!$C$25)*(100%-'Données projet'!$C$26)*(100%-'Données projet'!$C$27)</f>
        <v>1.953934003753566</v>
      </c>
      <c r="J6" s="150">
        <f>IF(OR('Données projet'!B9="",'Données projet'!C9="",'Données projet'!C9=0%),0,SUM(Calculateur!$V$3:$V$33)*VLOOKUP('Données projet'!$B$9,Paramètres!$A$1:$I$89,9,0)*B6)</f>
        <v>24.994379519999999</v>
      </c>
      <c r="K6" s="151">
        <f>J6*(100%-'Données projet'!$C$24)*(100%-'Données projet'!$C$25)*(100%-'Données projet'!$C$26)*(100%-'Données projet'!$C$27)</f>
        <v>20.245447411199997</v>
      </c>
      <c r="L6" s="152">
        <f ca="1">G6+I6+K6</f>
        <v>171.66144991810086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Charme</v>
      </c>
      <c r="B7" s="154">
        <f>'Données projet'!D10</f>
        <v>0.50444768000000006</v>
      </c>
      <c r="C7" s="147">
        <f ca="1">IF(OR('Données projet'!B10="",'Données projet'!C10="",'Données projet'!C10=0%),0,Calculateur!AN3)</f>
        <v>320.33056209214476</v>
      </c>
      <c r="D7" s="147">
        <f>IF(OR('Données projet'!B10="",'Données projet'!C10="",'Données projet'!C10=0%),0,Calculateur!AO3)</f>
        <v>299.27200854723446</v>
      </c>
      <c r="E7" s="147">
        <f t="shared" ref="E7:E15" ca="1" si="0">MIN(C7,D7)</f>
        <v>299.27200854723446</v>
      </c>
      <c r="F7" s="147">
        <f t="shared" ref="F7:F15" ca="1" si="1">E7*B7</f>
        <v>150.9670704005926</v>
      </c>
      <c r="G7" s="147">
        <f ca="1">F7*(100%-'Données projet'!$C$24)*(100%-'Données projet'!$C$25)*(100%-'Données projet'!$C$26)*(100%-'Données projet'!$C$27)</f>
        <v>122.28332702448003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4.4139172000000002</v>
      </c>
      <c r="K7" s="151">
        <f>J7*(100%-'Données projet'!$C$24)*(100%-'Données projet'!$C$25)*(100%-'Données projet'!$C$26)*(100%-'Données projet'!$C$27)</f>
        <v>3.5752729320000003</v>
      </c>
      <c r="L7" s="152">
        <f t="shared" ref="L7:L15" ca="1" si="2">G7+I7+K7</f>
        <v>125.85859995648003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Mélèze d'Europe</v>
      </c>
      <c r="B8" s="154">
        <f>'Données projet'!D11</f>
        <v>8.0731200000000003E-2</v>
      </c>
      <c r="C8" s="147">
        <f ca="1">IF(OR('Données projet'!B11="",'Données projet'!C11="",'Données projet'!C11=0%),0,Calculateur!BI3)</f>
        <v>256.85706398254547</v>
      </c>
      <c r="D8" s="147">
        <f>IF(OR('Données projet'!B11="",'Données projet'!C11="",'Données projet'!C11=0%),0,Calculateur!BJ3)</f>
        <v>363.68094621014734</v>
      </c>
      <c r="E8" s="147">
        <f t="shared" ca="1" si="0"/>
        <v>256.85706398254547</v>
      </c>
      <c r="F8" s="147">
        <f t="shared" ca="1" si="1"/>
        <v>20.736379003787675</v>
      </c>
      <c r="G8" s="147">
        <f ca="1">F8*(100%-'Données projet'!$C$24)*(100%-'Données projet'!$C$25)*(100%-'Données projet'!$C$26)*(100%-'Données projet'!$C$27)</f>
        <v>16.796466993068019</v>
      </c>
      <c r="H8" s="155">
        <f>IF(OR('Données projet'!B11="",'Données projet'!C11="",'Données projet'!C11=0%),0,AVERAGE(Calculateur!$BS$3:$BS$33)*B8)</f>
        <v>0.72057788983429183</v>
      </c>
      <c r="I8" s="149">
        <f>H8*(100%-'Données projet'!$C$24)*(100%-'Données projet'!$C$25)*(100%-'Données projet'!$C$26)*(100%-'Données projet'!$C$27)</f>
        <v>0.58366809076577642</v>
      </c>
      <c r="J8" s="150">
        <f>IF(OR('Données projet'!B11="",'Données projet'!C11="",'Données projet'!C11=0%),0,SUM(Calculateur!$BL$3:$BL$33)*VLOOKUP('Données projet'!$B$11,Paramètres!$A$1:$I$89,9,0)*B8)</f>
        <v>4.4434452479999997</v>
      </c>
      <c r="K8" s="151">
        <f>J8*(100%-'Données projet'!$C$24)*(100%-'Données projet'!$C$25)*(100%-'Données projet'!$C$26)*(100%-'Données projet'!$C$27)</f>
        <v>3.5991906508799998</v>
      </c>
      <c r="L8" s="152">
        <f t="shared" ca="1" si="2"/>
        <v>20.979325734713797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Chêne sessile</v>
      </c>
      <c r="B9" s="154">
        <f>'Données projet'!D12</f>
        <v>0.62554447999999996</v>
      </c>
      <c r="C9" s="147">
        <f ca="1">IF(OR('Données projet'!B12="",'Données projet'!C12="",'Données projet'!C12=0%),0,Calculateur!CD3)</f>
        <v>357.68828740212223</v>
      </c>
      <c r="D9" s="147">
        <f>IF(OR('Données projet'!B12="",'Données projet'!C12="",'Données projet'!C12=0%),0,Calculateur!CE3)</f>
        <v>236.76626845829483</v>
      </c>
      <c r="E9" s="147">
        <f t="shared" ca="1" si="0"/>
        <v>236.76626845829483</v>
      </c>
      <c r="F9" s="147">
        <f t="shared" ca="1" si="1"/>
        <v>148.10783228428443</v>
      </c>
      <c r="G9" s="147">
        <f ca="1">F9*(100%-'Données projet'!$C$24)*(100%-'Données projet'!$C$25)*(100%-'Données projet'!$C$26)*(100%-'Données projet'!$C$27)</f>
        <v>119.96734415027038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119.96734415027038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Aulne glutineux</v>
      </c>
      <c r="B10" s="154">
        <f>'Données projet'!D13</f>
        <v>0.40341136</v>
      </c>
      <c r="C10" s="147">
        <f ca="1">IF(OR('Données projet'!B13="",'Données projet'!C13="",'Données projet'!C13=0%),0,Calculateur!CY3)</f>
        <v>220.18342986563667</v>
      </c>
      <c r="D10" s="147">
        <f>IF(OR('Données projet'!B13="",'Données projet'!C13="",'Données projet'!C13=0%),0,Calculateur!CZ3)</f>
        <v>347.84382145531163</v>
      </c>
      <c r="E10" s="147">
        <f t="shared" ca="1" si="0"/>
        <v>220.18342986563667</v>
      </c>
      <c r="F10" s="147">
        <f t="shared" ca="1" si="1"/>
        <v>88.824496891561111</v>
      </c>
      <c r="G10" s="147">
        <f ca="1">F10*(100%-'Données projet'!$C$24)*(100%-'Données projet'!$C$25)*(100%-'Données projet'!$C$26)*(100%-'Données projet'!$C$27)</f>
        <v>71.947842482164504</v>
      </c>
      <c r="H10" s="155">
        <f>IF(OR('Données projet'!B13="",'Données projet'!C13="",'Données projet'!C13=0%),0,AVERAGE(Calculateur!$DI$3:$DI$33)*B10)</f>
        <v>0.47312648452798489</v>
      </c>
      <c r="I10" s="149">
        <f>H10*(100%-'Données projet'!$C$24)*(100%-'Données projet'!$C$25)*(100%-'Données projet'!$C$26)*(100%-'Données projet'!$C$27)</f>
        <v>0.38323245246766779</v>
      </c>
      <c r="J10" s="150">
        <f>IF(OR('Données projet'!B13="",'Données projet'!C13="",'Données projet'!C13=0%),0,SUM(Calculateur!$DB$3:$DB$33)*VLOOKUP('Données projet'!$B$13,Paramètres!$A$1:$I$89,9,0)*B10)</f>
        <v>4.3366721200000002</v>
      </c>
      <c r="K10" s="151">
        <f>J10*(100%-'Données projet'!$C$24)*(100%-'Données projet'!$C$25)*(100%-'Données projet'!$C$26)*(100%-'Données projet'!$C$27)</f>
        <v>3.5127044172000002</v>
      </c>
      <c r="L10" s="152">
        <f t="shared" ca="1" si="2"/>
        <v>75.843779351832168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Chêne pubescent</v>
      </c>
      <c r="B11" s="154">
        <f>'Données projet'!D14</f>
        <v>4.0365600000000001E-2</v>
      </c>
      <c r="C11" s="147">
        <f ca="1">IF(OR('Données projet'!B14="",'Données projet'!C14="",'Données projet'!C14=0%),0,Calculateur!DT3)</f>
        <v>392.49465607243178</v>
      </c>
      <c r="D11" s="147">
        <f>IF(OR('Données projet'!B14="",'Données projet'!C14="",'Données projet'!C14=0%),0,Calculateur!DU3)</f>
        <v>258.031856676031</v>
      </c>
      <c r="E11" s="147">
        <f t="shared" ca="1" si="0"/>
        <v>258.031856676031</v>
      </c>
      <c r="F11" s="147">
        <f t="shared" ca="1" si="1"/>
        <v>10.415610713841998</v>
      </c>
      <c r="G11" s="147">
        <f ca="1">F11*(100%-'Données projet'!$C$24)*(100%-'Données projet'!$C$25)*(100%-'Données projet'!$C$26)*(100%-'Données projet'!$C$27)</f>
        <v>8.4366446782120192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8.4366446782120192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Hêtre</v>
      </c>
      <c r="B12" s="154">
        <f>'Données projet'!D15</f>
        <v>9.1250720000000007E-2</v>
      </c>
      <c r="C12" s="147">
        <f ca="1">IF(OR('Données projet'!B15="",'Données projet'!C15="",'Données projet'!C15=0%),0,Calculateur!EO3)</f>
        <v>294.24530606293143</v>
      </c>
      <c r="D12" s="147">
        <f>IF(OR('Données projet'!B15="",'Données projet'!C15="",'Données projet'!C15=0%),0,Calculateur!EP3)</f>
        <v>275.88160405468193</v>
      </c>
      <c r="E12" s="147">
        <f t="shared" ca="1" si="0"/>
        <v>275.88160405468193</v>
      </c>
      <c r="F12" s="147">
        <f t="shared" ca="1" si="1"/>
        <v>25.174395004744646</v>
      </c>
      <c r="G12" s="147">
        <f ca="1">F12*(100%-'Données projet'!$C$24)*(100%-'Données projet'!$C$25)*(100%-'Données projet'!$C$26)*(100%-'Données projet'!$C$27)</f>
        <v>20.391259953843164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0.79844380000000004</v>
      </c>
      <c r="K12" s="151">
        <f>J12*(100%-'Données projet'!$C$24)*(100%-'Données projet'!$C$25)*(100%-'Données projet'!$C$26)*(100%-'Données projet'!$C$27)</f>
        <v>0.64673947800000009</v>
      </c>
      <c r="L12" s="152">
        <f t="shared" ca="1" si="2"/>
        <v>21.037999431843165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Châtaignier</v>
      </c>
      <c r="B13" s="154">
        <f>'Données projet'!D16</f>
        <v>6.6297439999999999E-2</v>
      </c>
      <c r="C13" s="147">
        <f ca="1">IF(OR('Données projet'!B16="",'Données projet'!C16="",'Données projet'!C16=0%),0,Calculateur!FJ3)</f>
        <v>214.31585175697521</v>
      </c>
      <c r="D13" s="147">
        <f>IF(OR('Données projet'!B16="",'Données projet'!C16="",'Données projet'!C16=0%),0,Calculateur!FK3)</f>
        <v>244.60383864821372</v>
      </c>
      <c r="E13" s="147">
        <f t="shared" ca="1" si="0"/>
        <v>214.31585175697521</v>
      </c>
      <c r="F13" s="147">
        <f t="shared" ca="1" si="1"/>
        <v>14.208592322906958</v>
      </c>
      <c r="G13" s="147">
        <f ca="1">F13*(100%-'Données projet'!$C$24)*(100%-'Données projet'!$C$25)*(100%-'Données projet'!$C$26)*(100%-'Données projet'!$C$27)</f>
        <v>11.508959781554637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0.58010260000000002</v>
      </c>
      <c r="K13" s="151">
        <f>J13*(100%-'Données projet'!$C$24)*(100%-'Données projet'!$C$25)*(100%-'Données projet'!$C$26)*(100%-'Données projet'!$C$27)</f>
        <v>0.46988310600000005</v>
      </c>
      <c r="L13" s="152">
        <f t="shared" ca="1" si="2"/>
        <v>11.978842887554636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Erable sycomore</v>
      </c>
      <c r="B14" s="154">
        <f>'Données projet'!D17</f>
        <v>9.2963199999999996E-2</v>
      </c>
      <c r="C14" s="147">
        <f ca="1">IF(OR('Données projet'!B17="",'Données projet'!C17="",'Données projet'!C17=0%),0,Calculateur!GE3)</f>
        <v>308.33954512886351</v>
      </c>
      <c r="D14" s="147">
        <f>IF(OR('Données projet'!B17="",'Données projet'!C17="",'Données projet'!C17=0%),0,Calculateur!GF3)</f>
        <v>408.79075392716277</v>
      </c>
      <c r="E14" s="147">
        <f t="shared" ca="1" si="0"/>
        <v>308.33954512886351</v>
      </c>
      <c r="F14" s="147">
        <f t="shared" ca="1" si="1"/>
        <v>28.664230801723562</v>
      </c>
      <c r="G14" s="147">
        <f ca="1">F14*(100%-'Données projet'!$C$24)*(100%-'Données projet'!$C$25)*(100%-'Données projet'!$C$26)*(100%-'Données projet'!$C$27)</f>
        <v>23.218026949396084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0.99935439999999998</v>
      </c>
      <c r="K14" s="151">
        <f>J14*(100%-'Données projet'!$C$24)*(100%-'Données projet'!$C$25)*(100%-'Données projet'!$C$26)*(100%-'Données projet'!$C$27)</f>
        <v>0.80947706399999997</v>
      </c>
      <c r="L14" s="152">
        <f t="shared" ca="1" si="2"/>
        <v>24.027504013396083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671.61967964955068</v>
      </c>
      <c r="G16" s="166">
        <f t="shared" ca="1" si="3"/>
        <v>544.01194051613618</v>
      </c>
      <c r="H16" s="167">
        <f t="shared" si="3"/>
        <v>3.605968576527173</v>
      </c>
      <c r="I16" s="167">
        <f t="shared" si="3"/>
        <v>2.9208345469870101</v>
      </c>
      <c r="J16" s="168">
        <f t="shared" si="3"/>
        <v>40.566314888000008</v>
      </c>
      <c r="K16" s="168">
        <f t="shared" si="3"/>
        <v>32.858715059279994</v>
      </c>
      <c r="L16" s="169">
        <f t="shared" ca="1" si="3"/>
        <v>579.79149012240316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Charme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Aulne glutineux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Hêtre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Châtaignier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Erable sycomore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2" zoomScale="167" zoomScaleNormal="90" workbookViewId="0">
      <selection activeCell="I27" sqref="I27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5655.4426485254226</v>
      </c>
      <c r="U10" s="178">
        <f>'Données projet'!D9</f>
        <v>0.53820800000000002</v>
      </c>
      <c r="V10" s="177">
        <f>U10*T10</f>
        <v>3043.8044769775706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Charme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477.22706140240808</v>
      </c>
      <c r="U11" s="178">
        <f>'Données projet'!D10</f>
        <v>0.50444768000000006</v>
      </c>
      <c r="V11" s="177">
        <f t="shared" ref="V11" si="0">U11*T11</f>
        <v>240.73608395766234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2522.3897681722369</v>
      </c>
      <c r="U12" s="178">
        <f>'Données projet'!D11</f>
        <v>8.0731200000000003E-2</v>
      </c>
      <c r="V12" s="177">
        <f t="shared" ref="V12:V19" si="1">U12*T12</f>
        <v>203.6355528522665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993.99807835721231</v>
      </c>
      <c r="U13" s="178">
        <f>'Données projet'!D12</f>
        <v>0.62554447999999996</v>
      </c>
      <c r="V13" s="177">
        <f t="shared" si="1"/>
        <v>621.79001104696158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Aulne glutineux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281.97367490732938</v>
      </c>
      <c r="U14" s="178">
        <f>'Données projet'!D13</f>
        <v>0.40341136</v>
      </c>
      <c r="V14" s="177">
        <f t="shared" si="1"/>
        <v>113.75138367856361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9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993.99807835721231</v>
      </c>
      <c r="U15" s="178">
        <f>'Données projet'!D14</f>
        <v>4.0365600000000001E-2</v>
      </c>
      <c r="V15" s="177">
        <f t="shared" si="1"/>
        <v>40.12332883173589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>Hêtre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2094.3208017239522</v>
      </c>
      <c r="U16" s="178">
        <f>'Données projet'!D15</f>
        <v>9.1250720000000007E-2</v>
      </c>
      <c r="V16" s="177">
        <f t="shared" si="1"/>
        <v>191.10828106828788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>Châtaignier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2960.5811753108037</v>
      </c>
      <c r="U17" s="178">
        <f>'Données projet'!D16</f>
        <v>6.6297439999999999E-2</v>
      </c>
      <c r="V17" s="177">
        <f t="shared" si="1"/>
        <v>196.27895283529747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>Erable sycomore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1809.7280610728267</v>
      </c>
      <c r="U18" s="178">
        <f>'Données projet'!D17</f>
        <v>9.2963199999999996E-2</v>
      </c>
      <c r="V18" s="177">
        <f t="shared" si="1"/>
        <v>168.23811168712538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1</v>
      </c>
      <c r="I20" s="191">
        <v>3955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400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500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-11433.674958085117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25</v>
      </c>
      <c r="B24" s="181">
        <f>'Données projet'!D37</f>
        <v>54</v>
      </c>
      <c r="C24" s="193">
        <v>12</v>
      </c>
      <c r="D24" s="182">
        <f t="shared" ref="D24:D42" si="2">B24*C24</f>
        <v>648</v>
      </c>
      <c r="E24" s="193"/>
      <c r="F24" s="233"/>
      <c r="H24" s="190">
        <v>10</v>
      </c>
      <c r="I24" s="191">
        <v>1500</v>
      </c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7396.5732491527397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30</v>
      </c>
      <c r="B25" s="181">
        <f>'Données projet'!D38</f>
        <v>54</v>
      </c>
      <c r="C25" s="193">
        <v>12</v>
      </c>
      <c r="D25" s="182">
        <f t="shared" si="2"/>
        <v>648</v>
      </c>
      <c r="E25" s="193"/>
      <c r="F25" s="233"/>
      <c r="H25" s="190">
        <v>15</v>
      </c>
      <c r="I25" s="191">
        <v>1500</v>
      </c>
      <c r="K25" s="208"/>
      <c r="L25" s="130" t="s">
        <v>285</v>
      </c>
      <c r="M25" s="130"/>
      <c r="N25" s="130"/>
      <c r="O25" s="130"/>
      <c r="P25" s="192">
        <v>150</v>
      </c>
      <c r="Q25" s="234"/>
      <c r="R25" s="23"/>
      <c r="S25" s="186" t="s">
        <v>266</v>
      </c>
      <c r="T25" s="305">
        <f ca="1">T23-T24</f>
        <v>-18830.248207237855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35</v>
      </c>
      <c r="B26" s="181">
        <f>'Données projet'!D39</f>
        <v>69</v>
      </c>
      <c r="C26" s="193">
        <v>40</v>
      </c>
      <c r="D26" s="182">
        <f t="shared" si="2"/>
        <v>2760</v>
      </c>
      <c r="E26" s="193"/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40</v>
      </c>
      <c r="B27" s="181">
        <f>'Données projet'!D40</f>
        <v>72</v>
      </c>
      <c r="C27" s="193">
        <v>40</v>
      </c>
      <c r="D27" s="182">
        <f t="shared" si="2"/>
        <v>2880</v>
      </c>
      <c r="E27" s="193"/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45</v>
      </c>
      <c r="B28" s="181">
        <f>'Données projet'!D41</f>
        <v>606</v>
      </c>
      <c r="C28" s="193">
        <v>50</v>
      </c>
      <c r="D28" s="182">
        <f t="shared" si="2"/>
        <v>30300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3023.452112963023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150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143.54066985645935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137.35949268560705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131.44449060823641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125.78420153898223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120.36765697510262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115.18436074172502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110.22426865236844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105.47776904532867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100.93566415820926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96.589152304506499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92.429810817709566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Charme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88.449579729865633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84.640746152981464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80.995929332996624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77.508066347365187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74.170398418531306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70.976457816776374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67.920055327058748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64.995268255558614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62.196428952687683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25</v>
      </c>
      <c r="B54" s="181">
        <f>'Données projet'!D62</f>
        <v>7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59.518113830323131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28</v>
      </c>
      <c r="C55" s="191">
        <v>20</v>
      </c>
      <c r="D55" s="179">
        <f t="shared" ref="D55:D73" si="4">B55*C55</f>
        <v>560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56.955132851983883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35</v>
      </c>
      <c r="B56" s="181">
        <f>'Données projet'!D64</f>
        <v>28</v>
      </c>
      <c r="C56" s="191">
        <v>20</v>
      </c>
      <c r="D56" s="179">
        <f t="shared" si="4"/>
        <v>560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54.502519475582659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40</v>
      </c>
      <c r="B57" s="181">
        <f>'Données projet'!D65</f>
        <v>28</v>
      </c>
      <c r="C57" s="191">
        <v>20</v>
      </c>
      <c r="D57" s="179">
        <f t="shared" si="4"/>
        <v>560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52.155521029265714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45</v>
      </c>
      <c r="B58" s="181">
        <f>'Données projet'!D66</f>
        <v>28</v>
      </c>
      <c r="C58" s="191">
        <v>20</v>
      </c>
      <c r="D58" s="179">
        <f t="shared" si="4"/>
        <v>560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49.90958950168968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50</v>
      </c>
      <c r="B59" s="181">
        <f>'Données projet'!D67</f>
        <v>28</v>
      </c>
      <c r="C59" s="191">
        <v>20</v>
      </c>
      <c r="D59" s="179">
        <f t="shared" si="4"/>
        <v>560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47.760372728889656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55</v>
      </c>
      <c r="B60" s="181">
        <f>'Données projet'!D68</f>
        <v>28</v>
      </c>
      <c r="C60" s="191">
        <v>20</v>
      </c>
      <c r="D60" s="179">
        <f t="shared" si="4"/>
        <v>560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45.70370596065996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60</v>
      </c>
      <c r="B61" s="181">
        <f>'Données projet'!D69</f>
        <v>28</v>
      </c>
      <c r="C61" s="191">
        <v>20</v>
      </c>
      <c r="D61" s="179">
        <f t="shared" si="4"/>
        <v>560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43.735603790105237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65</v>
      </c>
      <c r="B62" s="181">
        <f>'Données projet'!D70</f>
        <v>28</v>
      </c>
      <c r="C62" s="191">
        <v>20</v>
      </c>
      <c r="D62" s="179">
        <f t="shared" si="4"/>
        <v>560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41.852252430722707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70</v>
      </c>
      <c r="B63" s="181">
        <f>'Données projet'!D71</f>
        <v>316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40.050002326050453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38.325361077560231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36.674986677091148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35.095681030709244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33.584383761444251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32.138166278894019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30.754226104204811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29.429881439430442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28.16256597074684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26.949823895451523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25.789305163111511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24.678760921637814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23.616039159462026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22.599080535370359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21.625914387914221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20.694654916664327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18</v>
      </c>
      <c r="B85" s="181">
        <f>'Données projet'!D88</f>
        <v>20</v>
      </c>
      <c r="C85" s="193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21</v>
      </c>
      <c r="B86" s="181">
        <f>'Données projet'!D89</f>
        <v>26</v>
      </c>
      <c r="C86" s="193">
        <v>12</v>
      </c>
      <c r="D86" s="179">
        <f t="shared" ref="D86:D104" si="6">B86*C86</f>
        <v>312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24</v>
      </c>
      <c r="B87" s="181">
        <f>'Données projet'!D90</f>
        <v>29</v>
      </c>
      <c r="C87" s="193">
        <v>12</v>
      </c>
      <c r="D87" s="179">
        <f t="shared" si="6"/>
        <v>348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53</v>
      </c>
      <c r="C88" s="193">
        <v>25</v>
      </c>
      <c r="D88" s="179">
        <f t="shared" si="6"/>
        <v>1325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36</v>
      </c>
      <c r="B89" s="181">
        <f>'Données projet'!D92</f>
        <v>62</v>
      </c>
      <c r="C89" s="193">
        <v>25</v>
      </c>
      <c r="D89" s="179">
        <f t="shared" si="6"/>
        <v>1550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42</v>
      </c>
      <c r="B90" s="181">
        <f>'Données projet'!D93</f>
        <v>67</v>
      </c>
      <c r="C90" s="193">
        <v>30</v>
      </c>
      <c r="D90" s="179">
        <f t="shared" si="6"/>
        <v>2010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48</v>
      </c>
      <c r="B91" s="181">
        <f>'Données projet'!D94</f>
        <v>65</v>
      </c>
      <c r="C91" s="191">
        <v>40</v>
      </c>
      <c r="D91" s="179">
        <f t="shared" si="6"/>
        <v>2600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304</v>
      </c>
      <c r="C92" s="191">
        <v>45</v>
      </c>
      <c r="D92" s="179">
        <f t="shared" si="6"/>
        <v>13680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42</v>
      </c>
      <c r="B116" s="181">
        <f>'Données projet'!D114</f>
        <v>30</v>
      </c>
      <c r="C116" s="191">
        <v>15</v>
      </c>
      <c r="D116" s="179">
        <f>B116*C116</f>
        <v>450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50</v>
      </c>
      <c r="B117" s="181">
        <f>'Données projet'!D115</f>
        <v>35</v>
      </c>
      <c r="C117" s="191">
        <v>15</v>
      </c>
      <c r="D117" s="179">
        <f t="shared" ref="D117:D135" si="8">B117*C117</f>
        <v>525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58</v>
      </c>
      <c r="B118" s="181">
        <f>'Données projet'!D116</f>
        <v>44</v>
      </c>
      <c r="C118" s="191">
        <v>15</v>
      </c>
      <c r="D118" s="179">
        <f t="shared" si="8"/>
        <v>660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66</v>
      </c>
      <c r="B119" s="181">
        <f>'Données projet'!D117</f>
        <v>39</v>
      </c>
      <c r="C119" s="191">
        <v>40</v>
      </c>
      <c r="D119" s="179">
        <f t="shared" si="8"/>
        <v>1560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75</v>
      </c>
      <c r="B120" s="181">
        <f>'Données projet'!D118</f>
        <v>37</v>
      </c>
      <c r="C120" s="191">
        <v>80</v>
      </c>
      <c r="D120" s="179">
        <f t="shared" si="8"/>
        <v>2960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84</v>
      </c>
      <c r="B121" s="181">
        <f>'Données projet'!D119</f>
        <v>36</v>
      </c>
      <c r="C121" s="191">
        <v>120</v>
      </c>
      <c r="D121" s="179">
        <f t="shared" si="8"/>
        <v>4320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93</v>
      </c>
      <c r="B122" s="181">
        <f>'Données projet'!D120</f>
        <v>35</v>
      </c>
      <c r="C122" s="191">
        <v>120</v>
      </c>
      <c r="D122" s="179">
        <f t="shared" si="8"/>
        <v>4200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103</v>
      </c>
      <c r="B123" s="181">
        <f>'Données projet'!D121</f>
        <v>343</v>
      </c>
      <c r="C123" s="191">
        <v>120</v>
      </c>
      <c r="D123" s="179">
        <f t="shared" si="8"/>
        <v>41160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Aulne glutineux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25</v>
      </c>
      <c r="B147" s="175">
        <f>'Données projet'!D140</f>
        <v>15</v>
      </c>
      <c r="C147" s="191">
        <v>10</v>
      </c>
      <c r="D147" s="182">
        <f>B147*C147</f>
        <v>150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30</v>
      </c>
      <c r="B148" s="175">
        <f>'Données projet'!D141</f>
        <v>28</v>
      </c>
      <c r="C148" s="191">
        <v>10</v>
      </c>
      <c r="D148" s="182">
        <f t="shared" ref="D148:D166" si="10">B148*C148</f>
        <v>280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35</v>
      </c>
      <c r="B149" s="175">
        <f>'Données projet'!D142</f>
        <v>28</v>
      </c>
      <c r="C149" s="191">
        <v>10</v>
      </c>
      <c r="D149" s="182">
        <f t="shared" si="10"/>
        <v>280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40</v>
      </c>
      <c r="B150" s="175">
        <f>'Données projet'!D143</f>
        <v>28</v>
      </c>
      <c r="C150" s="191">
        <v>10</v>
      </c>
      <c r="D150" s="182">
        <f t="shared" si="10"/>
        <v>280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45</v>
      </c>
      <c r="B151" s="175">
        <f>'Données projet'!D144</f>
        <v>22</v>
      </c>
      <c r="C151" s="191">
        <v>10</v>
      </c>
      <c r="D151" s="182">
        <f t="shared" si="10"/>
        <v>220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50</v>
      </c>
      <c r="B152" s="175">
        <f>'Données projet'!D145</f>
        <v>17</v>
      </c>
      <c r="C152" s="191">
        <v>10</v>
      </c>
      <c r="D152" s="182">
        <f t="shared" si="10"/>
        <v>170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v>10</v>
      </c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v>10</v>
      </c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42</v>
      </c>
      <c r="B178" s="181">
        <f>'Données projet'!D166</f>
        <v>30</v>
      </c>
      <c r="C178" s="191">
        <v>15</v>
      </c>
      <c r="D178" s="179">
        <f>B178*C178</f>
        <v>450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50</v>
      </c>
      <c r="B179" s="181">
        <f>'Données projet'!D167</f>
        <v>35</v>
      </c>
      <c r="C179" s="191">
        <v>15</v>
      </c>
      <c r="D179" s="179">
        <f t="shared" ref="D179:D197" si="11">B179*C179</f>
        <v>525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58</v>
      </c>
      <c r="B180" s="181">
        <f>'Données projet'!D168</f>
        <v>44</v>
      </c>
      <c r="C180" s="191">
        <v>15</v>
      </c>
      <c r="D180" s="179">
        <f t="shared" si="11"/>
        <v>660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66</v>
      </c>
      <c r="B181" s="181">
        <f>'Données projet'!D169</f>
        <v>39</v>
      </c>
      <c r="C181" s="191">
        <v>40</v>
      </c>
      <c r="D181" s="179">
        <f t="shared" si="11"/>
        <v>1560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75</v>
      </c>
      <c r="B182" s="181">
        <f>'Données projet'!D170</f>
        <v>37</v>
      </c>
      <c r="C182" s="191">
        <v>80</v>
      </c>
      <c r="D182" s="179">
        <f t="shared" si="11"/>
        <v>2960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84</v>
      </c>
      <c r="B183" s="181">
        <f>'Données projet'!D171</f>
        <v>36</v>
      </c>
      <c r="C183" s="191">
        <v>120</v>
      </c>
      <c r="D183" s="179">
        <f t="shared" si="11"/>
        <v>4320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93</v>
      </c>
      <c r="B184" s="181">
        <f>'Données projet'!D172</f>
        <v>35</v>
      </c>
      <c r="C184" s="191">
        <v>120</v>
      </c>
      <c r="D184" s="179">
        <f t="shared" si="11"/>
        <v>4200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103</v>
      </c>
      <c r="B185" s="181">
        <f>'Données projet'!D173</f>
        <v>343</v>
      </c>
      <c r="C185" s="193">
        <v>120</v>
      </c>
      <c r="D185" s="179">
        <f t="shared" si="11"/>
        <v>41160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Hêtre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25</v>
      </c>
      <c r="B209" s="181">
        <f>'Données projet'!D192</f>
        <v>7</v>
      </c>
      <c r="C209" s="193">
        <v>20</v>
      </c>
      <c r="D209" s="179">
        <f>B209*C209</f>
        <v>140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30</v>
      </c>
      <c r="B210" s="181">
        <f>'Données projet'!D193</f>
        <v>28</v>
      </c>
      <c r="C210" s="193">
        <v>20</v>
      </c>
      <c r="D210" s="179">
        <f t="shared" ref="D210:D228" si="12">B210*C210</f>
        <v>560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35</v>
      </c>
      <c r="B211" s="181">
        <f>'Données projet'!D194</f>
        <v>28</v>
      </c>
      <c r="C211" s="193">
        <v>20</v>
      </c>
      <c r="D211" s="179">
        <f t="shared" si="12"/>
        <v>560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40</v>
      </c>
      <c r="B212" s="181">
        <f>'Données projet'!D195</f>
        <v>28</v>
      </c>
      <c r="C212" s="193">
        <v>20</v>
      </c>
      <c r="D212" s="179">
        <f t="shared" si="12"/>
        <v>560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45</v>
      </c>
      <c r="B213" s="181">
        <f>'Données projet'!D196</f>
        <v>28</v>
      </c>
      <c r="C213" s="193">
        <v>25</v>
      </c>
      <c r="D213" s="179">
        <f t="shared" si="12"/>
        <v>700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50</v>
      </c>
      <c r="B214" s="181">
        <f>'Données projet'!D197</f>
        <v>28</v>
      </c>
      <c r="C214" s="193">
        <v>25</v>
      </c>
      <c r="D214" s="179">
        <f t="shared" si="12"/>
        <v>700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55</v>
      </c>
      <c r="B215" s="181">
        <f>'Données projet'!D198</f>
        <v>28</v>
      </c>
      <c r="C215" s="193">
        <v>40</v>
      </c>
      <c r="D215" s="179">
        <f t="shared" si="12"/>
        <v>1120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60</v>
      </c>
      <c r="B216" s="181">
        <f>'Données projet'!D199</f>
        <v>28</v>
      </c>
      <c r="C216" s="193">
        <v>60</v>
      </c>
      <c r="D216" s="179">
        <f t="shared" si="12"/>
        <v>1680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65</v>
      </c>
      <c r="B217" s="181">
        <f>'Données projet'!D200</f>
        <v>28</v>
      </c>
      <c r="C217" s="193">
        <v>80</v>
      </c>
      <c r="D217" s="179">
        <f t="shared" si="12"/>
        <v>2240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70</v>
      </c>
      <c r="B218" s="181">
        <f>'Données projet'!D201</f>
        <v>316</v>
      </c>
      <c r="C218" s="193">
        <v>80</v>
      </c>
      <c r="D218" s="179">
        <f t="shared" si="12"/>
        <v>25280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Châtaignier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25</v>
      </c>
      <c r="B240" s="181">
        <f>'Données projet'!D218</f>
        <v>7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30</v>
      </c>
      <c r="B241" s="181">
        <f>'Données projet'!D219</f>
        <v>28</v>
      </c>
      <c r="C241" s="193">
        <v>12</v>
      </c>
      <c r="D241" s="179">
        <f t="shared" ref="D241:D259" si="13">B241*C241</f>
        <v>336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35</v>
      </c>
      <c r="B242" s="181">
        <f>'Données projet'!D220</f>
        <v>28</v>
      </c>
      <c r="C242" s="193">
        <v>12</v>
      </c>
      <c r="D242" s="179">
        <f t="shared" si="13"/>
        <v>336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40</v>
      </c>
      <c r="B243" s="181">
        <f>'Données projet'!D221</f>
        <v>28</v>
      </c>
      <c r="C243" s="193">
        <v>12</v>
      </c>
      <c r="D243" s="179">
        <f t="shared" si="13"/>
        <v>336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45</v>
      </c>
      <c r="B244" s="181">
        <f>'Données projet'!D222</f>
        <v>28</v>
      </c>
      <c r="C244" s="193">
        <v>12</v>
      </c>
      <c r="D244" s="179">
        <f t="shared" si="13"/>
        <v>336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50</v>
      </c>
      <c r="B245" s="181">
        <f>'Données projet'!D223</f>
        <v>28</v>
      </c>
      <c r="C245" s="193">
        <v>60</v>
      </c>
      <c r="D245" s="179">
        <f t="shared" si="13"/>
        <v>1680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55</v>
      </c>
      <c r="B246" s="181">
        <f>'Données projet'!D224</f>
        <v>28</v>
      </c>
      <c r="C246" s="193">
        <v>80</v>
      </c>
      <c r="D246" s="179">
        <f t="shared" si="13"/>
        <v>2240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60</v>
      </c>
      <c r="B247" s="181">
        <f>'Données projet'!D225</f>
        <v>270</v>
      </c>
      <c r="C247" s="193">
        <v>120</v>
      </c>
      <c r="D247" s="179">
        <f t="shared" si="13"/>
        <v>32400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Erable sycomore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25</v>
      </c>
      <c r="B271" s="181">
        <f>'Données projet'!D244</f>
        <v>15</v>
      </c>
      <c r="C271" s="193">
        <v>12</v>
      </c>
      <c r="D271" s="179">
        <f>B271*C271</f>
        <v>180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30</v>
      </c>
      <c r="B272" s="181">
        <f>'Données projet'!D245</f>
        <v>28</v>
      </c>
      <c r="C272" s="193">
        <v>12</v>
      </c>
      <c r="D272" s="179">
        <f t="shared" ref="D272:D290" si="14">B272*C272</f>
        <v>336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35</v>
      </c>
      <c r="B273" s="181">
        <f>'Données projet'!D246</f>
        <v>28</v>
      </c>
      <c r="C273" s="193">
        <v>12</v>
      </c>
      <c r="D273" s="179">
        <f t="shared" si="14"/>
        <v>336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40</v>
      </c>
      <c r="B274" s="181">
        <f>'Données projet'!D247</f>
        <v>28</v>
      </c>
      <c r="C274" s="193">
        <v>12</v>
      </c>
      <c r="D274" s="179">
        <f t="shared" si="14"/>
        <v>336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45</v>
      </c>
      <c r="B275" s="181">
        <f>'Données projet'!D248</f>
        <v>22</v>
      </c>
      <c r="C275" s="193">
        <v>40</v>
      </c>
      <c r="D275" s="179">
        <f t="shared" si="14"/>
        <v>880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50</v>
      </c>
      <c r="B276" s="181">
        <f>'Données projet'!D249</f>
        <v>17</v>
      </c>
      <c r="C276" s="193">
        <v>40</v>
      </c>
      <c r="D276" s="179">
        <f t="shared" si="14"/>
        <v>680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55</v>
      </c>
      <c r="B277" s="181">
        <f>'Données projet'!D250</f>
        <v>13</v>
      </c>
      <c r="C277" s="193">
        <v>40</v>
      </c>
      <c r="D277" s="179">
        <f t="shared" si="14"/>
        <v>520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60</v>
      </c>
      <c r="B278" s="181">
        <f>'Données projet'!D251</f>
        <v>301</v>
      </c>
      <c r="C278" s="193">
        <v>60</v>
      </c>
      <c r="D278" s="179">
        <f t="shared" si="14"/>
        <v>18060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v>80</v>
      </c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v>120</v>
      </c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3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3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3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3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3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3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3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3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3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3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Anatole Lefébure</cp:lastModifiedBy>
  <dcterms:created xsi:type="dcterms:W3CDTF">2021-02-01T08:22:39Z</dcterms:created>
  <dcterms:modified xsi:type="dcterms:W3CDTF">2023-09-20T14:49:12Z</dcterms:modified>
</cp:coreProperties>
</file>