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essart la dame 14891557\"/>
    </mc:Choice>
  </mc:AlternateContent>
  <xr:revisionPtr revIDLastSave="0" documentId="13_ncr:1_{6B9F2C0A-9FE4-4C10-B315-E792B5844221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6" i="1" l="1"/>
  <c r="D146" i="1" s="1"/>
  <c r="B68" i="1"/>
  <c r="D68" i="1" s="1"/>
  <c r="B43" i="1"/>
  <c r="D43" i="1" s="1"/>
  <c r="D42" i="1"/>
  <c r="D41" i="1"/>
  <c r="D40" i="1"/>
  <c r="D39" i="1"/>
  <c r="D38" i="1"/>
  <c r="D37" i="1"/>
  <c r="D121" i="1"/>
  <c r="B121" i="1"/>
  <c r="D120" i="1"/>
  <c r="D119" i="1"/>
  <c r="D118" i="1"/>
  <c r="D117" i="1"/>
  <c r="D116" i="1"/>
  <c r="D115" i="1"/>
  <c r="B96" i="1"/>
  <c r="B95" i="1"/>
  <c r="B94" i="1"/>
  <c r="B93" i="1"/>
  <c r="B92" i="1"/>
  <c r="B91" i="1"/>
  <c r="B90" i="1"/>
  <c r="B8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7" i="2" a="1"/>
  <c r="BC7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<sst xmlns="http://schemas.openxmlformats.org/spreadsheetml/2006/main" count="1174" uniqueCount="324">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</sst>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15" sqref="C1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21.47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0.23164999999999999</v>
      </c>
      <c r="D9" s="33">
        <f t="shared" ref="D9:D18" si="0">C9*$C$5</f>
        <v>4.9735255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0.23164999999999999</v>
      </c>
      <c r="D10" s="33">
        <f t="shared" si="0"/>
        <v>4.9735255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0.33329999999999999</v>
      </c>
      <c r="D11" s="33">
        <f t="shared" si="0"/>
        <v>7.1559509999999991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18</v>
      </c>
      <c r="C12" s="32">
        <v>0.10165</v>
      </c>
      <c r="D12" s="33">
        <f t="shared" si="0"/>
        <v>2.1824254999999999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27</v>
      </c>
      <c r="C13" s="32">
        <v>0.10165</v>
      </c>
      <c r="D13" s="33">
        <f t="shared" si="0"/>
        <v>2.1824254999999999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0.99990000000000001</v>
      </c>
      <c r="D19" s="38">
        <f>SUM(D9:D18)</f>
        <v>21.467853000000002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12</v>
      </c>
      <c r="C36" s="60"/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162</v>
      </c>
      <c r="C37" s="60">
        <v>1</v>
      </c>
      <c r="D37" s="60">
        <f>7+56</f>
        <v>63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321</v>
      </c>
      <c r="C38" s="60">
        <v>2</v>
      </c>
      <c r="D38" s="60">
        <f>56+56</f>
        <v>112</v>
      </c>
      <c r="E38" s="51">
        <v>0.1</v>
      </c>
      <c r="F38" s="51">
        <v>0.45</v>
      </c>
      <c r="G38" s="51">
        <v>0.45</v>
      </c>
      <c r="H38" s="51"/>
      <c r="I38" s="53">
        <f t="shared" si="1"/>
        <v>22.2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429</v>
      </c>
      <c r="C39" s="60">
        <v>3</v>
      </c>
      <c r="D39" s="60">
        <f>56+56</f>
        <v>112</v>
      </c>
      <c r="E39" s="51"/>
      <c r="F39" s="51"/>
      <c r="G39" s="51"/>
      <c r="H39" s="51"/>
      <c r="I39" s="49">
        <f t="shared" si="1"/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509</v>
      </c>
      <c r="C40" s="60">
        <v>4</v>
      </c>
      <c r="D40" s="60">
        <f>56+52</f>
        <v>108</v>
      </c>
      <c r="E40" s="51"/>
      <c r="F40" s="51"/>
      <c r="G40" s="51"/>
      <c r="H40" s="51"/>
      <c r="I40" s="49">
        <f t="shared" si="1"/>
        <v>19.2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563</v>
      </c>
      <c r="C41" s="60">
        <v>5</v>
      </c>
      <c r="D41" s="60">
        <f>44+39</f>
        <v>83</v>
      </c>
      <c r="E41" s="51"/>
      <c r="F41" s="51"/>
      <c r="G41" s="51"/>
      <c r="H41" s="51"/>
      <c r="I41" s="53">
        <f t="shared" si="1"/>
        <v>16.2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614</v>
      </c>
      <c r="C42" s="60">
        <v>6</v>
      </c>
      <c r="D42" s="60">
        <f>35+32</f>
        <v>67</v>
      </c>
      <c r="E42" s="51"/>
      <c r="F42" s="51"/>
      <c r="G42" s="51"/>
      <c r="H42" s="51"/>
      <c r="I42" s="53">
        <f t="shared" si="1"/>
        <v>13.4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592+59</f>
        <v>651</v>
      </c>
      <c r="C43" s="60">
        <v>7</v>
      </c>
      <c r="D43" s="60">
        <f>B43</f>
        <v>651</v>
      </c>
      <c r="E43" s="51"/>
      <c r="F43" s="51"/>
      <c r="G43" s="51"/>
      <c r="H43" s="51"/>
      <c r="I43" s="49">
        <f t="shared" si="1"/>
        <v>10.4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118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220</v>
      </c>
      <c r="C63" s="60">
        <v>2</v>
      </c>
      <c r="D63" s="60">
        <v>70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13.9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283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323</v>
      </c>
      <c r="C65" s="60">
        <v>4</v>
      </c>
      <c r="D65" s="60">
        <v>60</v>
      </c>
      <c r="E65" s="51"/>
      <c r="F65" s="51"/>
      <c r="G65" s="51"/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351</v>
      </c>
      <c r="C66" s="60">
        <v>5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372</v>
      </c>
      <c r="C67" s="60">
        <v>6</v>
      </c>
      <c r="D67" s="60">
        <v>36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358+29</f>
        <v>387</v>
      </c>
      <c r="C68" s="60">
        <v>7</v>
      </c>
      <c r="D68" s="60">
        <f>B68</f>
        <v>387</v>
      </c>
      <c r="E68" s="51"/>
      <c r="F68" s="51"/>
      <c r="G68" s="51"/>
      <c r="H68" s="51"/>
      <c r="I68" s="49">
        <f t="shared" si="2"/>
        <v>5.0999999999999996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250-D88</f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350-SUM(D88:D89)</f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3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465-SUM(D88:D90)</f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3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600-SUM(D88:D91)</f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3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755-SUM(D88:D92)</f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925-SUM(D88:D93)</f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1100-SUM(D88:D94)</f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1285-SUM(D88:D95)</f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20</v>
      </c>
      <c r="C114" s="50"/>
      <c r="D114" s="60">
        <v>0</v>
      </c>
      <c r="E114" s="51"/>
      <c r="F114" s="51"/>
      <c r="G114" s="51"/>
      <c r="H114" s="51"/>
      <c r="I114" s="53">
        <f>IFERROR(B114/A114,"")</f>
        <v>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195</v>
      </c>
      <c r="C115" s="50">
        <v>1</v>
      </c>
      <c r="D115" s="60">
        <f>21+63</f>
        <v>84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17.5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360</v>
      </c>
      <c r="C116" s="50">
        <v>2</v>
      </c>
      <c r="D116" s="60">
        <f>63+63</f>
        <v>126</v>
      </c>
      <c r="E116" s="51">
        <v>0.2</v>
      </c>
      <c r="F116" s="51">
        <v>0.4</v>
      </c>
      <c r="G116" s="51">
        <v>0.4</v>
      </c>
      <c r="H116" s="51"/>
      <c r="I116" s="53">
        <f t="shared" si="4"/>
        <v>24.9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477</v>
      </c>
      <c r="C117" s="50">
        <v>3</v>
      </c>
      <c r="D117" s="60">
        <f>63+63</f>
        <v>126</v>
      </c>
      <c r="E117" s="51"/>
      <c r="F117" s="51"/>
      <c r="G117" s="51"/>
      <c r="H117" s="51"/>
      <c r="I117" s="53">
        <f t="shared" si="4"/>
        <v>24.3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561</v>
      </c>
      <c r="C118" s="50">
        <v>4</v>
      </c>
      <c r="D118" s="60">
        <f>63+56</f>
        <v>119</v>
      </c>
      <c r="E118" s="51"/>
      <c r="F118" s="51"/>
      <c r="G118" s="51"/>
      <c r="H118" s="51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622</v>
      </c>
      <c r="C119" s="50">
        <v>5</v>
      </c>
      <c r="D119" s="60">
        <f>48+42</f>
        <v>90</v>
      </c>
      <c r="E119" s="51"/>
      <c r="F119" s="51"/>
      <c r="G119" s="51"/>
      <c r="H119" s="51"/>
      <c r="I119" s="53">
        <f t="shared" si="4"/>
        <v>18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677</v>
      </c>
      <c r="C120" s="60">
        <v>6</v>
      </c>
      <c r="D120" s="60">
        <f>39+36</f>
        <v>75</v>
      </c>
      <c r="E120" s="87"/>
      <c r="F120" s="87"/>
      <c r="G120" s="87"/>
      <c r="H120" s="87"/>
      <c r="I120" s="53">
        <f t="shared" si="4"/>
        <v>14.5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654+65</f>
        <v>719</v>
      </c>
      <c r="C121" s="60">
        <v>7</v>
      </c>
      <c r="D121" s="60">
        <f>B121</f>
        <v>719</v>
      </c>
      <c r="E121" s="87"/>
      <c r="F121" s="87"/>
      <c r="G121" s="87"/>
      <c r="H121" s="87"/>
      <c r="I121" s="53">
        <f t="shared" si="4"/>
        <v>11.7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Mélèze d'Europe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158</v>
      </c>
      <c r="C140" s="50">
        <v>1</v>
      </c>
      <c r="D140" s="60">
        <v>60</v>
      </c>
      <c r="E140" s="51"/>
      <c r="F140" s="51">
        <v>0.5</v>
      </c>
      <c r="G140" s="51">
        <v>0.5</v>
      </c>
      <c r="H140" s="51"/>
      <c r="I140" s="57">
        <f>IFERROR(B140/A140,"")</f>
        <v>7.9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263</v>
      </c>
      <c r="C141" s="50">
        <v>2</v>
      </c>
      <c r="D141" s="60">
        <v>84</v>
      </c>
      <c r="E141" s="51">
        <v>0.2</v>
      </c>
      <c r="F141" s="51">
        <v>0.4</v>
      </c>
      <c r="G141" s="51">
        <v>0.4</v>
      </c>
      <c r="H141" s="51"/>
      <c r="I141" s="57">
        <f t="shared" ref="I141:I159" si="5">IF(A141&lt;&gt;0,(B141-(B140-D140))/(A141-A140),"")</f>
        <v>16.5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330</v>
      </c>
      <c r="C142" s="50">
        <v>3</v>
      </c>
      <c r="D142" s="60">
        <v>82</v>
      </c>
      <c r="E142" s="51"/>
      <c r="F142" s="51"/>
      <c r="G142" s="51"/>
      <c r="H142" s="51"/>
      <c r="I142" s="57">
        <f t="shared" si="5"/>
        <v>15.1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372</v>
      </c>
      <c r="C143" s="50">
        <v>4</v>
      </c>
      <c r="D143" s="60">
        <v>68</v>
      </c>
      <c r="E143" s="51"/>
      <c r="F143" s="51"/>
      <c r="G143" s="51"/>
      <c r="H143" s="51"/>
      <c r="I143" s="57">
        <f t="shared" si="5"/>
        <v>12.4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404</v>
      </c>
      <c r="C144" s="50">
        <v>5</v>
      </c>
      <c r="D144" s="60">
        <v>55</v>
      </c>
      <c r="E144" s="51"/>
      <c r="F144" s="51"/>
      <c r="G144" s="51"/>
      <c r="H144" s="51"/>
      <c r="I144" s="57">
        <f t="shared" si="5"/>
        <v>10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427</v>
      </c>
      <c r="C145" s="50">
        <v>6</v>
      </c>
      <c r="D145" s="60">
        <v>45</v>
      </c>
      <c r="E145" s="51"/>
      <c r="F145" s="51"/>
      <c r="G145" s="51"/>
      <c r="H145" s="51"/>
      <c r="I145" s="57">
        <f t="shared" si="5"/>
        <v>7.8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f>406+36</f>
        <v>442</v>
      </c>
      <c r="C146" s="50">
        <v>7</v>
      </c>
      <c r="D146" s="60">
        <f>B146</f>
        <v>442</v>
      </c>
      <c r="E146" s="51"/>
      <c r="F146" s="51"/>
      <c r="G146" s="51"/>
      <c r="H146" s="51"/>
      <c r="I146" s="57">
        <f t="shared" si="5"/>
        <v>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Mélèze d'Europe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356.67698551373468</v>
      </c>
      <c r="T3" s="59">
        <f>IF('Données projet'!E9&gt;30,$R$33-$H$33,LOOKUP('Données projet'!$E$9,$A$3:$A$203,R3:R203)-LOOKUP('Données projet'!$E$9,$A$3:$A$203,$H$3:$H$203))</f>
        <v>353.21836615408171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240.30073883588199</v>
      </c>
      <c r="AO3" s="59">
        <f>IF('Données projet'!E10&gt;30,$AM$33-$H$33,LOOKUP('Données projet'!$E$10,$A$3:$A$203,AM3:AM203)-LOOKUP('Données projet'!$E$10,$A$3:$A$203,$H$3:$H$203))</f>
        <v>263.20351282678843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252.98248842635206</v>
      </c>
      <c r="BJ3" s="59">
        <f>IF('Données projet'!E11&gt;30,$BH$33-$H$33,LOOKUP('Données projet'!$E$11,$A$3:$A$203,BH3:BH203)-LOOKUP('Données projet'!$E$11,$A$3:$A$203,$H$3:$H$203))</f>
        <v>207.11938580878308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401.06118089678654</v>
      </c>
      <c r="CE3" s="59">
        <f>IF('Données projet'!E12&gt;30,$CC$33-$H$33,LOOKUP('Données projet'!$E$12,$A$3:$A$203,CC3:CC203)-LOOKUP('Données projet'!$E$12,$A$3:$A$203,$H$3:$H$203))</f>
        <v>399.58193819355591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285.77483300338548</v>
      </c>
      <c r="CZ3" s="59">
        <f>IF('Données projet'!E13&gt;30,$CX$33-$H$33,LOOKUP('Données projet'!$E$13,$A$3:$A$203,CX3:CX203)-LOOKUP('Données projet'!$E$13,$A$3:$A$203,$H$3:$H$203))</f>
        <v>320.55212417690637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1.2820888539868154</v>
      </c>
      <c r="O4" s="13">
        <f>N4*VLOOKUP('Données projet'!$B$9,Paramètres!$A$1:$I$89,3,0)*VLOOKUP('Données projet'!$B$9,Paramètres!$A$1:$I$89,5,0)</f>
        <v>0.71668766937862982</v>
      </c>
      <c r="P4" s="13">
        <f>EXP(-1.0587+0.8836*LN(O4)+0.284)</f>
        <v>0.3433377788328647</v>
      </c>
      <c r="Q4" s="20">
        <f t="shared" ref="Q4:Q34" si="2">(O4+P4)*0.475*44/12</f>
        <v>1.8462109889683529</v>
      </c>
      <c r="R4" s="59">
        <f t="shared" si="0"/>
        <v>295.17954432230169</v>
      </c>
      <c r="S4" s="59">
        <f ca="1">AVERAGE(OFFSET($R$3,0,0,'Données projet'!$E$9+1,1))-AVERAGE(OFFSET($H$3,0,0,'Données projet'!$E$9+1,1))</f>
        <v>356.67698551373468</v>
      </c>
      <c r="T4" s="59">
        <f>$T$3</f>
        <v>353.21836615408171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1.2693871579679339</v>
      </c>
      <c r="AJ4" s="13">
        <f>AI4*VLOOKUP('Données projet'!$B$10,Paramètres!$A$1:$I$89,3,0)*VLOOKUP('Données projet'!$B$10,Paramètres!$A$1:$I$89,5,0)</f>
        <v>0.79209758657199081</v>
      </c>
      <c r="AK4" s="13">
        <f>EXP(-1.0587+0.8836*LN(AJ4)+0.284)</f>
        <v>0.37507050689117594</v>
      </c>
      <c r="AL4" s="20">
        <f t="shared" ref="AL4:AL67" si="4">(AJ4+AK4)*0.475*44/12</f>
        <v>2.0328177627816819</v>
      </c>
      <c r="AM4" s="59">
        <f t="shared" ref="AM4:AM67" si="5">AL4+(AD4+AE4)*44/12</f>
        <v>295.366151096115</v>
      </c>
      <c r="AN4" s="59">
        <f ca="1">AVERAGE(OFFSET($AM$3,0,0,'Données projet'!$E$10+1,1))-AVERAGE(OFFSET($H$3,0,0,'Données projet'!$E$10+1,1))</f>
        <v>240.30073883588199</v>
      </c>
      <c r="AO4" s="59">
        <f>$AO$3</f>
        <v>263.20351282678843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252.98248842635206</v>
      </c>
      <c r="BJ4" s="59">
        <f>$BJ$3</f>
        <v>207.11938580878308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</v>
      </c>
      <c r="BY4" s="12">
        <f>IF('Données projet'!$A$114&gt;35,BY3+BX4-CG3,IF(A4&lt;'Données projet'!$A$114,$BV$205^A4,IF(A4='Données projet'!$A$114,'Données projet'!$B$114,BY3+BX4-CG3)))</f>
        <v>1.3492828476735632</v>
      </c>
      <c r="BZ4" s="13">
        <f>BY4*VLOOKUP('Données projet'!$B$12,Paramètres!$A$1:$I$89,3,0)*VLOOKUP('Données projet'!$B$12,Paramètres!$A$1:$I$89,5,0)</f>
        <v>0.75424911184952181</v>
      </c>
      <c r="CA4" s="13">
        <f>EXP(-1.0587+0.8836*LN(BZ4)+0.284)</f>
        <v>0.3591899268142314</v>
      </c>
      <c r="CB4" s="20">
        <f t="shared" ref="CB4:CB67" si="10">(BZ4+CA4)*0.475*44/12</f>
        <v>1.9392396590060368</v>
      </c>
      <c r="CC4" s="59">
        <f t="shared" ref="CC4:CC67" si="11">CB4+(BT4+BU4)*44/12</f>
        <v>295.27257299233935</v>
      </c>
      <c r="CD4" s="59">
        <f ca="1">AVERAGE(OFFSET($CC$3,0,0,'Données projet'!$E$12+1,1))-AVERAGE(OFFSET($H$3,0,0,'Données projet'!$E$12+1,1))</f>
        <v>401.06118089678654</v>
      </c>
      <c r="CE4" s="59">
        <f>$CE$3</f>
        <v>399.58193819355591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7.9</v>
      </c>
      <c r="CT4" s="12">
        <f>IF('Données projet'!$A$140&gt;35,CT3+CS4-DB3,IF(A4&lt;'Données projet'!$A$140,$CQ$205^A4,IF(A4='Données projet'!$A$140,'Données projet'!$B$140,CT3+CS4-DB3)))</f>
        <v>1.2880503926580862</v>
      </c>
      <c r="CU4" s="17">
        <f>CT4*VLOOKUP('Données projet'!$B$13,Paramètres!$A$1:$I$89,3,0)*VLOOKUP('Données projet'!$B$13,Paramètres!$A$1:$I$89,5,0)</f>
        <v>0.80374344501864581</v>
      </c>
      <c r="CV4" s="13">
        <f>EXP(-1.0587+0.8836*LN(CU4)+0.284)</f>
        <v>0.37993896770707264</v>
      </c>
      <c r="CW4" s="20">
        <f t="shared" ref="CW4:CW67" si="13">(CU4+CV4)*0.475*44/12</f>
        <v>2.0615802021639595</v>
      </c>
      <c r="CX4" s="59">
        <f t="shared" ref="CX4:CX67" si="14">CW4+(CO4+CP4)*44/12</f>
        <v>295.39491353549727</v>
      </c>
      <c r="CY4" s="59">
        <f ca="1">AVERAGE(OFFSET($CX$3,0,0,'Données projet'!$E$13+1,1))-AVERAGE(OFFSET($H$3,0,0,'Données projet'!$E$13+1,1))</f>
        <v>285.77483300338548</v>
      </c>
      <c r="CZ4" s="59">
        <f>$CZ$3</f>
        <v>320.55212417690637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1.6437518295172255</v>
      </c>
      <c r="O5" s="13">
        <f>N5*VLOOKUP('Données projet'!$B$9,Paramètres!$A$1:$I$89,3,0)*VLOOKUP('Données projet'!$B$9,Paramètres!$A$1:$I$89,5,0)</f>
        <v>0.91885727270012907</v>
      </c>
      <c r="P5" s="13">
        <f t="shared" ref="P5:P68" si="33">EXP(-1.0587+0.8836*LN(O5)+0.284)</f>
        <v>0.4276397314244611</v>
      </c>
      <c r="Q5" s="20">
        <f t="shared" si="2"/>
        <v>2.3451489488503281</v>
      </c>
      <c r="R5" s="59">
        <f t="shared" si="0"/>
        <v>295.67848228218367</v>
      </c>
      <c r="S5" s="59">
        <f ca="1">AVERAGE(OFFSET($R$3,0,0,'Données projet'!$E$9+1,1))-AVERAGE(OFFSET($H$3,0,0,'Données projet'!$E$9+1,1))</f>
        <v>356.67698551373468</v>
      </c>
      <c r="T5" s="59">
        <f t="shared" ref="T5:T68" si="34">$T$3</f>
        <v>353.21836615408171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1.6113437568139084</v>
      </c>
      <c r="AJ5" s="13">
        <f>AI5*VLOOKUP('Données projet'!$B$10,Paramètres!$A$1:$I$89,3,0)*VLOOKUP('Données projet'!$B$10,Paramètres!$A$1:$I$89,5,0)</f>
        <v>1.0054785042518788</v>
      </c>
      <c r="AK5" s="13">
        <f t="shared" ref="AK5:AK68" si="35">EXP(-1.0587+0.8836*LN(AJ5)+0.284)</f>
        <v>0.46307214995521828</v>
      </c>
      <c r="AL5" s="20">
        <f t="shared" si="4"/>
        <v>2.5577257227440273</v>
      </c>
      <c r="AM5" s="59">
        <f t="shared" si="5"/>
        <v>295.89105905607732</v>
      </c>
      <c r="AN5" s="59">
        <f ca="1">AVERAGE(OFFSET($AM$3,0,0,'Données projet'!$E$10+1,1))-AVERAGE(OFFSET($H$3,0,0,'Données projet'!$E$10+1,1))</f>
        <v>240.30073883588199</v>
      </c>
      <c r="AO5" s="59">
        <f t="shared" ref="AO5:AO68" si="36">$AO$3</f>
        <v>263.20351282678843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252.98248842635206</v>
      </c>
      <c r="BJ5" s="59">
        <f t="shared" ref="BJ5:BJ68" si="38">$BJ$3</f>
        <v>207.11938580878308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</v>
      </c>
      <c r="BY5" s="12">
        <f>IF('Données projet'!$A$114&gt;35,BY4+BX5-CG4,IF(A5&lt;'Données projet'!$A$114,$BV$205^A5,IF(A5='Données projet'!$A$114,'Données projet'!$B$114,BY4+BX5-CG4)))</f>
        <v>1.82056420302608</v>
      </c>
      <c r="BZ5" s="13">
        <f>BY5*VLOOKUP('Données projet'!$B$12,Paramètres!$A$1:$I$89,3,0)*VLOOKUP('Données projet'!$B$12,Paramètres!$A$1:$I$89,5,0)</f>
        <v>1.0176953894915788</v>
      </c>
      <c r="CA5" s="13">
        <f t="shared" ref="CA5:CA68" si="39">EXP(-1.0587+0.8836*LN(BZ5)+0.284)</f>
        <v>0.46804020312241645</v>
      </c>
      <c r="CB5" s="20">
        <f t="shared" si="10"/>
        <v>2.5876561571360415</v>
      </c>
      <c r="CC5" s="59">
        <f t="shared" si="11"/>
        <v>295.92098949046937</v>
      </c>
      <c r="CD5" s="59">
        <f ca="1">AVERAGE(OFFSET($CC$3,0,0,'Données projet'!$E$12+1,1))-AVERAGE(OFFSET($H$3,0,0,'Données projet'!$E$12+1,1))</f>
        <v>401.06118089678654</v>
      </c>
      <c r="CE5" s="59">
        <f t="shared" ref="CE5:CE68" si="40">$CE$3</f>
        <v>399.58193819355591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7.9</v>
      </c>
      <c r="CT5" s="12">
        <f>IF('Données projet'!$A$140&gt;35,CT4+CS5-DB4,IF(A5&lt;'Données projet'!$A$140,$CQ$205^A5,IF(A5='Données projet'!$A$140,'Données projet'!$B$140,CT4+CS5-DB4)))</f>
        <v>1.6590738140266501</v>
      </c>
      <c r="CU5" s="17">
        <f>CT5*VLOOKUP('Données projet'!$B$13,Paramètres!$A$1:$I$89,3,0)*VLOOKUP('Données projet'!$B$13,Paramètres!$A$1:$I$89,5,0)</f>
        <v>1.0352620599526297</v>
      </c>
      <c r="CV5" s="13">
        <f t="shared" ref="CV5:CV68" si="41">EXP(-1.0587+0.8836*LN(CU5)+0.284)</f>
        <v>0.4751716356997846</v>
      </c>
      <c r="CW5" s="20">
        <f t="shared" si="13"/>
        <v>2.6306720199279545</v>
      </c>
      <c r="CX5" s="59">
        <f t="shared" si="14"/>
        <v>295.96400535326126</v>
      </c>
      <c r="CY5" s="59">
        <f ca="1">AVERAGE(OFFSET($CX$3,0,0,'Données projet'!$E$13+1,1))-AVERAGE(OFFSET($H$3,0,0,'Données projet'!$E$13+1,1))</f>
        <v>285.77483300338548</v>
      </c>
      <c r="CZ5" s="59">
        <f t="shared" ref="CZ5:CZ68" si="42">$CZ$3</f>
        <v>320.55212417690637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2.1074358993444706</v>
      </c>
      <c r="O6" s="13">
        <f>N6*VLOOKUP('Données projet'!$B$9,Paramètres!$A$1:$I$89,3,0)*VLOOKUP('Données projet'!$B$9,Paramètres!$A$1:$I$89,5,0)</f>
        <v>1.1780566677335591</v>
      </c>
      <c r="P6" s="13">
        <f t="shared" si="33"/>
        <v>0.532640889430954</v>
      </c>
      <c r="Q6" s="20">
        <f t="shared" si="2"/>
        <v>2.9794649120615269</v>
      </c>
      <c r="R6" s="59">
        <f t="shared" si="0"/>
        <v>296.31279824539484</v>
      </c>
      <c r="S6" s="59">
        <f ca="1">AVERAGE(OFFSET($R$3,0,0,'Données projet'!$E$9+1,1))-AVERAGE(OFFSET($H$3,0,0,'Données projet'!$E$9+1,1))</f>
        <v>356.67698551373468</v>
      </c>
      <c r="T6" s="59">
        <f t="shared" si="34"/>
        <v>353.21836615408171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2.0454190719713807</v>
      </c>
      <c r="AJ6" s="13">
        <f>AI6*VLOOKUP('Données projet'!$B$10,Paramètres!$A$1:$I$89,3,0)*VLOOKUP('Données projet'!$B$10,Paramètres!$A$1:$I$89,5,0)</f>
        <v>1.2763415009101415</v>
      </c>
      <c r="AK6" s="13">
        <f t="shared" si="35"/>
        <v>0.57172134871794966</v>
      </c>
      <c r="AL6" s="20">
        <f t="shared" si="4"/>
        <v>3.2187094631022588</v>
      </c>
      <c r="AM6" s="59">
        <f t="shared" si="5"/>
        <v>296.55204279643556</v>
      </c>
      <c r="AN6" s="59">
        <f ca="1">AVERAGE(OFFSET($AM$3,0,0,'Données projet'!$E$10+1,1))-AVERAGE(OFFSET($H$3,0,0,'Données projet'!$E$10+1,1))</f>
        <v>240.30073883588199</v>
      </c>
      <c r="AO6" s="59">
        <f t="shared" si="36"/>
        <v>263.20351282678843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252.98248842635206</v>
      </c>
      <c r="BJ6" s="59">
        <f t="shared" si="38"/>
        <v>207.11938580878308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</v>
      </c>
      <c r="BY6" s="12">
        <f>IF('Données projet'!$A$114&gt;35,BY5+BX6-CG5,IF(A6&lt;'Données projet'!$A$114,$BV$205^A6,IF(A6='Données projet'!$A$114,'Données projet'!$B$114,BY5+BX6-CG5)))</f>
        <v>2.4564560522315801</v>
      </c>
      <c r="BZ6" s="13">
        <f>BY6*VLOOKUP('Données projet'!$B$12,Paramètres!$A$1:$I$89,3,0)*VLOOKUP('Données projet'!$B$12,Paramètres!$A$1:$I$89,5,0)</f>
        <v>1.3731589331974534</v>
      </c>
      <c r="CA6" s="13">
        <f t="shared" si="39"/>
        <v>0.60987687957120462</v>
      </c>
      <c r="CB6" s="20">
        <f t="shared" si="10"/>
        <v>3.453787373905413</v>
      </c>
      <c r="CC6" s="59">
        <f t="shared" si="11"/>
        <v>296.78712070723873</v>
      </c>
      <c r="CD6" s="59">
        <f ca="1">AVERAGE(OFFSET($CC$3,0,0,'Données projet'!$E$12+1,1))-AVERAGE(OFFSET($H$3,0,0,'Données projet'!$E$12+1,1))</f>
        <v>401.06118089678654</v>
      </c>
      <c r="CE6" s="59">
        <f t="shared" si="40"/>
        <v>399.58193819355591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7.9</v>
      </c>
      <c r="CT6" s="12">
        <f>IF('Données projet'!$A$140&gt;35,CT5+CS6-DB5,IF(A6&lt;'Données projet'!$A$140,$CQ$205^A6,IF(A6='Données projet'!$A$140,'Données projet'!$B$140,CT5+CS6-DB5)))</f>
        <v>2.1369706776057753</v>
      </c>
      <c r="CU6" s="17">
        <f>CT6*VLOOKUP('Données projet'!$B$13,Paramètres!$A$1:$I$89,3,0)*VLOOKUP('Données projet'!$B$13,Paramètres!$A$1:$I$89,5,0)</f>
        <v>1.3334697028260039</v>
      </c>
      <c r="CV6" s="13">
        <f t="shared" si="41"/>
        <v>0.59427461398928705</v>
      </c>
      <c r="CW6" s="20">
        <f t="shared" si="13"/>
        <v>3.357488018453298</v>
      </c>
      <c r="CX6" s="59">
        <f t="shared" si="14"/>
        <v>296.69082135178661</v>
      </c>
      <c r="CY6" s="59">
        <f ca="1">AVERAGE(OFFSET($CX$3,0,0,'Données projet'!$E$13+1,1))-AVERAGE(OFFSET($H$3,0,0,'Données projet'!$E$13+1,1))</f>
        <v>285.77483300338548</v>
      </c>
      <c r="CZ6" s="59">
        <f t="shared" si="42"/>
        <v>320.55212417690637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2.7019200770412262</v>
      </c>
      <c r="O7" s="13">
        <f>N7*VLOOKUP('Données projet'!$B$9,Paramètres!$A$1:$I$89,3,0)*VLOOKUP('Données projet'!$B$9,Paramètres!$A$1:$I$89,5,0)</f>
        <v>1.5103733230660454</v>
      </c>
      <c r="P7" s="13">
        <f t="shared" si="33"/>
        <v>0.66342366306511447</v>
      </c>
      <c r="Q7" s="20">
        <f t="shared" si="2"/>
        <v>3.786029750845104</v>
      </c>
      <c r="R7" s="59">
        <f t="shared" si="0"/>
        <v>297.11936308417842</v>
      </c>
      <c r="S7" s="59">
        <f ca="1">AVERAGE(OFFSET($R$3,0,0,'Données projet'!$E$9+1,1))-AVERAGE(OFFSET($H$3,0,0,'Données projet'!$E$9+1,1))</f>
        <v>356.67698551373468</v>
      </c>
      <c r="T7" s="59">
        <f t="shared" si="34"/>
        <v>353.21836615408171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2.5964287026231601</v>
      </c>
      <c r="AJ7" s="13">
        <f>AI7*VLOOKUP('Données projet'!$B$10,Paramètres!$A$1:$I$89,3,0)*VLOOKUP('Données projet'!$B$10,Paramètres!$A$1:$I$89,5,0)</f>
        <v>1.6201715104368517</v>
      </c>
      <c r="AK7" s="13">
        <f t="shared" si="35"/>
        <v>0.70586257586745638</v>
      </c>
      <c r="AL7" s="20">
        <f t="shared" si="4"/>
        <v>4.0511760336466702</v>
      </c>
      <c r="AM7" s="59">
        <f t="shared" si="5"/>
        <v>297.38450936698001</v>
      </c>
      <c r="AN7" s="59">
        <f ca="1">AVERAGE(OFFSET($AM$3,0,0,'Données projet'!$E$10+1,1))-AVERAGE(OFFSET($H$3,0,0,'Données projet'!$E$10+1,1))</f>
        <v>240.30073883588199</v>
      </c>
      <c r="AO7" s="59">
        <f t="shared" si="36"/>
        <v>263.20351282678843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252.98248842635206</v>
      </c>
      <c r="BJ7" s="59">
        <f t="shared" si="38"/>
        <v>207.11938580878308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</v>
      </c>
      <c r="BY7" s="12">
        <f>IF('Données projet'!$A$114&gt;35,BY6+BX7-CG6,IF(A7&lt;'Données projet'!$A$114,$BV$205^A7,IF(A7='Données projet'!$A$114,'Données projet'!$B$114,BY6+BX7-CG6)))</f>
        <v>3.3144540173399859</v>
      </c>
      <c r="BZ7" s="13">
        <f>BY7*VLOOKUP('Données projet'!$B$12,Paramètres!$A$1:$I$89,3,0)*VLOOKUP('Données projet'!$B$12,Paramètres!$A$1:$I$89,5,0)</f>
        <v>1.8527797956930523</v>
      </c>
      <c r="CA7" s="13">
        <f t="shared" si="39"/>
        <v>0.79469627983693913</v>
      </c>
      <c r="CB7" s="20">
        <f t="shared" si="10"/>
        <v>4.6110208315480676</v>
      </c>
      <c r="CC7" s="59">
        <f t="shared" si="11"/>
        <v>297.94435416488136</v>
      </c>
      <c r="CD7" s="59">
        <f ca="1">AVERAGE(OFFSET($CC$3,0,0,'Données projet'!$E$12+1,1))-AVERAGE(OFFSET($H$3,0,0,'Données projet'!$E$12+1,1))</f>
        <v>401.06118089678654</v>
      </c>
      <c r="CE7" s="59">
        <f t="shared" si="40"/>
        <v>399.58193819355591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7.9</v>
      </c>
      <c r="CT7" s="12">
        <f>IF('Données projet'!$A$140&gt;35,CT6+CS7-DB6,IF(A7&lt;'Données projet'!$A$140,$CQ$205^A7,IF(A7='Données projet'!$A$140,'Données projet'!$B$140,CT6+CS7-DB6)))</f>
        <v>2.7525259203889356</v>
      </c>
      <c r="CU7" s="17">
        <f>CT7*VLOOKUP('Données projet'!$B$13,Paramètres!$A$1:$I$89,3,0)*VLOOKUP('Données projet'!$B$13,Paramètres!$A$1:$I$89,5,0)</f>
        <v>1.7175761743226958</v>
      </c>
      <c r="CV7" s="13">
        <f t="shared" si="41"/>
        <v>0.74323105652553223</v>
      </c>
      <c r="CW7" s="20">
        <f t="shared" si="13"/>
        <v>4.2859059270606634</v>
      </c>
      <c r="CX7" s="59">
        <f t="shared" si="14"/>
        <v>297.61923926039395</v>
      </c>
      <c r="CY7" s="59">
        <f ca="1">AVERAGE(OFFSET($CX$3,0,0,'Données projet'!$E$13+1,1))-AVERAGE(OFFSET($H$3,0,0,'Données projet'!$E$13+1,1))</f>
        <v>285.77483300338548</v>
      </c>
      <c r="CZ7" s="59">
        <f t="shared" si="42"/>
        <v>320.55212417690637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3.4641016151377535</v>
      </c>
      <c r="O8" s="13">
        <f>N8*VLOOKUP('Données projet'!$B$9,Paramètres!$A$1:$I$89,3,0)*VLOOKUP('Données projet'!$B$9,Paramètres!$A$1:$I$89,5,0)</f>
        <v>1.9364328028620041</v>
      </c>
      <c r="P8" s="13">
        <f t="shared" si="33"/>
        <v>0.82631837969658639</v>
      </c>
      <c r="Q8" s="20">
        <f t="shared" si="2"/>
        <v>4.8117916429562113</v>
      </c>
      <c r="R8" s="59">
        <f t="shared" si="0"/>
        <v>298.14512497628954</v>
      </c>
      <c r="S8" s="59">
        <f ca="1">AVERAGE(OFFSET($R$3,0,0,'Données projet'!$E$9+1,1))-AVERAGE(OFFSET($H$3,0,0,'Données projet'!$E$9+1,1))</f>
        <v>356.67698551373468</v>
      </c>
      <c r="T8" s="59">
        <f t="shared" si="34"/>
        <v>353.21836615408171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3.2958732516891831</v>
      </c>
      <c r="AJ8" s="13">
        <f>AI8*VLOOKUP('Données projet'!$B$10,Paramètres!$A$1:$I$89,3,0)*VLOOKUP('Données projet'!$B$10,Paramètres!$A$1:$I$89,5,0)</f>
        <v>2.0566249090540505</v>
      </c>
      <c r="AK8" s="13">
        <f t="shared" si="35"/>
        <v>0.87147694786545582</v>
      </c>
      <c r="AL8" s="20">
        <f t="shared" si="4"/>
        <v>5.0997774008014733</v>
      </c>
      <c r="AM8" s="59">
        <f t="shared" si="5"/>
        <v>298.4331107341348</v>
      </c>
      <c r="AN8" s="59">
        <f ca="1">AVERAGE(OFFSET($AM$3,0,0,'Données projet'!$E$10+1,1))-AVERAGE(OFFSET($H$3,0,0,'Données projet'!$E$10+1,1))</f>
        <v>240.30073883588199</v>
      </c>
      <c r="AO8" s="59">
        <f t="shared" si="36"/>
        <v>263.20351282678843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252.98248842635206</v>
      </c>
      <c r="BJ8" s="59">
        <f t="shared" si="38"/>
        <v>207.11938580878308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</v>
      </c>
      <c r="BY8" s="12">
        <f>IF('Données projet'!$A$114&gt;35,BY7+BX8-CG7,IF(A8&lt;'Données projet'!$A$114,$BV$205^A8,IF(A8='Données projet'!$A$114,'Données projet'!$B$114,BY7+BX8-CG7)))</f>
        <v>4.4721359549995778</v>
      </c>
      <c r="BZ8" s="13">
        <f>BY8*VLOOKUP('Données projet'!$B$12,Paramètres!$A$1:$I$89,3,0)*VLOOKUP('Données projet'!$B$12,Paramètres!$A$1:$I$89,5,0)</f>
        <v>2.4999239988447641</v>
      </c>
      <c r="CA8" s="13">
        <f t="shared" si="39"/>
        <v>1.035524051396568</v>
      </c>
      <c r="CB8" s="20">
        <f t="shared" si="10"/>
        <v>6.1575720208369864</v>
      </c>
      <c r="CC8" s="59">
        <f t="shared" si="11"/>
        <v>299.49090535417031</v>
      </c>
      <c r="CD8" s="59">
        <f ca="1">AVERAGE(OFFSET($CC$3,0,0,'Données projet'!$E$12+1,1))-AVERAGE(OFFSET($H$3,0,0,'Données projet'!$E$12+1,1))</f>
        <v>401.06118089678654</v>
      </c>
      <c r="CE8" s="59">
        <f t="shared" si="40"/>
        <v>399.58193819355591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7.9</v>
      </c>
      <c r="CT8" s="12">
        <f>IF('Données projet'!$A$140&gt;35,CT7+CS8-DB7,IF(A8&lt;'Données projet'!$A$140,$CQ$205^A8,IF(A8='Données projet'!$A$140,'Données projet'!$B$140,CT7+CS8-DB7)))</f>
        <v>3.5453920925585285</v>
      </c>
      <c r="CU8" s="17">
        <f>CT8*VLOOKUP('Données projet'!$B$13,Paramètres!$A$1:$I$89,3,0)*VLOOKUP('Données projet'!$B$13,Paramètres!$A$1:$I$89,5,0)</f>
        <v>2.2123246657565216</v>
      </c>
      <c r="CV8" s="13">
        <f t="shared" si="41"/>
        <v>0.9295238100041352</v>
      </c>
      <c r="CW8" s="20">
        <f t="shared" si="13"/>
        <v>5.4720527619498105</v>
      </c>
      <c r="CX8" s="59">
        <f t="shared" si="14"/>
        <v>298.8053860952831</v>
      </c>
      <c r="CY8" s="59">
        <f ca="1">AVERAGE(OFFSET($CX$3,0,0,'Données projet'!$E$13+1,1))-AVERAGE(OFFSET($H$3,0,0,'Données projet'!$E$13+1,1))</f>
        <v>285.77483300338548</v>
      </c>
      <c r="CZ8" s="59">
        <f t="shared" si="42"/>
        <v>320.55212417690637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4.4412860698458383</v>
      </c>
      <c r="O9" s="13">
        <f>N9*VLOOKUP('Données projet'!$B$9,Paramètres!$A$1:$I$89,3,0)*VLOOKUP('Données projet'!$B$9,Paramètres!$A$1:$I$89,5,0)</f>
        <v>2.4826789130438236</v>
      </c>
      <c r="P9" s="13">
        <f t="shared" si="33"/>
        <v>1.0292096930485513</v>
      </c>
      <c r="Q9" s="20">
        <f t="shared" si="2"/>
        <v>6.1165393222775526</v>
      </c>
      <c r="R9" s="59">
        <f t="shared" si="0"/>
        <v>299.44987265561087</v>
      </c>
      <c r="S9" s="59">
        <f ca="1">AVERAGE(OFFSET($R$3,0,0,'Données projet'!$E$9+1,1))-AVERAGE(OFFSET($H$3,0,0,'Données projet'!$E$9+1,1))</f>
        <v>356.67698551373468</v>
      </c>
      <c r="T9" s="59">
        <f t="shared" si="34"/>
        <v>353.21836615408171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4.1837391799842649</v>
      </c>
      <c r="AJ9" s="13">
        <f>AI9*VLOOKUP('Données projet'!$B$10,Paramètres!$A$1:$I$89,3,0)*VLOOKUP('Données projet'!$B$10,Paramètres!$A$1:$I$89,5,0)</f>
        <v>2.6106532483101814</v>
      </c>
      <c r="AK9" s="13">
        <f t="shared" si="35"/>
        <v>1.075948912190948</v>
      </c>
      <c r="AL9" s="20">
        <f t="shared" si="4"/>
        <v>6.4208320962061336</v>
      </c>
      <c r="AM9" s="59">
        <f t="shared" si="5"/>
        <v>299.75416542953946</v>
      </c>
      <c r="AN9" s="59">
        <f ca="1">AVERAGE(OFFSET($AM$3,0,0,'Données projet'!$E$10+1,1))-AVERAGE(OFFSET($H$3,0,0,'Données projet'!$E$10+1,1))</f>
        <v>240.30073883588199</v>
      </c>
      <c r="AO9" s="59">
        <f t="shared" si="36"/>
        <v>263.20351282678843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252.98248842635206</v>
      </c>
      <c r="BJ9" s="59">
        <f t="shared" si="38"/>
        <v>207.11938580878308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</v>
      </c>
      <c r="BY9" s="12">
        <f>IF('Données projet'!$A$114&gt;35,BY8+BX9-CG8,IF(A9&lt;'Données projet'!$A$114,$BV$205^A9,IF(A9='Données projet'!$A$114,'Données projet'!$B$114,BY8+BX9-CG8)))</f>
        <v>6.0341763365451611</v>
      </c>
      <c r="BZ9" s="13">
        <f>BY9*VLOOKUP('Données projet'!$B$12,Paramètres!$A$1:$I$89,3,0)*VLOOKUP('Données projet'!$B$12,Paramètres!$A$1:$I$89,5,0)</f>
        <v>3.3731045721287449</v>
      </c>
      <c r="CA9" s="13">
        <f t="shared" si="39"/>
        <v>1.3493331832895774</v>
      </c>
      <c r="CB9" s="20">
        <f t="shared" si="10"/>
        <v>8.2249124240202445</v>
      </c>
      <c r="CC9" s="59">
        <f t="shared" si="11"/>
        <v>301.55824575735357</v>
      </c>
      <c r="CD9" s="59">
        <f ca="1">AVERAGE(OFFSET($CC$3,0,0,'Données projet'!$E$12+1,1))-AVERAGE(OFFSET($H$3,0,0,'Données projet'!$E$12+1,1))</f>
        <v>401.06118089678654</v>
      </c>
      <c r="CE9" s="59">
        <f t="shared" si="40"/>
        <v>399.58193819355591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7.9</v>
      </c>
      <c r="CT9" s="12">
        <f>IF('Données projet'!$A$140&gt;35,CT8+CS9-DB8,IF(A9&lt;'Données projet'!$A$140,$CQ$205^A9,IF(A9='Données projet'!$A$140,'Données projet'!$B$140,CT8+CS9-DB8)))</f>
        <v>4.566643676946887</v>
      </c>
      <c r="CU9" s="17">
        <f>CT9*VLOOKUP('Données projet'!$B$13,Paramètres!$A$1:$I$89,3,0)*VLOOKUP('Données projet'!$B$13,Paramètres!$A$1:$I$89,5,0)</f>
        <v>2.8495856544148572</v>
      </c>
      <c r="CV9" s="13">
        <f t="shared" si="41"/>
        <v>1.1625113156650257</v>
      </c>
      <c r="CW9" s="20">
        <f t="shared" si="13"/>
        <v>6.9877355562224617</v>
      </c>
      <c r="CX9" s="59">
        <f t="shared" si="14"/>
        <v>300.32106888955576</v>
      </c>
      <c r="CY9" s="59">
        <f ca="1">AVERAGE(OFFSET($CX$3,0,0,'Données projet'!$E$13+1,1))-AVERAGE(OFFSET($H$3,0,0,'Données projet'!$E$13+1,1))</f>
        <v>285.77483300338548</v>
      </c>
      <c r="CZ9" s="59">
        <f t="shared" si="42"/>
        <v>320.55212417690637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5.6941233675162577</v>
      </c>
      <c r="O10" s="13">
        <f>N10*VLOOKUP('Données projet'!$B$9,Paramètres!$A$1:$I$89,3,0)*VLOOKUP('Données projet'!$B$9,Paramètres!$A$1:$I$89,5,0)</f>
        <v>3.1830149624415882</v>
      </c>
      <c r="P10" s="13">
        <f t="shared" si="33"/>
        <v>1.2819182270325931</v>
      </c>
      <c r="Q10" s="20">
        <f t="shared" si="2"/>
        <v>7.776425305000866</v>
      </c>
      <c r="R10" s="59">
        <f t="shared" si="0"/>
        <v>301.1097586383342</v>
      </c>
      <c r="S10" s="59">
        <f ca="1">AVERAGE(OFFSET($R$3,0,0,'Données projet'!$E$9+1,1))-AVERAGE(OFFSET($H$3,0,0,'Données projet'!$E$9+1,1))</f>
        <v>356.67698551373468</v>
      </c>
      <c r="T10" s="59">
        <f t="shared" si="34"/>
        <v>353.21836615408171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5.3107847873593199</v>
      </c>
      <c r="AJ10" s="13">
        <f>AI10*VLOOKUP('Données projet'!$B$10,Paramètres!$A$1:$I$89,3,0)*VLOOKUP('Données projet'!$B$10,Paramètres!$A$1:$I$89,5,0)</f>
        <v>3.3139297073122154</v>
      </c>
      <c r="AK10" s="13">
        <f t="shared" si="35"/>
        <v>1.3283955065941828</v>
      </c>
      <c r="AL10" s="20">
        <f t="shared" si="4"/>
        <v>8.0853830808869755</v>
      </c>
      <c r="AM10" s="59">
        <f t="shared" si="5"/>
        <v>301.41871641422028</v>
      </c>
      <c r="AN10" s="59">
        <f ca="1">AVERAGE(OFFSET($AM$3,0,0,'Données projet'!$E$10+1,1))-AVERAGE(OFFSET($H$3,0,0,'Données projet'!$E$10+1,1))</f>
        <v>240.30073883588199</v>
      </c>
      <c r="AO10" s="59">
        <f t="shared" si="36"/>
        <v>263.20351282678843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252.98248842635206</v>
      </c>
      <c r="BJ10" s="59">
        <f t="shared" si="38"/>
        <v>207.11938580878308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</v>
      </c>
      <c r="BY10" s="12">
        <f>IF('Données projet'!$A$114&gt;35,BY9+BX10-CG9,IF(A10&lt;'Données projet'!$A$114,$BV$205^A10,IF(A10='Données projet'!$A$114,'Données projet'!$B$114,BY9+BX10-CG9)))</f>
        <v>8.1418106307380835</v>
      </c>
      <c r="BZ10" s="13">
        <f>BY10*VLOOKUP('Données projet'!$B$12,Paramètres!$A$1:$I$89,3,0)*VLOOKUP('Données projet'!$B$12,Paramètres!$A$1:$I$89,5,0)</f>
        <v>4.5512721425825893</v>
      </c>
      <c r="CA10" s="13">
        <f t="shared" si="39"/>
        <v>1.7582402234606553</v>
      </c>
      <c r="CB10" s="20">
        <f t="shared" si="10"/>
        <v>10.989067370858649</v>
      </c>
      <c r="CC10" s="59">
        <f t="shared" si="11"/>
        <v>304.32240070419198</v>
      </c>
      <c r="CD10" s="59">
        <f ca="1">AVERAGE(OFFSET($CC$3,0,0,'Données projet'!$E$12+1,1))-AVERAGE(OFFSET($H$3,0,0,'Données projet'!$E$12+1,1))</f>
        <v>401.06118089678654</v>
      </c>
      <c r="CE10" s="59">
        <f t="shared" si="40"/>
        <v>399.58193819355591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7.9</v>
      </c>
      <c r="CT10" s="12">
        <f>IF('Données projet'!$A$140&gt;35,CT9+CS10-DB9,IF(A10&lt;'Données projet'!$A$140,$CQ$205^A10,IF(A10='Données projet'!$A$140,'Données projet'!$B$140,CT9+CS10-DB9)))</f>
        <v>5.8820671812210037</v>
      </c>
      <c r="CU10" s="17">
        <f>CT10*VLOOKUP('Données projet'!$B$13,Paramètres!$A$1:$I$89,3,0)*VLOOKUP('Données projet'!$B$13,Paramètres!$A$1:$I$89,5,0)</f>
        <v>3.6704099210819061</v>
      </c>
      <c r="CV10" s="13">
        <f t="shared" si="41"/>
        <v>1.4538977318324067</v>
      </c>
      <c r="CW10" s="20">
        <f t="shared" si="13"/>
        <v>8.9248358288257617</v>
      </c>
      <c r="CX10" s="59">
        <f t="shared" si="14"/>
        <v>302.25816916215905</v>
      </c>
      <c r="CY10" s="59">
        <f ca="1">AVERAGE(OFFSET($CX$3,0,0,'Données projet'!$E$13+1,1))-AVERAGE(OFFSET($H$3,0,0,'Données projet'!$E$13+1,1))</f>
        <v>285.77483300338548</v>
      </c>
      <c r="CZ10" s="59">
        <f t="shared" si="42"/>
        <v>320.55212417690637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7.3003721027184652</v>
      </c>
      <c r="O11" s="13">
        <f>N11*VLOOKUP('Données projet'!$B$9,Paramètres!$A$1:$I$89,3,0)*VLOOKUP('Données projet'!$B$9,Paramètres!$A$1:$I$89,5,0)</f>
        <v>4.0809080054196221</v>
      </c>
      <c r="P11" s="13">
        <f t="shared" si="33"/>
        <v>1.5966759270706423</v>
      </c>
      <c r="Q11" s="20">
        <f t="shared" si="2"/>
        <v>9.8884586824205432</v>
      </c>
      <c r="R11" s="59">
        <f t="shared" si="0"/>
        <v>303.22179201575386</v>
      </c>
      <c r="S11" s="59">
        <f ca="1">AVERAGE(OFFSET($R$3,0,0,'Données projet'!$E$9+1,1))-AVERAGE(OFFSET($H$3,0,0,'Données projet'!$E$9+1,1))</f>
        <v>356.67698551373468</v>
      </c>
      <c r="T11" s="59">
        <f t="shared" si="34"/>
        <v>353.21836615408171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6.7414420078053858</v>
      </c>
      <c r="AJ11" s="13">
        <f>AI11*VLOOKUP('Données projet'!$B$10,Paramètres!$A$1:$I$89,3,0)*VLOOKUP('Données projet'!$B$10,Paramètres!$A$1:$I$89,5,0)</f>
        <v>4.2066598128705603</v>
      </c>
      <c r="AK11" s="13">
        <f t="shared" si="35"/>
        <v>1.6400728714398731</v>
      </c>
      <c r="AL11" s="20">
        <f t="shared" si="4"/>
        <v>10.183059425174006</v>
      </c>
      <c r="AM11" s="59">
        <f t="shared" si="5"/>
        <v>303.51639275850732</v>
      </c>
      <c r="AN11" s="59">
        <f ca="1">AVERAGE(OFFSET($AM$3,0,0,'Données projet'!$E$10+1,1))-AVERAGE(OFFSET($H$3,0,0,'Données projet'!$E$10+1,1))</f>
        <v>240.30073883588199</v>
      </c>
      <c r="AO11" s="59">
        <f t="shared" si="36"/>
        <v>263.20351282678843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252.98248842635206</v>
      </c>
      <c r="BJ11" s="59">
        <f t="shared" si="38"/>
        <v>207.11938580878308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</v>
      </c>
      <c r="BY11" s="12">
        <f>IF('Données projet'!$A$114&gt;35,BY10+BX11-CG10,IF(A11&lt;'Données projet'!$A$114,$BV$205^A11,IF(A11='Données projet'!$A$114,'Données projet'!$B$114,BY10+BX11-CG10)))</f>
        <v>10.985605433061172</v>
      </c>
      <c r="BZ11" s="13">
        <f>BY11*VLOOKUP('Données projet'!$B$12,Paramètres!$A$1:$I$89,3,0)*VLOOKUP('Données projet'!$B$12,Paramètres!$A$1:$I$89,5,0)</f>
        <v>6.1409534370811958</v>
      </c>
      <c r="CA11" s="13">
        <f t="shared" si="39"/>
        <v>2.29106400233806</v>
      </c>
      <c r="CB11" s="20">
        <f t="shared" si="10"/>
        <v>14.685763706988537</v>
      </c>
      <c r="CC11" s="59">
        <f t="shared" si="11"/>
        <v>308.01909704032187</v>
      </c>
      <c r="CD11" s="59">
        <f ca="1">AVERAGE(OFFSET($CC$3,0,0,'Données projet'!$E$12+1,1))-AVERAGE(OFFSET($H$3,0,0,'Données projet'!$E$12+1,1))</f>
        <v>401.06118089678654</v>
      </c>
      <c r="CE11" s="59">
        <f t="shared" si="40"/>
        <v>399.58193819355591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7.9</v>
      </c>
      <c r="CT11" s="12">
        <f>IF('Données projet'!$A$140&gt;35,CT10+CS11-DB10,IF(A11&lt;'Données projet'!$A$140,$CQ$205^A11,IF(A11='Données projet'!$A$140,'Données projet'!$B$140,CT10+CS11-DB10)))</f>
        <v>7.5763989424129567</v>
      </c>
      <c r="CU11" s="17">
        <f>CT11*VLOOKUP('Données projet'!$B$13,Paramètres!$A$1:$I$89,3,0)*VLOOKUP('Données projet'!$B$13,Paramètres!$A$1:$I$89,5,0)</f>
        <v>4.7276729400656849</v>
      </c>
      <c r="CV11" s="13">
        <f t="shared" si="41"/>
        <v>1.8183208938643207</v>
      </c>
      <c r="CW11" s="20">
        <f t="shared" si="13"/>
        <v>11.400939260761424</v>
      </c>
      <c r="CX11" s="59">
        <f t="shared" si="14"/>
        <v>304.73427259409476</v>
      </c>
      <c r="CY11" s="59">
        <f ca="1">AVERAGE(OFFSET($CX$3,0,0,'Données projet'!$E$13+1,1))-AVERAGE(OFFSET($H$3,0,0,'Données projet'!$E$13+1,1))</f>
        <v>285.77483300338548</v>
      </c>
      <c r="CZ11" s="59">
        <f t="shared" si="42"/>
        <v>320.55212417690637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9.3597257028516339</v>
      </c>
      <c r="O12" s="13">
        <f>N12*VLOOKUP('Données projet'!$B$9,Paramètres!$A$1:$I$89,3,0)*VLOOKUP('Données projet'!$B$9,Paramètres!$A$1:$I$89,5,0)</f>
        <v>5.2320866678940634</v>
      </c>
      <c r="P12" s="13">
        <f t="shared" si="33"/>
        <v>1.9887181275113242</v>
      </c>
      <c r="Q12" s="20">
        <f t="shared" si="2"/>
        <v>12.576235018664383</v>
      </c>
      <c r="R12" s="59">
        <f t="shared" si="0"/>
        <v>305.90956835199768</v>
      </c>
      <c r="S12" s="59">
        <f ca="1">AVERAGE(OFFSET($R$3,0,0,'Données projet'!$E$9+1,1))-AVERAGE(OFFSET($H$3,0,0,'Données projet'!$E$9+1,1))</f>
        <v>356.67698551373468</v>
      </c>
      <c r="T12" s="59">
        <f t="shared" si="34"/>
        <v>353.21836615408171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8.5574999108937213</v>
      </c>
      <c r="AJ12" s="13">
        <f>AI12*VLOOKUP('Données projet'!$B$10,Paramètres!$A$1:$I$89,3,0)*VLOOKUP('Données projet'!$B$10,Paramètres!$A$1:$I$89,5,0)</f>
        <v>5.3398799443976825</v>
      </c>
      <c r="AK12" s="13">
        <f t="shared" si="35"/>
        <v>2.0248781407951277</v>
      </c>
      <c r="AL12" s="20">
        <f t="shared" si="4"/>
        <v>12.826953665044144</v>
      </c>
      <c r="AM12" s="59">
        <f t="shared" si="5"/>
        <v>306.16028699837744</v>
      </c>
      <c r="AN12" s="59">
        <f ca="1">AVERAGE(OFFSET($AM$3,0,0,'Données projet'!$E$10+1,1))-AVERAGE(OFFSET($H$3,0,0,'Données projet'!$E$10+1,1))</f>
        <v>240.30073883588199</v>
      </c>
      <c r="AO12" s="59">
        <f t="shared" si="36"/>
        <v>263.20351282678843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252.98248842635206</v>
      </c>
      <c r="BJ12" s="59">
        <f t="shared" si="38"/>
        <v>207.11938580878308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</v>
      </c>
      <c r="BY12" s="12">
        <f>IF('Données projet'!$A$114&gt;35,BY11+BX12-CG11,IF(A12&lt;'Données projet'!$A$114,$BV$205^A12,IF(A12='Données projet'!$A$114,'Données projet'!$B$114,BY11+BX12-CG11)))</f>
        <v>14.822688982138946</v>
      </c>
      <c r="BZ12" s="13">
        <f>BY12*VLOOKUP('Données projet'!$B$12,Paramètres!$A$1:$I$89,3,0)*VLOOKUP('Données projet'!$B$12,Paramètres!$A$1:$I$89,5,0)</f>
        <v>8.2858831410156704</v>
      </c>
      <c r="CA12" s="13">
        <f t="shared" si="39"/>
        <v>2.9853567179108209</v>
      </c>
      <c r="CB12" s="20">
        <f t="shared" si="10"/>
        <v>19.630742754296975</v>
      </c>
      <c r="CC12" s="59">
        <f t="shared" si="11"/>
        <v>312.9640760876303</v>
      </c>
      <c r="CD12" s="59">
        <f ca="1">AVERAGE(OFFSET($CC$3,0,0,'Données projet'!$E$12+1,1))-AVERAGE(OFFSET($H$3,0,0,'Données projet'!$E$12+1,1))</f>
        <v>401.06118089678654</v>
      </c>
      <c r="CE12" s="59">
        <f t="shared" si="40"/>
        <v>399.58193819355591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7.9</v>
      </c>
      <c r="CT12" s="12">
        <f>IF('Données projet'!$A$140&gt;35,CT11+CS12-DB11,IF(A12&lt;'Données projet'!$A$140,$CQ$205^A12,IF(A12='Données projet'!$A$140,'Données projet'!$B$140,CT11+CS12-DB11)))</f>
        <v>9.7587836327093171</v>
      </c>
      <c r="CU12" s="17">
        <f>CT12*VLOOKUP('Données projet'!$B$13,Paramètres!$A$1:$I$89,3,0)*VLOOKUP('Données projet'!$B$13,Paramètres!$A$1:$I$89,5,0)</f>
        <v>6.0894809868106137</v>
      </c>
      <c r="CV12" s="13">
        <f t="shared" si="41"/>
        <v>2.2740876477580638</v>
      </c>
      <c r="CW12" s="20">
        <f t="shared" si="13"/>
        <v>14.566548705207111</v>
      </c>
      <c r="CX12" s="59">
        <f t="shared" si="14"/>
        <v>307.89988203854045</v>
      </c>
      <c r="CY12" s="59">
        <f ca="1">AVERAGE(OFFSET($CX$3,0,0,'Données projet'!$E$13+1,1))-AVERAGE(OFFSET($H$3,0,0,'Données projet'!$E$13+1,1))</f>
        <v>285.77483300338548</v>
      </c>
      <c r="CZ12" s="59">
        <f t="shared" si="42"/>
        <v>320.55212417690637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12</v>
      </c>
      <c r="L13" s="12">
        <f>VLOOKUP(A13,'Données projet'!$A$35:$I$55,9,0)</f>
        <v>1.2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12</v>
      </c>
      <c r="O13" s="13">
        <f>N13*VLOOKUP('Données projet'!$B$9,Paramètres!$A$1:$I$89,3,0)*VLOOKUP('Données projet'!$B$9,Paramètres!$A$1:$I$89,5,0)</f>
        <v>6.7080000000000002</v>
      </c>
      <c r="P13" s="13">
        <f t="shared" si="33"/>
        <v>2.477020993200687</v>
      </c>
      <c r="Q13" s="20">
        <f t="shared" si="2"/>
        <v>15.997244896491198</v>
      </c>
      <c r="R13" s="59">
        <f t="shared" si="0"/>
        <v>309.33057822982454</v>
      </c>
      <c r="S13" s="59">
        <f ca="1">AVERAGE(OFFSET($R$3,0,0,'Données projet'!$E$9+1,1))-AVERAGE(OFFSET($H$3,0,0,'Données projet'!$E$9+1,1))</f>
        <v>356.67698551373468</v>
      </c>
      <c r="T13" s="59">
        <f t="shared" si="34"/>
        <v>353.21836615408171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10.862780491200228</v>
      </c>
      <c r="AJ13" s="13">
        <f>AI13*VLOOKUP('Données projet'!$B$10,Paramètres!$A$1:$I$89,3,0)*VLOOKUP('Données projet'!$B$10,Paramètres!$A$1:$I$89,5,0)</f>
        <v>6.7783750265089431</v>
      </c>
      <c r="AK13" s="13">
        <f t="shared" si="35"/>
        <v>2.4999690906845462</v>
      </c>
      <c r="AL13" s="20">
        <f t="shared" si="4"/>
        <v>16.159782670778661</v>
      </c>
      <c r="AM13" s="59">
        <f t="shared" si="5"/>
        <v>309.49311600411198</v>
      </c>
      <c r="AN13" s="59">
        <f ca="1">AVERAGE(OFFSET($AM$3,0,0,'Données projet'!$E$10+1,1))-AVERAGE(OFFSET($H$3,0,0,'Données projet'!$E$10+1,1))</f>
        <v>240.30073883588199</v>
      </c>
      <c r="AO13" s="59">
        <f t="shared" si="36"/>
        <v>263.20351282678843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252.98248842635206</v>
      </c>
      <c r="BJ13" s="59">
        <f t="shared" si="38"/>
        <v>207.11938580878308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20</v>
      </c>
      <c r="BW13" s="12">
        <f>VLOOKUP(A13,'Données projet'!$A$113:$I$133,9,0)</f>
        <v>2</v>
      </c>
      <c r="BX13" s="12">
        <f t="array" ref="BX13">INDEX(BW:BW,MIN(IF(ISNUMBER(BW13:BW209),ROW(BW13:BW209),"")))</f>
        <v>2</v>
      </c>
      <c r="BY13" s="12">
        <f>IF('Données projet'!$A$114&gt;35,BY12+BX13-CG12,IF(A13&lt;'Données projet'!$A$114,$BV$205^A13,IF(A13='Données projet'!$A$114,'Données projet'!$B$114,BY12+BX13-CG12)))</f>
        <v>20</v>
      </c>
      <c r="BZ13" s="13">
        <f>BY13*VLOOKUP('Données projet'!$B$12,Paramètres!$A$1:$I$89,3,0)*VLOOKUP('Données projet'!$B$12,Paramètres!$A$1:$I$89,5,0)</f>
        <v>11.18</v>
      </c>
      <c r="CA13" s="13">
        <f t="shared" si="39"/>
        <v>3.8900505285230369</v>
      </c>
      <c r="CB13" s="20">
        <f t="shared" si="10"/>
        <v>26.247004670510957</v>
      </c>
      <c r="CC13" s="59">
        <f t="shared" si="11"/>
        <v>319.58033800384425</v>
      </c>
      <c r="CD13" s="59">
        <f ca="1">AVERAGE(OFFSET($CC$3,0,0,'Données projet'!$E$12+1,1))-AVERAGE(OFFSET($H$3,0,0,'Données projet'!$E$12+1,1))</f>
        <v>401.06118089678654</v>
      </c>
      <c r="CE13" s="59">
        <f t="shared" si="40"/>
        <v>399.58193819355591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7.9</v>
      </c>
      <c r="CT13" s="12">
        <f>IF('Données projet'!$A$140&gt;35,CT12+CS13-DB12,IF(A13&lt;'Données projet'!$A$140,$CQ$205^A13,IF(A13='Données projet'!$A$140,'Données projet'!$B$140,CT12+CS13-DB12)))</f>
        <v>12.569805089976542</v>
      </c>
      <c r="CU13" s="17">
        <f>CT13*VLOOKUP('Données projet'!$B$13,Paramètres!$A$1:$I$89,3,0)*VLOOKUP('Données projet'!$B$13,Paramètres!$A$1:$I$89,5,0)</f>
        <v>7.8435583761453627</v>
      </c>
      <c r="CV13" s="13">
        <f t="shared" si="41"/>
        <v>2.8440934969928842</v>
      </c>
      <c r="CW13" s="20">
        <f t="shared" si="13"/>
        <v>18.614327012382446</v>
      </c>
      <c r="CX13" s="59">
        <f t="shared" si="14"/>
        <v>311.94766034571575</v>
      </c>
      <c r="CY13" s="59">
        <f ca="1">AVERAGE(OFFSET($CX$3,0,0,'Données projet'!$E$13+1,1))-AVERAGE(OFFSET($H$3,0,0,'Données projet'!$E$13+1,1))</f>
        <v>285.77483300338548</v>
      </c>
      <c r="CZ13" s="59">
        <f t="shared" si="42"/>
        <v>320.55212417690637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</v>
      </c>
      <c r="N14" s="13">
        <f>IF('Données projet'!$A$36&gt;35,N13+M14-V13,IF(A14&lt;'Données projet'!$A$36,$K$205^A14,IF(A14='Données projet'!$A$36,'Données projet'!$B$36,N13+M14-V13)))</f>
        <v>27</v>
      </c>
      <c r="O14" s="13">
        <f>N14*VLOOKUP('Données projet'!$B$9,Paramètres!$A$1:$I$89,3,0)*VLOOKUP('Données projet'!$B$9,Paramètres!$A$1:$I$89,5,0)</f>
        <v>15.093</v>
      </c>
      <c r="P14" s="13">
        <f t="shared" si="33"/>
        <v>5.0712866613861207</v>
      </c>
      <c r="Q14" s="20">
        <f t="shared" si="2"/>
        <v>35.11946593524749</v>
      </c>
      <c r="R14" s="59">
        <f t="shared" si="0"/>
        <v>328.4527992685808</v>
      </c>
      <c r="S14" s="59">
        <f ca="1">AVERAGE(OFFSET($R$3,0,0,'Données projet'!$E$9+1,1))-AVERAGE(OFFSET($H$3,0,0,'Données projet'!$E$9+1,1))</f>
        <v>356.67698551373468</v>
      </c>
      <c r="T14" s="59">
        <f t="shared" si="34"/>
        <v>353.21836615408171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13.789074055354174</v>
      </c>
      <c r="AJ14" s="13">
        <f>AI14*VLOOKUP('Données projet'!$B$10,Paramètres!$A$1:$I$89,3,0)*VLOOKUP('Données projet'!$B$10,Paramètres!$A$1:$I$89,5,0)</f>
        <v>8.6043822105410044</v>
      </c>
      <c r="AK14" s="13">
        <f t="shared" si="35"/>
        <v>3.0865291735155624</v>
      </c>
      <c r="AL14" s="20">
        <f t="shared" si="4"/>
        <v>20.361670660565185</v>
      </c>
      <c r="AM14" s="59">
        <f t="shared" si="5"/>
        <v>313.69500399389852</v>
      </c>
      <c r="AN14" s="59">
        <f ca="1">AVERAGE(OFFSET($AM$3,0,0,'Données projet'!$E$10+1,1))-AVERAGE(OFFSET($H$3,0,0,'Données projet'!$E$10+1,1))</f>
        <v>240.30073883588199</v>
      </c>
      <c r="AO14" s="59">
        <f t="shared" si="36"/>
        <v>263.20351282678843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252.98248842635206</v>
      </c>
      <c r="BJ14" s="59">
        <f t="shared" si="38"/>
        <v>207.11938580878308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17.5</v>
      </c>
      <c r="BY14" s="12">
        <f>IF('Données projet'!$A$114&gt;35,BY13+BX14-CG13,IF(A14&lt;'Données projet'!$A$114,$BV$205^A14,IF(A14='Données projet'!$A$114,'Données projet'!$B$114,BY13+BX14-CG13)))</f>
        <v>37.5</v>
      </c>
      <c r="BZ14" s="13">
        <f>BY14*VLOOKUP('Données projet'!$B$12,Paramètres!$A$1:$I$89,3,0)*VLOOKUP('Données projet'!$B$12,Paramètres!$A$1:$I$89,5,0)</f>
        <v>20.962500000000002</v>
      </c>
      <c r="CA14" s="13">
        <f t="shared" si="39"/>
        <v>6.7792112362552857</v>
      </c>
      <c r="CB14" s="20">
        <f t="shared" si="10"/>
        <v>48.316813736477961</v>
      </c>
      <c r="CC14" s="59">
        <f t="shared" si="11"/>
        <v>341.65014706981128</v>
      </c>
      <c r="CD14" s="59">
        <f ca="1">AVERAGE(OFFSET($CC$3,0,0,'Données projet'!$E$12+1,1))-AVERAGE(OFFSET($H$3,0,0,'Données projet'!$E$12+1,1))</f>
        <v>401.06118089678654</v>
      </c>
      <c r="CE14" s="59">
        <f t="shared" si="40"/>
        <v>399.58193819355591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7.9</v>
      </c>
      <c r="CT14" s="12">
        <f>IF('Données projet'!$A$140&gt;35,CT13+CS14-DB13,IF(A14&lt;'Données projet'!$A$140,$CQ$205^A14,IF(A14='Données projet'!$A$140,'Données projet'!$B$140,CT13+CS14-DB13)))</f>
        <v>16.190542381779895</v>
      </c>
      <c r="CU14" s="17">
        <f>CT14*VLOOKUP('Données projet'!$B$13,Paramètres!$A$1:$I$89,3,0)*VLOOKUP('Données projet'!$B$13,Paramètres!$A$1:$I$89,5,0)</f>
        <v>10.102898446230656</v>
      </c>
      <c r="CV14" s="13">
        <f t="shared" si="41"/>
        <v>3.5569727611913824</v>
      </c>
      <c r="CW14" s="20">
        <f t="shared" si="13"/>
        <v>23.790942352926717</v>
      </c>
      <c r="CX14" s="59">
        <f t="shared" si="14"/>
        <v>317.12427568626003</v>
      </c>
      <c r="CY14" s="59">
        <f ca="1">AVERAGE(OFFSET($CX$3,0,0,'Données projet'!$E$13+1,1))-AVERAGE(OFFSET($H$3,0,0,'Données projet'!$E$13+1,1))</f>
        <v>285.77483300338548</v>
      </c>
      <c r="CZ14" s="59">
        <f t="shared" si="42"/>
        <v>320.55212417690637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</v>
      </c>
      <c r="N15" s="13">
        <f>IF('Données projet'!$A$36&gt;35,N14+M15-V14,IF(A15&lt;'Données projet'!$A$36,$K$205^A15,IF(A15='Données projet'!$A$36,'Données projet'!$B$36,N14+M15-V14)))</f>
        <v>42</v>
      </c>
      <c r="O15" s="13">
        <f>N15*VLOOKUP('Données projet'!$B$9,Paramètres!$A$1:$I$89,3,0)*VLOOKUP('Données projet'!$B$9,Paramètres!$A$1:$I$89,5,0)</f>
        <v>23.477999999999998</v>
      </c>
      <c r="P15" s="13">
        <f t="shared" si="33"/>
        <v>7.4932153017418202</v>
      </c>
      <c r="Q15" s="20">
        <f t="shared" si="2"/>
        <v>53.941533317200332</v>
      </c>
      <c r="R15" s="59">
        <f t="shared" si="0"/>
        <v>347.27486665053362</v>
      </c>
      <c r="S15" s="59">
        <f ca="1">AVERAGE(OFFSET($R$3,0,0,'Données projet'!$E$9+1,1))-AVERAGE(OFFSET($H$3,0,0,'Données projet'!$E$9+1,1))</f>
        <v>356.67698551373468</v>
      </c>
      <c r="T15" s="59">
        <f t="shared" si="34"/>
        <v>353.21836615408171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17.503673526135408</v>
      </c>
      <c r="AJ15" s="13">
        <f>AI15*VLOOKUP('Données projet'!$B$10,Paramètres!$A$1:$I$89,3,0)*VLOOKUP('Données projet'!$B$10,Paramètres!$A$1:$I$89,5,0)</f>
        <v>10.922292280308493</v>
      </c>
      <c r="AK15" s="13">
        <f t="shared" si="35"/>
        <v>3.8107120501854101</v>
      </c>
      <c r="AL15" s="20">
        <f t="shared" si="4"/>
        <v>25.659982542276879</v>
      </c>
      <c r="AM15" s="59">
        <f t="shared" si="5"/>
        <v>318.99331587561016</v>
      </c>
      <c r="AN15" s="59">
        <f ca="1">AVERAGE(OFFSET($AM$3,0,0,'Données projet'!$E$10+1,1))-AVERAGE(OFFSET($H$3,0,0,'Données projet'!$E$10+1,1))</f>
        <v>240.30073883588199</v>
      </c>
      <c r="AO15" s="59">
        <f t="shared" si="36"/>
        <v>263.20351282678843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252.98248842635206</v>
      </c>
      <c r="BJ15" s="59">
        <f t="shared" si="38"/>
        <v>207.11938580878308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17.5</v>
      </c>
      <c r="BY15" s="12">
        <f>IF('Données projet'!$A$114&gt;35,BY14+BX15-CG14,IF(A15&lt;'Données projet'!$A$114,$BV$205^A15,IF(A15='Données projet'!$A$114,'Données projet'!$B$114,BY14+BX15-CG14)))</f>
        <v>55</v>
      </c>
      <c r="BZ15" s="13">
        <f>BY15*VLOOKUP('Données projet'!$B$12,Paramètres!$A$1:$I$89,3,0)*VLOOKUP('Données projet'!$B$12,Paramètres!$A$1:$I$89,5,0)</f>
        <v>30.744999999999997</v>
      </c>
      <c r="CA15" s="13">
        <f t="shared" si="39"/>
        <v>9.5093232533499226</v>
      </c>
      <c r="CB15" s="20">
        <f t="shared" si="10"/>
        <v>70.109612999584456</v>
      </c>
      <c r="CC15" s="59">
        <f t="shared" si="11"/>
        <v>363.44294633291776</v>
      </c>
      <c r="CD15" s="59">
        <f ca="1">AVERAGE(OFFSET($CC$3,0,0,'Données projet'!$E$12+1,1))-AVERAGE(OFFSET($H$3,0,0,'Données projet'!$E$12+1,1))</f>
        <v>401.06118089678654</v>
      </c>
      <c r="CE15" s="59">
        <f t="shared" si="40"/>
        <v>399.58193819355591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7.9</v>
      </c>
      <c r="CT15" s="12">
        <f>IF('Données projet'!$A$140&gt;35,CT14+CS15-DB14,IF(A15&lt;'Données projet'!$A$140,$CQ$205^A15,IF(A15='Données projet'!$A$140,'Données projet'!$B$140,CT14+CS15-DB14)))</f>
        <v>20.854234472198982</v>
      </c>
      <c r="CU15" s="17">
        <f>CT15*VLOOKUP('Données projet'!$B$13,Paramètres!$A$1:$I$89,3,0)*VLOOKUP('Données projet'!$B$13,Paramètres!$A$1:$I$89,5,0)</f>
        <v>13.013042310652164</v>
      </c>
      <c r="CV15" s="13">
        <f t="shared" si="41"/>
        <v>4.4485370249728815</v>
      </c>
      <c r="CW15" s="20">
        <f t="shared" si="13"/>
        <v>30.41225067621362</v>
      </c>
      <c r="CX15" s="59">
        <f t="shared" si="14"/>
        <v>323.74558400954692</v>
      </c>
      <c r="CY15" s="59">
        <f ca="1">AVERAGE(OFFSET($CX$3,0,0,'Données projet'!$E$13+1,1))-AVERAGE(OFFSET($H$3,0,0,'Données projet'!$E$13+1,1))</f>
        <v>285.77483300338548</v>
      </c>
      <c r="CZ15" s="59">
        <f t="shared" si="42"/>
        <v>320.55212417690637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</v>
      </c>
      <c r="N16" s="13">
        <f>IF('Données projet'!$A$36&gt;35,N15+M16-V15,IF(A16&lt;'Données projet'!$A$36,$K$205^A16,IF(A16='Données projet'!$A$36,'Données projet'!$B$36,N15+M16-V15)))</f>
        <v>57</v>
      </c>
      <c r="O16" s="13">
        <f>N16*VLOOKUP('Données projet'!$B$9,Paramètres!$A$1:$I$89,3,0)*VLOOKUP('Données projet'!$B$9,Paramètres!$A$1:$I$89,5,0)</f>
        <v>31.863</v>
      </c>
      <c r="P16" s="13">
        <f t="shared" si="33"/>
        <v>9.8142283995824151</v>
      </c>
      <c r="Q16" s="20">
        <f t="shared" si="2"/>
        <v>72.587839462606041</v>
      </c>
      <c r="R16" s="59">
        <f t="shared" si="0"/>
        <v>365.92117279593936</v>
      </c>
      <c r="S16" s="59">
        <f ca="1">AVERAGE(OFFSET($R$3,0,0,'Données projet'!$E$9+1,1))-AVERAGE(OFFSET($H$3,0,0,'Données projet'!$E$9+1,1))</f>
        <v>356.67698551373468</v>
      </c>
      <c r="T16" s="59">
        <f t="shared" si="34"/>
        <v>353.21836615408171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22.218938391339591</v>
      </c>
      <c r="AJ16" s="13">
        <f>AI16*VLOOKUP('Données projet'!$B$10,Paramètres!$A$1:$I$89,3,0)*VLOOKUP('Données projet'!$B$10,Paramètres!$A$1:$I$89,5,0)</f>
        <v>13.864617556195904</v>
      </c>
      <c r="AK16" s="13">
        <f t="shared" si="35"/>
        <v>4.7048077348604007</v>
      </c>
      <c r="AL16" s="20">
        <f t="shared" si="4"/>
        <v>32.341749048589733</v>
      </c>
      <c r="AM16" s="59">
        <f t="shared" si="5"/>
        <v>325.67508238192306</v>
      </c>
      <c r="AN16" s="59">
        <f ca="1">AVERAGE(OFFSET($AM$3,0,0,'Données projet'!$E$10+1,1))-AVERAGE(OFFSET($H$3,0,0,'Données projet'!$E$10+1,1))</f>
        <v>240.30073883588199</v>
      </c>
      <c r="AO16" s="59">
        <f t="shared" si="36"/>
        <v>263.20351282678843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252.98248842635206</v>
      </c>
      <c r="BJ16" s="59">
        <f t="shared" si="38"/>
        <v>207.11938580878308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17.5</v>
      </c>
      <c r="BY16" s="12">
        <f>IF('Données projet'!$A$114&gt;35,BY15+BX16-CG15,IF(A16&lt;'Données projet'!$A$114,$BV$205^A16,IF(A16='Données projet'!$A$114,'Données projet'!$B$114,BY15+BX16-CG15)))</f>
        <v>72.5</v>
      </c>
      <c r="BZ16" s="13">
        <f>BY16*VLOOKUP('Données projet'!$B$12,Paramètres!$A$1:$I$89,3,0)*VLOOKUP('Données projet'!$B$12,Paramètres!$A$1:$I$89,5,0)</f>
        <v>40.527500000000003</v>
      </c>
      <c r="CA16" s="13">
        <f t="shared" si="39"/>
        <v>12.13835405384425</v>
      </c>
      <c r="CB16" s="20">
        <f t="shared" si="10"/>
        <v>91.726362477112062</v>
      </c>
      <c r="CC16" s="59">
        <f t="shared" si="11"/>
        <v>385.05969581044536</v>
      </c>
      <c r="CD16" s="59">
        <f ca="1">AVERAGE(OFFSET($CC$3,0,0,'Données projet'!$E$12+1,1))-AVERAGE(OFFSET($H$3,0,0,'Données projet'!$E$12+1,1))</f>
        <v>401.06118089678654</v>
      </c>
      <c r="CE16" s="59">
        <f t="shared" si="40"/>
        <v>399.58193819355591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7.9</v>
      </c>
      <c r="CT16" s="12">
        <f>IF('Données projet'!$A$140&gt;35,CT15+CS16-DB15,IF(A16&lt;'Données projet'!$A$140,$CQ$205^A16,IF(A16='Données projet'!$A$140,'Données projet'!$B$140,CT15+CS16-DB15)))</f>
        <v>26.861304900499697</v>
      </c>
      <c r="CU16" s="17">
        <f>CT16*VLOOKUP('Données projet'!$B$13,Paramètres!$A$1:$I$89,3,0)*VLOOKUP('Données projet'!$B$13,Paramètres!$A$1:$I$89,5,0)</f>
        <v>16.761454257911808</v>
      </c>
      <c r="CV16" s="13">
        <f t="shared" si="41"/>
        <v>5.5635741376681862</v>
      </c>
      <c r="CW16" s="20">
        <f t="shared" si="13"/>
        <v>38.88275778896849</v>
      </c>
      <c r="CX16" s="59">
        <f t="shared" si="14"/>
        <v>332.2160911223018</v>
      </c>
      <c r="CY16" s="59">
        <f ca="1">AVERAGE(OFFSET($CX$3,0,0,'Données projet'!$E$13+1,1))-AVERAGE(OFFSET($H$3,0,0,'Données projet'!$E$13+1,1))</f>
        <v>285.77483300338548</v>
      </c>
      <c r="CZ16" s="59">
        <f t="shared" si="42"/>
        <v>320.55212417690637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72</v>
      </c>
      <c r="O17" s="13">
        <f>N17*VLOOKUP('Données projet'!$B$9,Paramètres!$A$1:$I$89,3,0)*VLOOKUP('Données projet'!$B$9,Paramètres!$A$1:$I$89,5,0)</f>
        <v>40.248000000000005</v>
      </c>
      <c r="P17" s="13">
        <f t="shared" si="33"/>
        <v>12.064355669675363</v>
      </c>
      <c r="Q17" s="20">
        <f t="shared" si="2"/>
        <v>91.110686124684605</v>
      </c>
      <c r="R17" s="59">
        <f t="shared" si="0"/>
        <v>384.44401945801792</v>
      </c>
      <c r="S17" s="59">
        <f ca="1">AVERAGE(OFFSET($R$3,0,0,'Données projet'!$E$9+1,1))-AVERAGE(OFFSET($H$3,0,0,'Données projet'!$E$9+1,1))</f>
        <v>356.67698551373468</v>
      </c>
      <c r="T17" s="59">
        <f t="shared" si="34"/>
        <v>353.21836615408171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28.204435057647181</v>
      </c>
      <c r="AJ17" s="13">
        <f>AI17*VLOOKUP('Données projet'!$B$10,Paramètres!$A$1:$I$89,3,0)*VLOOKUP('Données projet'!$B$10,Paramètres!$A$1:$I$89,5,0)</f>
        <v>17.599567475971842</v>
      </c>
      <c r="AK17" s="13">
        <f t="shared" si="35"/>
        <v>5.8086823487293593</v>
      </c>
      <c r="AL17" s="20">
        <f t="shared" si="4"/>
        <v>40.76936844468792</v>
      </c>
      <c r="AM17" s="59">
        <f t="shared" si="5"/>
        <v>334.10270177802124</v>
      </c>
      <c r="AN17" s="59">
        <f ca="1">AVERAGE(OFFSET($AM$3,0,0,'Données projet'!$E$10+1,1))-AVERAGE(OFFSET($H$3,0,0,'Données projet'!$E$10+1,1))</f>
        <v>240.30073883588199</v>
      </c>
      <c r="AO17" s="59">
        <f t="shared" si="36"/>
        <v>263.20351282678843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252.98248842635206</v>
      </c>
      <c r="BJ17" s="59">
        <f t="shared" si="38"/>
        <v>207.11938580878308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17.5</v>
      </c>
      <c r="BY17" s="12">
        <f>IF('Données projet'!$A$114&gt;35,BY16+BX17-CG16,IF(A17&lt;'Données projet'!$A$114,$BV$205^A17,IF(A17='Données projet'!$A$114,'Données projet'!$B$114,BY16+BX17-CG16)))</f>
        <v>90</v>
      </c>
      <c r="BZ17" s="13">
        <f>BY17*VLOOKUP('Données projet'!$B$12,Paramètres!$A$1:$I$89,3,0)*VLOOKUP('Données projet'!$B$12,Paramètres!$A$1:$I$89,5,0)</f>
        <v>50.31</v>
      </c>
      <c r="CA17" s="13">
        <f t="shared" si="39"/>
        <v>14.693789693291551</v>
      </c>
      <c r="CB17" s="20">
        <f t="shared" si="10"/>
        <v>113.21493371581612</v>
      </c>
      <c r="CC17" s="59">
        <f t="shared" si="11"/>
        <v>406.54826704914944</v>
      </c>
      <c r="CD17" s="59">
        <f ca="1">AVERAGE(OFFSET($CC$3,0,0,'Données projet'!$E$12+1,1))-AVERAGE(OFFSET($H$3,0,0,'Données projet'!$E$12+1,1))</f>
        <v>401.06118089678654</v>
      </c>
      <c r="CE17" s="59">
        <f t="shared" si="40"/>
        <v>399.58193819355591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7.9</v>
      </c>
      <c r="CT17" s="12">
        <f>IF('Données projet'!$A$140&gt;35,CT16+CS17-DB16,IF(A17&lt;'Données projet'!$A$140,$CQ$205^A17,IF(A17='Données projet'!$A$140,'Données projet'!$B$140,CT16+CS17-DB16)))</f>
        <v>34.598714324397214</v>
      </c>
      <c r="CU17" s="17">
        <f>CT17*VLOOKUP('Données projet'!$B$13,Paramètres!$A$1:$I$89,3,0)*VLOOKUP('Données projet'!$B$13,Paramètres!$A$1:$I$89,5,0)</f>
        <v>21.589597738423862</v>
      </c>
      <c r="CV17" s="13">
        <f t="shared" si="41"/>
        <v>6.9580981368855754</v>
      </c>
      <c r="CW17" s="20">
        <f t="shared" si="13"/>
        <v>49.720570316163929</v>
      </c>
      <c r="CX17" s="59">
        <f t="shared" si="14"/>
        <v>343.05390364949722</v>
      </c>
      <c r="CY17" s="59">
        <f ca="1">AVERAGE(OFFSET($CX$3,0,0,'Données projet'!$E$13+1,1))-AVERAGE(OFFSET($H$3,0,0,'Données projet'!$E$13+1,1))</f>
        <v>285.77483300338548</v>
      </c>
      <c r="CZ17" s="59">
        <f t="shared" si="42"/>
        <v>320.55212417690637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</v>
      </c>
      <c r="N18" s="13">
        <f>IF('Données projet'!$A$36&gt;35,N17+M18-V17,IF(A18&lt;'Données projet'!$A$36,$K$205^A18,IF(A18='Données projet'!$A$36,'Données projet'!$B$36,N17+M18-V17)))</f>
        <v>87</v>
      </c>
      <c r="O18" s="13">
        <f>N18*VLOOKUP('Données projet'!$B$9,Paramètres!$A$1:$I$89,3,0)*VLOOKUP('Données projet'!$B$9,Paramètres!$A$1:$I$89,5,0)</f>
        <v>48.632999999999996</v>
      </c>
      <c r="P18" s="13">
        <f t="shared" si="33"/>
        <v>14.260158409918978</v>
      </c>
      <c r="Q18" s="20">
        <f t="shared" si="2"/>
        <v>109.53891756394221</v>
      </c>
      <c r="R18" s="59">
        <f t="shared" si="0"/>
        <v>402.87225089727553</v>
      </c>
      <c r="S18" s="59">
        <f ca="1">AVERAGE(OFFSET($R$3,0,0,'Données projet'!$E$9+1,1))-AVERAGE(OFFSET($H$3,0,0,'Données projet'!$E$9+1,1))</f>
        <v>356.67698551373468</v>
      </c>
      <c r="T18" s="59">
        <f t="shared" si="34"/>
        <v>353.21836615408171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35.802347659917913</v>
      </c>
      <c r="AJ18" s="13">
        <f>AI18*VLOOKUP('Données projet'!$B$10,Paramètres!$A$1:$I$89,3,0)*VLOOKUP('Données projet'!$B$10,Paramètres!$A$1:$I$89,5,0)</f>
        <v>22.34066493978878</v>
      </c>
      <c r="AK18" s="13">
        <f t="shared" si="35"/>
        <v>7.1715556787659356</v>
      </c>
      <c r="AL18" s="20">
        <f t="shared" si="4"/>
        <v>51.400450910649454</v>
      </c>
      <c r="AM18" s="59">
        <f t="shared" si="5"/>
        <v>344.73378424398277</v>
      </c>
      <c r="AN18" s="59">
        <f ca="1">AVERAGE(OFFSET($AM$3,0,0,'Données projet'!$E$10+1,1))-AVERAGE(OFFSET($H$3,0,0,'Données projet'!$E$10+1,1))</f>
        <v>240.30073883588199</v>
      </c>
      <c r="AO18" s="59">
        <f t="shared" si="36"/>
        <v>263.20351282678843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252.98248842635206</v>
      </c>
      <c r="BJ18" s="59">
        <f t="shared" si="38"/>
        <v>207.11938580878308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17.5</v>
      </c>
      <c r="BY18" s="12">
        <f>IF('Données projet'!$A$114&gt;35,BY17+BX18-CG17,IF(A18&lt;'Données projet'!$A$114,$BV$205^A18,IF(A18='Données projet'!$A$114,'Données projet'!$B$114,BY17+BX18-CG17)))</f>
        <v>107.5</v>
      </c>
      <c r="BZ18" s="13">
        <f>BY18*VLOOKUP('Données projet'!$B$12,Paramètres!$A$1:$I$89,3,0)*VLOOKUP('Données projet'!$B$12,Paramètres!$A$1:$I$89,5,0)</f>
        <v>60.092500000000001</v>
      </c>
      <c r="CA18" s="13">
        <f t="shared" si="39"/>
        <v>17.191653817497027</v>
      </c>
      <c r="CB18" s="20">
        <f t="shared" si="10"/>
        <v>134.603234565474</v>
      </c>
      <c r="CC18" s="59">
        <f t="shared" si="11"/>
        <v>427.93656789880731</v>
      </c>
      <c r="CD18" s="59">
        <f ca="1">AVERAGE(OFFSET($CC$3,0,0,'Données projet'!$E$12+1,1))-AVERAGE(OFFSET($H$3,0,0,'Données projet'!$E$12+1,1))</f>
        <v>401.06118089678654</v>
      </c>
      <c r="CE18" s="59">
        <f t="shared" si="40"/>
        <v>399.58193819355591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7.9</v>
      </c>
      <c r="CT18" s="12">
        <f>IF('Données projet'!$A$140&gt;35,CT17+CS18-DB17,IF(A18&lt;'Données projet'!$A$140,$CQ$205^A18,IF(A18='Données projet'!$A$140,'Données projet'!$B$140,CT17+CS18-DB17)))</f>
        <v>44.564887571004775</v>
      </c>
      <c r="CU18" s="17">
        <f>CT18*VLOOKUP('Données projet'!$B$13,Paramètres!$A$1:$I$89,3,0)*VLOOKUP('Données projet'!$B$13,Paramètres!$A$1:$I$89,5,0)</f>
        <v>27.808489844306976</v>
      </c>
      <c r="CV18" s="13">
        <f t="shared" si="41"/>
        <v>8.7021631211375059</v>
      </c>
      <c r="CW18" s="20">
        <f t="shared" si="13"/>
        <v>63.589387248149137</v>
      </c>
      <c r="CX18" s="59">
        <f t="shared" si="14"/>
        <v>356.92272058148245</v>
      </c>
      <c r="CY18" s="59">
        <f ca="1">AVERAGE(OFFSET($CX$3,0,0,'Données projet'!$E$13+1,1))-AVERAGE(OFFSET($H$3,0,0,'Données projet'!$E$13+1,1))</f>
        <v>285.77483300338548</v>
      </c>
      <c r="CZ18" s="59">
        <f t="shared" si="42"/>
        <v>320.55212417690637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57.018000000000001</v>
      </c>
      <c r="P19" s="13">
        <f t="shared" si="33"/>
        <v>16.412103612717626</v>
      </c>
      <c r="Q19" s="20">
        <f t="shared" si="2"/>
        <v>127.89076379214985</v>
      </c>
      <c r="R19" s="59">
        <f t="shared" si="0"/>
        <v>421.22409712548318</v>
      </c>
      <c r="S19" s="59">
        <f ca="1">AVERAGE(OFFSET($R$3,0,0,'Données projet'!$E$9+1,1))-AVERAGE(OFFSET($H$3,0,0,'Données projet'!$E$9+1,1))</f>
        <v>356.67698551373468</v>
      </c>
      <c r="T19" s="59">
        <f t="shared" si="34"/>
        <v>353.21836615408171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45.44704034460311</v>
      </c>
      <c r="AJ19" s="13">
        <f>AI19*VLOOKUP('Données projet'!$B$10,Paramètres!$A$1:$I$89,3,0)*VLOOKUP('Données projet'!$B$10,Paramètres!$A$1:$I$89,5,0)</f>
        <v>28.35895317503234</v>
      </c>
      <c r="AK19" s="13">
        <f t="shared" si="35"/>
        <v>8.8541957996533291</v>
      </c>
      <c r="AL19" s="20">
        <f t="shared" si="4"/>
        <v>64.812901130910859</v>
      </c>
      <c r="AM19" s="59">
        <f t="shared" si="5"/>
        <v>358.14623446424417</v>
      </c>
      <c r="AN19" s="59">
        <f ca="1">AVERAGE(OFFSET($AM$3,0,0,'Données projet'!$E$10+1,1))-AVERAGE(OFFSET($H$3,0,0,'Données projet'!$E$10+1,1))</f>
        <v>240.30073883588199</v>
      </c>
      <c r="AO19" s="59">
        <f t="shared" si="36"/>
        <v>263.20351282678843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252.98248842635206</v>
      </c>
      <c r="BJ19" s="59">
        <f t="shared" si="38"/>
        <v>207.11938580878308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17.5</v>
      </c>
      <c r="BY19" s="12">
        <f>IF('Données projet'!$A$114&gt;35,BY18+BX19-CG18,IF(A19&lt;'Données projet'!$A$114,$BV$205^A19,IF(A19='Données projet'!$A$114,'Données projet'!$B$114,BY18+BX19-CG18)))</f>
        <v>125</v>
      </c>
      <c r="BZ19" s="13">
        <f>BY19*VLOOKUP('Données projet'!$B$12,Paramètres!$A$1:$I$89,3,0)*VLOOKUP('Données projet'!$B$12,Paramètres!$A$1:$I$89,5,0)</f>
        <v>69.875</v>
      </c>
      <c r="CA19" s="13">
        <f t="shared" si="39"/>
        <v>19.64241243753855</v>
      </c>
      <c r="CB19" s="20">
        <f t="shared" si="10"/>
        <v>155.90949332871295</v>
      </c>
      <c r="CC19" s="59">
        <f t="shared" si="11"/>
        <v>449.24282666204624</v>
      </c>
      <c r="CD19" s="59">
        <f ca="1">AVERAGE(OFFSET($CC$3,0,0,'Données projet'!$E$12+1,1))-AVERAGE(OFFSET($H$3,0,0,'Données projet'!$E$12+1,1))</f>
        <v>401.06118089678654</v>
      </c>
      <c r="CE19" s="59">
        <f t="shared" si="40"/>
        <v>399.58193819355591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7.9</v>
      </c>
      <c r="CT19" s="12">
        <f>IF('Données projet'!$A$140&gt;35,CT18+CS19-DB18,IF(A19&lt;'Données projet'!$A$140,$CQ$205^A19,IF(A19='Données projet'!$A$140,'Données projet'!$B$140,CT18+CS19-DB18)))</f>
        <v>57.401820934596167</v>
      </c>
      <c r="CU19" s="17">
        <f>CT19*VLOOKUP('Données projet'!$B$13,Paramètres!$A$1:$I$89,3,0)*VLOOKUP('Données projet'!$B$13,Paramètres!$A$1:$I$89,5,0)</f>
        <v>35.818736263188008</v>
      </c>
      <c r="CV19" s="13">
        <f t="shared" si="41"/>
        <v>10.883382426793592</v>
      </c>
      <c r="CW19" s="20">
        <f t="shared" si="13"/>
        <v>81.339523385051294</v>
      </c>
      <c r="CX19" s="59">
        <f t="shared" si="14"/>
        <v>374.67285671838459</v>
      </c>
      <c r="CY19" s="59">
        <f ca="1">AVERAGE(OFFSET($CX$3,0,0,'Données projet'!$E$13+1,1))-AVERAGE(OFFSET($H$3,0,0,'Données projet'!$E$13+1,1))</f>
        <v>285.77483300338548</v>
      </c>
      <c r="CZ19" s="59">
        <f t="shared" si="42"/>
        <v>320.55212417690637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</v>
      </c>
      <c r="N20" s="13">
        <f>IF('Données projet'!$A$36&gt;35,N19+M20-V19,IF(A20&lt;'Données projet'!$A$36,$K$205^A20,IF(A20='Données projet'!$A$36,'Données projet'!$B$36,N19+M20-V19)))</f>
        <v>117</v>
      </c>
      <c r="O20" s="13">
        <f>N20*VLOOKUP('Données projet'!$B$9,Paramètres!$A$1:$I$89,3,0)*VLOOKUP('Données projet'!$B$9,Paramètres!$A$1:$I$89,5,0)</f>
        <v>65.403000000000006</v>
      </c>
      <c r="P20" s="13">
        <f t="shared" si="33"/>
        <v>18.527386684584471</v>
      </c>
      <c r="Q20" s="20">
        <f t="shared" si="2"/>
        <v>146.17875680898462</v>
      </c>
      <c r="R20" s="59">
        <f t="shared" si="0"/>
        <v>439.5120901423179</v>
      </c>
      <c r="S20" s="59">
        <f ca="1">AVERAGE(OFFSET($R$3,0,0,'Données projet'!$E$9+1,1))-AVERAGE(OFFSET($H$3,0,0,'Données projet'!$E$9+1,1))</f>
        <v>356.67698551373468</v>
      </c>
      <c r="T20" s="59">
        <f t="shared" si="34"/>
        <v>353.21836615408171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57.68988938108977</v>
      </c>
      <c r="AJ20" s="13">
        <f>AI20*VLOOKUP('Données projet'!$B$10,Paramètres!$A$1:$I$89,3,0)*VLOOKUP('Données projet'!$B$10,Paramètres!$A$1:$I$89,5,0)</f>
        <v>35.998490973800017</v>
      </c>
      <c r="AK20" s="13">
        <f t="shared" si="35"/>
        <v>10.931628613122477</v>
      </c>
      <c r="AL20" s="20">
        <f t="shared" si="4"/>
        <v>81.736624947223348</v>
      </c>
      <c r="AM20" s="59">
        <f t="shared" si="5"/>
        <v>375.06995828055665</v>
      </c>
      <c r="AN20" s="59">
        <f ca="1">AVERAGE(OFFSET($AM$3,0,0,'Données projet'!$E$10+1,1))-AVERAGE(OFFSET($H$3,0,0,'Données projet'!$E$10+1,1))</f>
        <v>240.30073883588199</v>
      </c>
      <c r="AO20" s="59">
        <f t="shared" si="36"/>
        <v>263.20351282678843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252.98248842635206</v>
      </c>
      <c r="BJ20" s="59">
        <f t="shared" si="38"/>
        <v>207.11938580878308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17.5</v>
      </c>
      <c r="BY20" s="12">
        <f>IF('Données projet'!$A$114&gt;35,BY19+BX20-CG19,IF(A20&lt;'Données projet'!$A$114,$BV$205^A20,IF(A20='Données projet'!$A$114,'Données projet'!$B$114,BY19+BX20-CG19)))</f>
        <v>142.5</v>
      </c>
      <c r="BZ20" s="13">
        <f>BY20*VLOOKUP('Données projet'!$B$12,Paramètres!$A$1:$I$89,3,0)*VLOOKUP('Données projet'!$B$12,Paramètres!$A$1:$I$89,5,0)</f>
        <v>79.657499999999999</v>
      </c>
      <c r="CA20" s="13">
        <f t="shared" si="39"/>
        <v>22.05342019864063</v>
      </c>
      <c r="CB20" s="20">
        <f t="shared" si="10"/>
        <v>177.14651934596574</v>
      </c>
      <c r="CC20" s="59">
        <f t="shared" si="11"/>
        <v>470.47985267929903</v>
      </c>
      <c r="CD20" s="59">
        <f ca="1">AVERAGE(OFFSET($CC$3,0,0,'Données projet'!$E$12+1,1))-AVERAGE(OFFSET($H$3,0,0,'Données projet'!$E$12+1,1))</f>
        <v>401.06118089678654</v>
      </c>
      <c r="CE20" s="59">
        <f t="shared" si="40"/>
        <v>399.58193819355591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7.9</v>
      </c>
      <c r="CT20" s="12">
        <f>IF('Données projet'!$A$140&gt;35,CT19+CS20-DB19,IF(A20&lt;'Données projet'!$A$140,$CQ$205^A20,IF(A20='Données projet'!$A$140,'Données projet'!$B$140,CT19+CS20-DB19)))</f>
        <v>73.936437994095741</v>
      </c>
      <c r="CU20" s="17">
        <f>CT20*VLOOKUP('Données projet'!$B$13,Paramètres!$A$1:$I$89,3,0)*VLOOKUP('Données projet'!$B$13,Paramètres!$A$1:$I$89,5,0)</f>
        <v>46.136337308315738</v>
      </c>
      <c r="CV20" s="13">
        <f t="shared" si="41"/>
        <v>13.611329895681916</v>
      </c>
      <c r="CW20" s="20">
        <f t="shared" si="13"/>
        <v>104.0605203802959</v>
      </c>
      <c r="CX20" s="59">
        <f t="shared" si="14"/>
        <v>397.3938537136292</v>
      </c>
      <c r="CY20" s="59">
        <f ca="1">AVERAGE(OFFSET($CX$3,0,0,'Données projet'!$E$13+1,1))-AVERAGE(OFFSET($H$3,0,0,'Données projet'!$E$13+1,1))</f>
        <v>285.77483300338548</v>
      </c>
      <c r="CZ20" s="59">
        <f t="shared" si="42"/>
        <v>320.55212417690637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</v>
      </c>
      <c r="N21" s="13">
        <f>IF('Données projet'!$A$36&gt;35,N20+M21-V20,IF(A21&lt;'Données projet'!$A$36,$K$205^A21,IF(A21='Données projet'!$A$36,'Données projet'!$B$36,N20+M21-V20)))</f>
        <v>132</v>
      </c>
      <c r="O21" s="13">
        <f>N21*VLOOKUP('Données projet'!$B$9,Paramètres!$A$1:$I$89,3,0)*VLOOKUP('Données projet'!$B$9,Paramètres!$A$1:$I$89,5,0)</f>
        <v>73.787999999999997</v>
      </c>
      <c r="P21" s="13">
        <f t="shared" si="33"/>
        <v>20.611246816293939</v>
      </c>
      <c r="Q21" s="20">
        <f t="shared" si="2"/>
        <v>164.41202153837858</v>
      </c>
      <c r="R21" s="59">
        <f t="shared" si="0"/>
        <v>457.74535487171192</v>
      </c>
      <c r="S21" s="59">
        <f ca="1">AVERAGE(OFFSET($R$3,0,0,'Données projet'!$E$9+1,1))-AVERAGE(OFFSET($H$3,0,0,'Données projet'!$E$9+1,1))</f>
        <v>356.67698551373468</v>
      </c>
      <c r="T21" s="59">
        <f t="shared" si="34"/>
        <v>353.21836615408171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73.23080472494604</v>
      </c>
      <c r="AJ21" s="13">
        <f>AI21*VLOOKUP('Données projet'!$B$10,Paramètres!$A$1:$I$89,3,0)*VLOOKUP('Données projet'!$B$10,Paramètres!$A$1:$I$89,5,0)</f>
        <v>45.696022148366332</v>
      </c>
      <c r="AK21" s="13">
        <f t="shared" si="35"/>
        <v>13.496483118197693</v>
      </c>
      <c r="AL21" s="20">
        <f t="shared" si="4"/>
        <v>103.09361333926567</v>
      </c>
      <c r="AM21" s="59">
        <f t="shared" si="5"/>
        <v>396.426946672599</v>
      </c>
      <c r="AN21" s="59">
        <f ca="1">AVERAGE(OFFSET($AM$3,0,0,'Données projet'!$E$10+1,1))-AVERAGE(OFFSET($H$3,0,0,'Données projet'!$E$10+1,1))</f>
        <v>240.30073883588199</v>
      </c>
      <c r="AO21" s="59">
        <f t="shared" si="36"/>
        <v>263.20351282678843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252.98248842635206</v>
      </c>
      <c r="BJ21" s="59">
        <f t="shared" si="38"/>
        <v>207.11938580878308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17.5</v>
      </c>
      <c r="BY21" s="12">
        <f>IF('Données projet'!$A$114&gt;35,BY20+BX21-CG20,IF(A21&lt;'Données projet'!$A$114,$BV$205^A21,IF(A21='Données projet'!$A$114,'Données projet'!$B$114,BY20+BX21-CG20)))</f>
        <v>160</v>
      </c>
      <c r="BZ21" s="13">
        <f>BY21*VLOOKUP('Données projet'!$B$12,Paramètres!$A$1:$I$89,3,0)*VLOOKUP('Données projet'!$B$12,Paramètres!$A$1:$I$89,5,0)</f>
        <v>89.44</v>
      </c>
      <c r="CA21" s="13">
        <f t="shared" si="39"/>
        <v>24.430117455867048</v>
      </c>
      <c r="CB21" s="20">
        <f t="shared" si="10"/>
        <v>198.32378790230177</v>
      </c>
      <c r="CC21" s="59">
        <f t="shared" si="11"/>
        <v>491.65712123563509</v>
      </c>
      <c r="CD21" s="59">
        <f ca="1">AVERAGE(OFFSET($CC$3,0,0,'Données projet'!$E$12+1,1))-AVERAGE(OFFSET($H$3,0,0,'Données projet'!$E$12+1,1))</f>
        <v>401.06118089678654</v>
      </c>
      <c r="CE21" s="59">
        <f t="shared" si="40"/>
        <v>399.58193819355591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7.9</v>
      </c>
      <c r="CT21" s="12">
        <f>IF('Données projet'!$A$140&gt;35,CT20+CS21-DB20,IF(A21&lt;'Données projet'!$A$140,$CQ$205^A21,IF(A21='Données projet'!$A$140,'Données projet'!$B$140,CT20+CS21-DB20)))</f>
        <v>95.233857990035276</v>
      </c>
      <c r="CU21" s="17">
        <f>CT21*VLOOKUP('Données projet'!$B$13,Paramètres!$A$1:$I$89,3,0)*VLOOKUP('Données projet'!$B$13,Paramètres!$A$1:$I$89,5,0)</f>
        <v>59.425927385782011</v>
      </c>
      <c r="CV21" s="13">
        <f t="shared" si="41"/>
        <v>17.023044331601881</v>
      </c>
      <c r="CW21" s="20">
        <f t="shared" si="13"/>
        <v>133.14862574111029</v>
      </c>
      <c r="CX21" s="59">
        <f t="shared" si="14"/>
        <v>426.48195907444358</v>
      </c>
      <c r="CY21" s="59">
        <f ca="1">AVERAGE(OFFSET($CX$3,0,0,'Données projet'!$E$13+1,1))-AVERAGE(OFFSET($H$3,0,0,'Données projet'!$E$13+1,1))</f>
        <v>285.77483300338548</v>
      </c>
      <c r="CZ21" s="59">
        <f t="shared" si="42"/>
        <v>320.55212417690637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</v>
      </c>
      <c r="N22" s="13">
        <f>IF('Données projet'!$A$36&gt;35,N21+M22-V21,IF(A22&lt;'Données projet'!$A$36,$K$205^A22,IF(A22='Données projet'!$A$36,'Données projet'!$B$36,N21+M22-V21)))</f>
        <v>147</v>
      </c>
      <c r="O22" s="13">
        <f>N22*VLOOKUP('Données projet'!$B$9,Paramètres!$A$1:$I$89,3,0)*VLOOKUP('Données projet'!$B$9,Paramètres!$A$1:$I$89,5,0)</f>
        <v>82.173000000000002</v>
      </c>
      <c r="P22" s="13">
        <f t="shared" si="33"/>
        <v>22.667662370396656</v>
      </c>
      <c r="Q22" s="20">
        <f t="shared" si="2"/>
        <v>182.59748696177417</v>
      </c>
      <c r="R22" s="59">
        <f t="shared" si="0"/>
        <v>475.93082029510748</v>
      </c>
      <c r="S22" s="59">
        <f ca="1">AVERAGE(OFFSET($R$3,0,0,'Données projet'!$E$9+1,1))-AVERAGE(OFFSET($H$3,0,0,'Données projet'!$E$9+1,1))</f>
        <v>356.67698551373468</v>
      </c>
      <c r="T22" s="59">
        <f t="shared" si="34"/>
        <v>353.21836615408171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92.958243085503995</v>
      </c>
      <c r="AJ22" s="13">
        <f>AI22*VLOOKUP('Données projet'!$B$10,Paramètres!$A$1:$I$89,3,0)*VLOOKUP('Données projet'!$B$10,Paramètres!$A$1:$I$89,5,0)</f>
        <v>58.005943685354488</v>
      </c>
      <c r="AK22" s="13">
        <f t="shared" si="35"/>
        <v>16.663121571943435</v>
      </c>
      <c r="AL22" s="20">
        <f t="shared" si="4"/>
        <v>130.04862198979387</v>
      </c>
      <c r="AM22" s="59">
        <f t="shared" si="5"/>
        <v>423.38195532312716</v>
      </c>
      <c r="AN22" s="59">
        <f ca="1">AVERAGE(OFFSET($AM$3,0,0,'Données projet'!$E$10+1,1))-AVERAGE(OFFSET($H$3,0,0,'Données projet'!$E$10+1,1))</f>
        <v>240.30073883588199</v>
      </c>
      <c r="AO22" s="59">
        <f t="shared" si="36"/>
        <v>263.20351282678843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252.98248842635206</v>
      </c>
      <c r="BJ22" s="59">
        <f t="shared" si="38"/>
        <v>207.11938580878308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17.5</v>
      </c>
      <c r="BY22" s="12">
        <f>IF('Données projet'!$A$114&gt;35,BY21+BX22-CG21,IF(A22&lt;'Données projet'!$A$114,$BV$205^A22,IF(A22='Données projet'!$A$114,'Données projet'!$B$114,BY21+BX22-CG21)))</f>
        <v>177.5</v>
      </c>
      <c r="BZ22" s="13">
        <f>BY22*VLOOKUP('Données projet'!$B$12,Paramètres!$A$1:$I$89,3,0)*VLOOKUP('Données projet'!$B$12,Paramètres!$A$1:$I$89,5,0)</f>
        <v>99.222500000000011</v>
      </c>
      <c r="CA22" s="13">
        <f t="shared" si="39"/>
        <v>26.776684834408954</v>
      </c>
      <c r="CB22" s="20">
        <f t="shared" si="10"/>
        <v>219.44858025326224</v>
      </c>
      <c r="CC22" s="59">
        <f t="shared" si="11"/>
        <v>512.78191358659558</v>
      </c>
      <c r="CD22" s="59">
        <f ca="1">AVERAGE(OFFSET($CC$3,0,0,'Données projet'!$E$12+1,1))-AVERAGE(OFFSET($H$3,0,0,'Données projet'!$E$12+1,1))</f>
        <v>401.06118089678654</v>
      </c>
      <c r="CE22" s="59">
        <f t="shared" si="40"/>
        <v>399.58193819355591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7.9</v>
      </c>
      <c r="CT22" s="12">
        <f>IF('Données projet'!$A$140&gt;35,CT21+CS22-DB21,IF(A22&lt;'Données projet'!$A$140,$CQ$205^A22,IF(A22='Données projet'!$A$140,'Données projet'!$B$140,CT21+CS22-DB21)))</f>
        <v>122.66600817840934</v>
      </c>
      <c r="CU22" s="17">
        <f>CT22*VLOOKUP('Données projet'!$B$13,Paramètres!$A$1:$I$89,3,0)*VLOOKUP('Données projet'!$B$13,Paramètres!$A$1:$I$89,5,0)</f>
        <v>76.543589103327434</v>
      </c>
      <c r="CV22" s="13">
        <f t="shared" si="41"/>
        <v>21.289913662853376</v>
      </c>
      <c r="CW22" s="20">
        <f t="shared" si="13"/>
        <v>170.39335065109825</v>
      </c>
      <c r="CX22" s="59">
        <f t="shared" si="14"/>
        <v>463.72668398443159</v>
      </c>
      <c r="CY22" s="59">
        <f ca="1">AVERAGE(OFFSET($CX$3,0,0,'Données projet'!$E$13+1,1))-AVERAGE(OFFSET($H$3,0,0,'Données projet'!$E$13+1,1))</f>
        <v>285.77483300338548</v>
      </c>
      <c r="CZ22" s="59">
        <f t="shared" si="42"/>
        <v>320.55212417690637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162</v>
      </c>
      <c r="L23" s="12">
        <f>VLOOKUP(A23,'Données projet'!$A$35:$I$55,9,0)</f>
        <v>15</v>
      </c>
      <c r="M23" s="12">
        <f t="array" ref="M23">INDEX(L:L,MIN(IF(ISNUMBER(L23:L219),ROW(L23:L219),"")))</f>
        <v>15</v>
      </c>
      <c r="N23" s="13">
        <f>IF('Données projet'!$A$36&gt;35,N22+M23-V22,IF(A23&lt;'Données projet'!$A$36,$K$205^A23,IF(A23='Données projet'!$A$36,'Données projet'!$B$36,N22+M23-V22)))</f>
        <v>162</v>
      </c>
      <c r="O23" s="13">
        <f>N23*VLOOKUP('Données projet'!$B$9,Paramètres!$A$1:$I$89,3,0)*VLOOKUP('Données projet'!$B$9,Paramètres!$A$1:$I$89,5,0)</f>
        <v>90.557999999999993</v>
      </c>
      <c r="P23" s="13">
        <f t="shared" si="33"/>
        <v>24.699752708509138</v>
      </c>
      <c r="Q23" s="20">
        <f t="shared" si="2"/>
        <v>200.74058596732007</v>
      </c>
      <c r="R23" s="59">
        <f t="shared" si="0"/>
        <v>494.07391930065342</v>
      </c>
      <c r="S23" s="59">
        <f ca="1">AVERAGE(OFFSET($R$3,0,0,'Données projet'!$E$9+1,1))-AVERAGE(OFFSET($H$3,0,0,'Données projet'!$E$9+1,1))</f>
        <v>356.67698551373468</v>
      </c>
      <c r="T23" s="59">
        <f t="shared" si="34"/>
        <v>353.21836615408171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12.796760722565436</v>
      </c>
      <c r="AB23" s="21">
        <f>EXP(-LN(2)/2)*AB22+(1-EXP(-LN(2)/2))/(LN(2)/2)*V23*Y23*VLOOKUP('Données projet'!$B$9,Paramètres!$A$1:$I$89,3,0)*0.475*44/12</f>
        <v>19.936912410994776</v>
      </c>
      <c r="AC23" s="22">
        <f t="shared" si="3"/>
        <v>32.73367313356021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118</v>
      </c>
      <c r="AG23" s="12">
        <f>VLOOKUP(A23,'Données projet'!$A$61:$I$81,9,0)</f>
        <v>5.9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118</v>
      </c>
      <c r="AJ23" s="13">
        <f>AI23*VLOOKUP('Données projet'!$B$10,Paramètres!$A$1:$I$89,3,0)*VLOOKUP('Données projet'!$B$10,Paramètres!$A$1:$I$89,5,0)</f>
        <v>73.632000000000005</v>
      </c>
      <c r="AK23" s="13">
        <f t="shared" si="35"/>
        <v>20.572738697163981</v>
      </c>
      <c r="AL23" s="20">
        <f t="shared" si="4"/>
        <v>164.07325323089393</v>
      </c>
      <c r="AM23" s="59">
        <f t="shared" si="5"/>
        <v>457.40658656422727</v>
      </c>
      <c r="AN23" s="59">
        <f ca="1">AVERAGE(OFFSET($AM$3,0,0,'Données projet'!$E$10+1,1))-AVERAGE(OFFSET($H$3,0,0,'Données projet'!$E$10+1,1))</f>
        <v>240.30073883588199</v>
      </c>
      <c r="AO23" s="59">
        <f t="shared" si="36"/>
        <v>263.20351282678843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9.1521381428676971</v>
      </c>
      <c r="AW23" s="21">
        <f>EXP(-LN(2)/2)*AW22+(1-EXP(-LN(2)/2))/(LN(2)/2)*AQ23*AT23*VLOOKUP('Données projet'!$B$10,Paramètres!$A$1:$I$89,3,0)*0.475*44/12</f>
        <v>13.070489642645519</v>
      </c>
      <c r="AX23" s="21">
        <f t="shared" si="6"/>
        <v>22.222627785513218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252.98248842635206</v>
      </c>
      <c r="BJ23" s="59">
        <f t="shared" si="38"/>
        <v>207.11938580878308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195</v>
      </c>
      <c r="BW23" s="12">
        <f>VLOOKUP(A23,'Données projet'!$A$113:$I$133,9,0)</f>
        <v>17.5</v>
      </c>
      <c r="BX23" s="12">
        <f t="array" ref="BX23">INDEX(BW:BW,MIN(IF(ISNUMBER(BW23:BW219),ROW(BW23:BW219),"")))</f>
        <v>17.5</v>
      </c>
      <c r="BY23" s="12">
        <f>IF('Données projet'!$A$114&gt;35,BY22+BX23-CG22,IF(A23&lt;'Données projet'!$A$114,$BV$205^A23,IF(A23='Données projet'!$A$114,'Données projet'!$B$114,BY22+BX23-CG22)))</f>
        <v>195</v>
      </c>
      <c r="BZ23" s="13">
        <f>BY23*VLOOKUP('Données projet'!$B$12,Paramètres!$A$1:$I$89,3,0)*VLOOKUP('Données projet'!$B$12,Paramètres!$A$1:$I$89,5,0)</f>
        <v>109.005</v>
      </c>
      <c r="CA23" s="13">
        <f t="shared" si="39"/>
        <v>29.09643097993688</v>
      </c>
      <c r="CB23" s="20">
        <f t="shared" si="10"/>
        <v>240.52665895672337</v>
      </c>
      <c r="CC23" s="59">
        <f t="shared" si="11"/>
        <v>533.85999229005665</v>
      </c>
      <c r="CD23" s="59">
        <f ca="1">AVERAGE(OFFSET($CC$3,0,0,'Données projet'!$E$12+1,1))-AVERAGE(OFFSET($H$3,0,0,'Données projet'!$E$12+1,1))</f>
        <v>401.06118089678654</v>
      </c>
      <c r="CE23" s="59">
        <f t="shared" si="40"/>
        <v>399.58193819355591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17.062347630087249</v>
      </c>
      <c r="CM23" s="21">
        <f>EXP(-LN(2)/2)*CM22+(1-EXP(-LN(2)/2))/(LN(2)/2)*CG23*CJ23*VLOOKUP('Données projet'!$B$12,Paramètres!$A$1:$I$89,3,0)*0.475*44/12</f>
        <v>26.582549881326369</v>
      </c>
      <c r="CN23" s="22">
        <f t="shared" si="12"/>
        <v>43.644897511413618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158</v>
      </c>
      <c r="CR23" s="12">
        <f>VLOOKUP(A23,'Données projet'!$A$139:$I$159,9,0)</f>
        <v>7.9</v>
      </c>
      <c r="CS23" s="12">
        <f t="array" ref="CS23">INDEX(CR:CR,MIN(IF(ISNUMBER(CR23:CR219),ROW(CR23:CR219),"")))</f>
        <v>7.9</v>
      </c>
      <c r="CT23" s="12">
        <f>IF('Données projet'!$A$140&gt;35,CT22+CS23-DB22,IF(A23&lt;'Données projet'!$A$140,$CQ$205^A23,IF(A23='Données projet'!$A$140,'Données projet'!$B$140,CT22+CS23-DB22)))</f>
        <v>158</v>
      </c>
      <c r="CU23" s="17">
        <f>CT23*VLOOKUP('Données projet'!$B$13,Paramètres!$A$1:$I$89,3,0)*VLOOKUP('Données projet'!$B$13,Paramètres!$A$1:$I$89,5,0)</f>
        <v>98.592000000000013</v>
      </c>
      <c r="CV23" s="13">
        <f t="shared" si="41"/>
        <v>26.626284637602105</v>
      </c>
      <c r="CW23" s="20">
        <f t="shared" si="13"/>
        <v>218.08851241049035</v>
      </c>
      <c r="CX23" s="59">
        <f t="shared" si="14"/>
        <v>511.42184574382367</v>
      </c>
      <c r="CY23" s="59">
        <f ca="1">AVERAGE(OFFSET($CX$3,0,0,'Données projet'!$E$13+1,1))-AVERAGE(OFFSET($H$3,0,0,'Données projet'!$E$13+1,1))</f>
        <v>285.77483300338548</v>
      </c>
      <c r="CZ23" s="59">
        <f t="shared" si="42"/>
        <v>320.55212417690637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14.841305096542214</v>
      </c>
      <c r="DH23" s="21">
        <f>EXP(-LN(2)/2)*DH22+(1-EXP(-LN(2)/2))/(LN(2)/2)*DB23*DE23*VLOOKUP('Données projet'!$B$13,Paramètres!$A$1:$I$89,3,0)*0.475*44/12</f>
        <v>21.195388609695438</v>
      </c>
      <c r="DI23" s="22">
        <f t="shared" si="15"/>
        <v>36.036693706237656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22.2</v>
      </c>
      <c r="N24" s="13">
        <f>IF('Données projet'!$A$36&gt;35,N23+M24-V23,IF(A24&lt;'Données projet'!$A$36,$K$205^A24,IF(A24='Données projet'!$A$36,'Données projet'!$B$36,N23+M24-V23)))</f>
        <v>121.19999999999999</v>
      </c>
      <c r="O24" s="13">
        <f>N24*VLOOKUP('Données projet'!$B$9,Paramètres!$A$1:$I$89,3,0)*VLOOKUP('Données projet'!$B$9,Paramètres!$A$1:$I$89,5,0)</f>
        <v>67.750799999999998</v>
      </c>
      <c r="P24" s="13">
        <f t="shared" si="33"/>
        <v>19.113844706860473</v>
      </c>
      <c r="Q24" s="20">
        <f t="shared" si="2"/>
        <v>151.28925619778201</v>
      </c>
      <c r="R24" s="59">
        <f t="shared" si="0"/>
        <v>444.6225895311153</v>
      </c>
      <c r="S24" s="59">
        <f ca="1">AVERAGE(OFFSET($R$3,0,0,'Données projet'!$E$9+1,1))-AVERAGE(OFFSET($H$3,0,0,'Données projet'!$E$9+1,1))</f>
        <v>356.67698551373468</v>
      </c>
      <c r="T24" s="59">
        <f t="shared" si="34"/>
        <v>353.21836615408171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12.446832627654485</v>
      </c>
      <c r="AB24" s="21">
        <f>EXP(-LN(2)/2)*AB23+(1-EXP(-LN(2)/2))/(LN(2)/2)*V24*Y24*VLOOKUP('Données projet'!$B$9,Paramètres!$A$1:$I$89,3,0)*0.475*44/12</f>
        <v>14.097525961736647</v>
      </c>
      <c r="AC24" s="22">
        <f t="shared" si="3"/>
        <v>26.54435858939113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13.9</v>
      </c>
      <c r="AI24" s="13">
        <f>IF('Données projet'!$A$62&gt;35,AI23+AH24-AQ23,IF(A24&lt;'Données projet'!$A$62,$AF$205^A24,IF(A24='Données projet'!$A$62,'Données projet'!$B$62,AI23+AH24-AQ23)))</f>
        <v>94.9</v>
      </c>
      <c r="AJ24" s="13">
        <f>AI24*VLOOKUP('Données projet'!$B$10,Paramètres!$A$1:$I$89,3,0)*VLOOKUP('Données projet'!$B$10,Paramètres!$A$1:$I$89,5,0)</f>
        <v>59.217600000000004</v>
      </c>
      <c r="AK24" s="13">
        <f t="shared" si="35"/>
        <v>16.970302883579741</v>
      </c>
      <c r="AL24" s="20">
        <f t="shared" si="4"/>
        <v>132.69393085556803</v>
      </c>
      <c r="AM24" s="59">
        <f t="shared" si="5"/>
        <v>426.02726418890131</v>
      </c>
      <c r="AN24" s="59">
        <f ca="1">AVERAGE(OFFSET($AM$3,0,0,'Données projet'!$E$10+1,1))-AVERAGE(OFFSET($H$3,0,0,'Données projet'!$E$10+1,1))</f>
        <v>240.30073883588199</v>
      </c>
      <c r="AO24" s="59">
        <f t="shared" si="36"/>
        <v>263.20351282678843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8.9018724440609525</v>
      </c>
      <c r="AW24" s="21">
        <f>EXP(-LN(2)/2)*AW23+(1-EXP(-LN(2)/2))/(LN(2)/2)*AQ24*AT24*VLOOKUP('Données projet'!$B$10,Paramètres!$A$1:$I$89,3,0)*0.475*44/12</f>
        <v>9.2422318597431818</v>
      </c>
      <c r="AX24" s="21">
        <f t="shared" si="6"/>
        <v>18.144104303804134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252.98248842635206</v>
      </c>
      <c r="BJ24" s="59">
        <f t="shared" si="38"/>
        <v>207.11938580878308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24.9</v>
      </c>
      <c r="BY24" s="12">
        <f>IF('Données projet'!$A$114&gt;35,BY23+BX24-CG23,IF(A24&lt;'Données projet'!$A$114,$BV$205^A24,IF(A24='Données projet'!$A$114,'Données projet'!$B$114,BY23+BX24-CG23)))</f>
        <v>135.9</v>
      </c>
      <c r="BZ24" s="13">
        <f>BY24*VLOOKUP('Données projet'!$B$12,Paramètres!$A$1:$I$89,3,0)*VLOOKUP('Données projet'!$B$12,Paramètres!$A$1:$I$89,5,0)</f>
        <v>75.968100000000007</v>
      </c>
      <c r="CA24" s="13">
        <f t="shared" si="39"/>
        <v>21.148416276516436</v>
      </c>
      <c r="CB24" s="20">
        <f t="shared" si="10"/>
        <v>169.14459918159946</v>
      </c>
      <c r="CC24" s="59">
        <f t="shared" si="11"/>
        <v>462.47793251493277</v>
      </c>
      <c r="CD24" s="59">
        <f ca="1">AVERAGE(OFFSET($CC$3,0,0,'Données projet'!$E$12+1,1))-AVERAGE(OFFSET($H$3,0,0,'Données projet'!$E$12+1,1))</f>
        <v>401.06118089678654</v>
      </c>
      <c r="CE24" s="59">
        <f t="shared" si="40"/>
        <v>399.58193819355591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16.595776836872648</v>
      </c>
      <c r="CM24" s="21">
        <f>EXP(-LN(2)/2)*CM23+(1-EXP(-LN(2)/2))/(LN(2)/2)*CG24*CJ24*VLOOKUP('Données projet'!$B$12,Paramètres!$A$1:$I$89,3,0)*0.475*44/12</f>
        <v>18.796701282315532</v>
      </c>
      <c r="CN24" s="22">
        <f t="shared" si="12"/>
        <v>35.392478119188183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16.5</v>
      </c>
      <c r="CT24" s="12">
        <f>IF('Données projet'!$A$140&gt;35,CT23+CS24-DB23,IF(A24&lt;'Données projet'!$A$140,$CQ$205^A24,IF(A24='Données projet'!$A$140,'Données projet'!$B$140,CT23+CS24-DB23)))</f>
        <v>114.5</v>
      </c>
      <c r="CU24" s="17">
        <f>CT24*VLOOKUP('Données projet'!$B$13,Paramètres!$A$1:$I$89,3,0)*VLOOKUP('Données projet'!$B$13,Paramètres!$A$1:$I$89,5,0)</f>
        <v>71.448000000000008</v>
      </c>
      <c r="CV24" s="13">
        <f t="shared" si="41"/>
        <v>20.03261738899662</v>
      </c>
      <c r="CW24" s="20">
        <f t="shared" si="13"/>
        <v>159.32874195250244</v>
      </c>
      <c r="CX24" s="59">
        <f t="shared" si="14"/>
        <v>452.66207528583573</v>
      </c>
      <c r="CY24" s="59">
        <f ca="1">AVERAGE(OFFSET($CX$3,0,0,'Données projet'!$E$13+1,1))-AVERAGE(OFFSET($H$3,0,0,'Données projet'!$E$13+1,1))</f>
        <v>285.77483300338548</v>
      </c>
      <c r="CZ24" s="59">
        <f t="shared" si="42"/>
        <v>320.55212417690637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14.435468828206952</v>
      </c>
      <c r="DH24" s="21">
        <f>EXP(-LN(2)/2)*DH23+(1-EXP(-LN(2)/2))/(LN(2)/2)*DB24*DE24*VLOOKUP('Données projet'!$B$13,Paramètres!$A$1:$I$89,3,0)*0.475*44/12</f>
        <v>14.987403015799755</v>
      </c>
      <c r="DI24" s="22">
        <f t="shared" si="15"/>
        <v>29.422871844006707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22.2</v>
      </c>
      <c r="N25" s="13">
        <f>IF('Données projet'!$A$36&gt;35,N24+M25-V24,IF(A25&lt;'Données projet'!$A$36,$K$205^A25,IF(A25='Données projet'!$A$36,'Données projet'!$B$36,N24+M25-V24)))</f>
        <v>143.39999999999998</v>
      </c>
      <c r="O25" s="13">
        <f>N25*VLOOKUP('Données projet'!$B$9,Paramètres!$A$1:$I$89,3,0)*VLOOKUP('Données projet'!$B$9,Paramètres!$A$1:$I$89,5,0)</f>
        <v>80.160599999999988</v>
      </c>
      <c r="P25" s="13">
        <f t="shared" si="33"/>
        <v>22.176447079115164</v>
      </c>
      <c r="Q25" s="20">
        <f t="shared" si="2"/>
        <v>178.23702366279221</v>
      </c>
      <c r="R25" s="59">
        <f t="shared" si="0"/>
        <v>471.5703569961255</v>
      </c>
      <c r="S25" s="59">
        <f ca="1">AVERAGE(OFFSET($R$3,0,0,'Données projet'!$E$9+1,1))-AVERAGE(OFFSET($H$3,0,0,'Données projet'!$E$9+1,1))</f>
        <v>356.67698551373468</v>
      </c>
      <c r="T25" s="59">
        <f t="shared" si="34"/>
        <v>353.21836615408171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12.106473334900793</v>
      </c>
      <c r="AB25" s="21">
        <f>EXP(-LN(2)/2)*AB24+(1-EXP(-LN(2)/2))/(LN(2)/2)*V25*Y25*VLOOKUP('Données projet'!$B$9,Paramètres!$A$1:$I$89,3,0)*0.475*44/12</f>
        <v>9.9684562054973895</v>
      </c>
      <c r="AC25" s="22">
        <f t="shared" si="3"/>
        <v>22.07492954039818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13.9</v>
      </c>
      <c r="AI25" s="13">
        <f>IF('Données projet'!$A$62&gt;35,AI24+AH25-AQ24,IF(A25&lt;'Données projet'!$A$62,$AF$205^A25,IF(A25='Données projet'!$A$62,'Données projet'!$B$62,AI24+AH25-AQ24)))</f>
        <v>108.80000000000001</v>
      </c>
      <c r="AJ25" s="13">
        <f>AI25*VLOOKUP('Données projet'!$B$10,Paramètres!$A$1:$I$89,3,0)*VLOOKUP('Données projet'!$B$10,Paramètres!$A$1:$I$89,5,0)</f>
        <v>67.891200000000012</v>
      </c>
      <c r="AK25" s="13">
        <f t="shared" si="35"/>
        <v>19.148839553800077</v>
      </c>
      <c r="AL25" s="20">
        <f t="shared" si="4"/>
        <v>151.59473555620181</v>
      </c>
      <c r="AM25" s="59">
        <f t="shared" si="5"/>
        <v>444.9280688895351</v>
      </c>
      <c r="AN25" s="59">
        <f ca="1">AVERAGE(OFFSET($AM$3,0,0,'Données projet'!$E$10+1,1))-AVERAGE(OFFSET($H$3,0,0,'Données projet'!$E$10+1,1))</f>
        <v>240.30073883588199</v>
      </c>
      <c r="AO25" s="59">
        <f t="shared" si="36"/>
        <v>263.20351282678843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8.6584502739489793</v>
      </c>
      <c r="AW25" s="21">
        <f>EXP(-LN(2)/2)*AW24+(1-EXP(-LN(2)/2))/(LN(2)/2)*AQ25*AT25*VLOOKUP('Données projet'!$B$10,Paramètres!$A$1:$I$89,3,0)*0.475*44/12</f>
        <v>6.5352448213227605</v>
      </c>
      <c r="AX25" s="21">
        <f t="shared" si="6"/>
        <v>15.193695095271739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252.98248842635206</v>
      </c>
      <c r="BJ25" s="59">
        <f t="shared" si="38"/>
        <v>207.11938580878308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24.9</v>
      </c>
      <c r="BY25" s="12">
        <f>IF('Données projet'!$A$114&gt;35,BY24+BX25-CG24,IF(A25&lt;'Données projet'!$A$114,$BV$205^A25,IF(A25='Données projet'!$A$114,'Données projet'!$B$114,BY24+BX25-CG24)))</f>
        <v>160.80000000000001</v>
      </c>
      <c r="BZ25" s="13">
        <f>BY25*VLOOKUP('Données projet'!$B$12,Paramètres!$A$1:$I$89,3,0)*VLOOKUP('Données projet'!$B$12,Paramètres!$A$1:$I$89,5,0)</f>
        <v>89.887200000000007</v>
      </c>
      <c r="CA25" s="13">
        <f t="shared" si="39"/>
        <v>24.538018364785955</v>
      </c>
      <c r="CB25" s="20">
        <f t="shared" si="10"/>
        <v>199.29058865200219</v>
      </c>
      <c r="CC25" s="59">
        <f t="shared" si="11"/>
        <v>492.62392198533553</v>
      </c>
      <c r="CD25" s="59">
        <f ca="1">AVERAGE(OFFSET($CC$3,0,0,'Données projet'!$E$12+1,1))-AVERAGE(OFFSET($H$3,0,0,'Données projet'!$E$12+1,1))</f>
        <v>401.06118089678654</v>
      </c>
      <c r="CE25" s="59">
        <f t="shared" si="40"/>
        <v>399.58193819355591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16.141964446534391</v>
      </c>
      <c r="CM25" s="21">
        <f>EXP(-LN(2)/2)*CM24+(1-EXP(-LN(2)/2))/(LN(2)/2)*CG25*CJ25*VLOOKUP('Données projet'!$B$12,Paramètres!$A$1:$I$89,3,0)*0.475*44/12</f>
        <v>13.291274940663186</v>
      </c>
      <c r="CN25" s="22">
        <f t="shared" si="12"/>
        <v>29.433239387197577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16.5</v>
      </c>
      <c r="CT25" s="12">
        <f>IF('Données projet'!$A$140&gt;35,CT24+CS25-DB24,IF(A25&lt;'Données projet'!$A$140,$CQ$205^A25,IF(A25='Données projet'!$A$140,'Données projet'!$B$140,CT24+CS25-DB24)))</f>
        <v>131</v>
      </c>
      <c r="CU25" s="17">
        <f>CT25*VLOOKUP('Données projet'!$B$13,Paramètres!$A$1:$I$89,3,0)*VLOOKUP('Données projet'!$B$13,Paramètres!$A$1:$I$89,5,0)</f>
        <v>81.744</v>
      </c>
      <c r="CV25" s="13">
        <f t="shared" si="41"/>
        <v>22.563064513367394</v>
      </c>
      <c r="CW25" s="20">
        <f t="shared" si="13"/>
        <v>181.66813736078151</v>
      </c>
      <c r="CX25" s="59">
        <f t="shared" si="14"/>
        <v>475.0014706941148</v>
      </c>
      <c r="CY25" s="59">
        <f ca="1">AVERAGE(OFFSET($CX$3,0,0,'Données projet'!$E$13+1,1))-AVERAGE(OFFSET($H$3,0,0,'Données projet'!$E$13+1,1))</f>
        <v>285.77483300338548</v>
      </c>
      <c r="CZ25" s="59">
        <f t="shared" si="42"/>
        <v>320.55212417690637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14.040730173971321</v>
      </c>
      <c r="DH25" s="21">
        <f>EXP(-LN(2)/2)*DH24+(1-EXP(-LN(2)/2))/(LN(2)/2)*DB25*DE25*VLOOKUP('Données projet'!$B$13,Paramètres!$A$1:$I$89,3,0)*0.475*44/12</f>
        <v>10.597694304847721</v>
      </c>
      <c r="DI25" s="22">
        <f t="shared" si="15"/>
        <v>24.63842447881904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22.2</v>
      </c>
      <c r="N26" s="13">
        <f>IF('Données projet'!$A$36&gt;35,N25+M26-V25,IF(A26&lt;'Données projet'!$A$36,$K$205^A26,IF(A26='Données projet'!$A$36,'Données projet'!$B$36,N25+M26-V25)))</f>
        <v>165.59999999999997</v>
      </c>
      <c r="O26" s="13">
        <f>N26*VLOOKUP('Données projet'!$B$9,Paramètres!$A$1:$I$89,3,0)*VLOOKUP('Données projet'!$B$9,Paramètres!$A$1:$I$89,5,0)</f>
        <v>92.570399999999978</v>
      </c>
      <c r="P26" s="13">
        <f t="shared" si="33"/>
        <v>25.184123943972491</v>
      </c>
      <c r="Q26" s="20">
        <f t="shared" si="2"/>
        <v>205.08912920241869</v>
      </c>
      <c r="R26" s="59">
        <f t="shared" si="0"/>
        <v>498.422462535752</v>
      </c>
      <c r="S26" s="59">
        <f ca="1">AVERAGE(OFFSET($R$3,0,0,'Données projet'!$E$9+1,1))-AVERAGE(OFFSET($H$3,0,0,'Données projet'!$E$9+1,1))</f>
        <v>356.67698551373468</v>
      </c>
      <c r="T26" s="59">
        <f t="shared" si="34"/>
        <v>353.21836615408171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11.775421184906168</v>
      </c>
      <c r="AB26" s="21">
        <f>EXP(-LN(2)/2)*AB25+(1-EXP(-LN(2)/2))/(LN(2)/2)*V26*Y26*VLOOKUP('Données projet'!$B$9,Paramètres!$A$1:$I$89,3,0)*0.475*44/12</f>
        <v>7.0487629808683252</v>
      </c>
      <c r="AC26" s="22">
        <f t="shared" si="3"/>
        <v>18.824184165774493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13.9</v>
      </c>
      <c r="AI26" s="13">
        <f>IF('Données projet'!$A$62&gt;35,AI25+AH26-AQ25,IF(A26&lt;'Données projet'!$A$62,$AF$205^A26,IF(A26='Données projet'!$A$62,'Données projet'!$B$62,AI25+AH26-AQ25)))</f>
        <v>122.70000000000002</v>
      </c>
      <c r="AJ26" s="13">
        <f>AI26*VLOOKUP('Données projet'!$B$10,Paramètres!$A$1:$I$89,3,0)*VLOOKUP('Données projet'!$B$10,Paramètres!$A$1:$I$89,5,0)</f>
        <v>76.56480000000002</v>
      </c>
      <c r="AK26" s="13">
        <f t="shared" si="35"/>
        <v>21.295126483826621</v>
      </c>
      <c r="AL26" s="20">
        <f t="shared" si="4"/>
        <v>170.4393719593314</v>
      </c>
      <c r="AM26" s="59">
        <f t="shared" si="5"/>
        <v>463.77270529266468</v>
      </c>
      <c r="AN26" s="59">
        <f ca="1">AVERAGE(OFFSET($AM$3,0,0,'Données projet'!$E$10+1,1))-AVERAGE(OFFSET($H$3,0,0,'Données projet'!$E$10+1,1))</f>
        <v>240.30073883588199</v>
      </c>
      <c r="AO26" s="59">
        <f t="shared" si="36"/>
        <v>263.20351282678843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8.4216844958797346</v>
      </c>
      <c r="AW26" s="21">
        <f>EXP(-LN(2)/2)*AW25+(1-EXP(-LN(2)/2))/(LN(2)/2)*AQ26*AT26*VLOOKUP('Données projet'!$B$10,Paramètres!$A$1:$I$89,3,0)*0.475*44/12</f>
        <v>4.6211159298715918</v>
      </c>
      <c r="AX26" s="21">
        <f t="shared" si="6"/>
        <v>13.042800425751327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252.98248842635206</v>
      </c>
      <c r="BJ26" s="59">
        <f t="shared" si="38"/>
        <v>207.11938580878308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24.9</v>
      </c>
      <c r="BY26" s="12">
        <f>IF('Données projet'!$A$114&gt;35,BY25+BX26-CG25,IF(A26&lt;'Données projet'!$A$114,$BV$205^A26,IF(A26='Données projet'!$A$114,'Données projet'!$B$114,BY25+BX26-CG25)))</f>
        <v>185.70000000000002</v>
      </c>
      <c r="BZ26" s="13">
        <f>BY26*VLOOKUP('Données projet'!$B$12,Paramètres!$A$1:$I$89,3,0)*VLOOKUP('Données projet'!$B$12,Paramètres!$A$1:$I$89,5,0)</f>
        <v>103.80630000000001</v>
      </c>
      <c r="CA26" s="13">
        <f t="shared" si="39"/>
        <v>27.86681512924784</v>
      </c>
      <c r="CB26" s="20">
        <f t="shared" si="10"/>
        <v>229.33067551677331</v>
      </c>
      <c r="CC26" s="59">
        <f t="shared" si="11"/>
        <v>522.6640088501066</v>
      </c>
      <c r="CD26" s="59">
        <f ca="1">AVERAGE(OFFSET($CC$3,0,0,'Données projet'!$E$12+1,1))-AVERAGE(OFFSET($H$3,0,0,'Données projet'!$E$12+1,1))</f>
        <v>401.06118089678654</v>
      </c>
      <c r="CE26" s="59">
        <f t="shared" si="40"/>
        <v>399.58193819355591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15.700561579874892</v>
      </c>
      <c r="CM26" s="21">
        <f>EXP(-LN(2)/2)*CM25+(1-EXP(-LN(2)/2))/(LN(2)/2)*CG26*CJ26*VLOOKUP('Données projet'!$B$12,Paramètres!$A$1:$I$89,3,0)*0.475*44/12</f>
        <v>9.3983506411577658</v>
      </c>
      <c r="CN26" s="22">
        <f t="shared" si="12"/>
        <v>25.098912221032656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16.5</v>
      </c>
      <c r="CT26" s="12">
        <f>IF('Données projet'!$A$140&gt;35,CT25+CS26-DB25,IF(A26&lt;'Données projet'!$A$140,$CQ$205^A26,IF(A26='Données projet'!$A$140,'Données projet'!$B$140,CT25+CS26-DB25)))</f>
        <v>147.5</v>
      </c>
      <c r="CU26" s="17">
        <f>CT26*VLOOKUP('Données projet'!$B$13,Paramètres!$A$1:$I$89,3,0)*VLOOKUP('Données projet'!$B$13,Paramètres!$A$1:$I$89,5,0)</f>
        <v>92.04</v>
      </c>
      <c r="CV26" s="13">
        <f t="shared" si="41"/>
        <v>25.056580235859606</v>
      </c>
      <c r="CW26" s="20">
        <f t="shared" si="13"/>
        <v>203.94321057745549</v>
      </c>
      <c r="CX26" s="59">
        <f t="shared" si="14"/>
        <v>497.2765439107888</v>
      </c>
      <c r="CY26" s="59">
        <f ca="1">AVERAGE(OFFSET($CX$3,0,0,'Données projet'!$E$13+1,1))-AVERAGE(OFFSET($H$3,0,0,'Données projet'!$E$13+1,1))</f>
        <v>285.77483300338548</v>
      </c>
      <c r="CZ26" s="59">
        <f t="shared" si="42"/>
        <v>320.55212417690637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13.656785668994166</v>
      </c>
      <c r="DH26" s="21">
        <f>EXP(-LN(2)/2)*DH25+(1-EXP(-LN(2)/2))/(LN(2)/2)*DB26*DE26*VLOOKUP('Données projet'!$B$13,Paramètres!$A$1:$I$89,3,0)*0.475*44/12</f>
        <v>7.4937015078998792</v>
      </c>
      <c r="DI26" s="22">
        <f t="shared" si="15"/>
        <v>21.150487176894046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22.2</v>
      </c>
      <c r="N27" s="13">
        <f>IF('Données projet'!$A$36&gt;35,N26+M27-V26,IF(A27&lt;'Données projet'!$A$36,$K$205^A27,IF(A27='Données projet'!$A$36,'Données projet'!$B$36,N26+M27-V26)))</f>
        <v>187.79999999999995</v>
      </c>
      <c r="O27" s="13">
        <f>N27*VLOOKUP('Données projet'!$B$9,Paramètres!$A$1:$I$89,3,0)*VLOOKUP('Données projet'!$B$9,Paramètres!$A$1:$I$89,5,0)</f>
        <v>104.98019999999997</v>
      </c>
      <c r="P27" s="13">
        <f t="shared" si="33"/>
        <v>28.145084690033578</v>
      </c>
      <c r="Q27" s="20">
        <f t="shared" si="2"/>
        <v>231.85987083514172</v>
      </c>
      <c r="R27" s="59">
        <f t="shared" si="0"/>
        <v>525.19320416847506</v>
      </c>
      <c r="S27" s="59">
        <f ca="1">AVERAGE(OFFSET($R$3,0,0,'Données projet'!$E$9+1,1))-AVERAGE(OFFSET($H$3,0,0,'Données projet'!$E$9+1,1))</f>
        <v>356.67698551373468</v>
      </c>
      <c r="T27" s="59">
        <f t="shared" si="34"/>
        <v>353.21836615408171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11.453421673362422</v>
      </c>
      <c r="AB27" s="21">
        <f>EXP(-LN(2)/2)*AB26+(1-EXP(-LN(2)/2))/(LN(2)/2)*V27*Y27*VLOOKUP('Données projet'!$B$9,Paramètres!$A$1:$I$89,3,0)*0.475*44/12</f>
        <v>4.9842281027486957</v>
      </c>
      <c r="AC27" s="22">
        <f t="shared" si="3"/>
        <v>16.437649776111119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13.9</v>
      </c>
      <c r="AI27" s="13">
        <f>IF('Données projet'!$A$62&gt;35,AI26+AH27-AQ26,IF(A27&lt;'Données projet'!$A$62,$AF$205^A27,IF(A27='Données projet'!$A$62,'Données projet'!$B$62,AI26+AH27-AQ26)))</f>
        <v>136.60000000000002</v>
      </c>
      <c r="AJ27" s="13">
        <f>AI27*VLOOKUP('Données projet'!$B$10,Paramètres!$A$1:$I$89,3,0)*VLOOKUP('Données projet'!$B$10,Paramètres!$A$1:$I$89,5,0)</f>
        <v>85.238400000000013</v>
      </c>
      <c r="AK27" s="13">
        <f t="shared" si="35"/>
        <v>23.413234033238567</v>
      </c>
      <c r="AL27" s="20">
        <f t="shared" si="4"/>
        <v>189.2349292745572</v>
      </c>
      <c r="AM27" s="59">
        <f t="shared" si="5"/>
        <v>482.56826260789052</v>
      </c>
      <c r="AN27" s="59">
        <f ca="1">AVERAGE(OFFSET($AM$3,0,0,'Données projet'!$E$10+1,1))-AVERAGE(OFFSET($H$3,0,0,'Données projet'!$E$10+1,1))</f>
        <v>240.30073883588199</v>
      </c>
      <c r="AO27" s="59">
        <f t="shared" si="36"/>
        <v>263.20351282678843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8.1913930904627641</v>
      </c>
      <c r="AW27" s="21">
        <f>EXP(-LN(2)/2)*AW26+(1-EXP(-LN(2)/2))/(LN(2)/2)*AQ27*AT27*VLOOKUP('Données projet'!$B$10,Paramètres!$A$1:$I$89,3,0)*0.475*44/12</f>
        <v>3.2676224106613811</v>
      </c>
      <c r="AX27" s="21">
        <f t="shared" si="6"/>
        <v>11.459015501124146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252.98248842635206</v>
      </c>
      <c r="BJ27" s="59">
        <f t="shared" si="38"/>
        <v>207.11938580878308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24.9</v>
      </c>
      <c r="BY27" s="12">
        <f>IF('Données projet'!$A$114&gt;35,BY26+BX27-CG26,IF(A27&lt;'Données projet'!$A$114,$BV$205^A27,IF(A27='Données projet'!$A$114,'Données projet'!$B$114,BY26+BX27-CG26)))</f>
        <v>210.60000000000002</v>
      </c>
      <c r="BZ27" s="13">
        <f>BY27*VLOOKUP('Données projet'!$B$12,Paramètres!$A$1:$I$89,3,0)*VLOOKUP('Données projet'!$B$12,Paramètres!$A$1:$I$89,5,0)</f>
        <v>117.72540000000001</v>
      </c>
      <c r="CA27" s="13">
        <f t="shared" si="39"/>
        <v>31.143896775185823</v>
      </c>
      <c r="CB27" s="20">
        <f t="shared" si="10"/>
        <v>259.28069188344864</v>
      </c>
      <c r="CC27" s="59">
        <f t="shared" si="11"/>
        <v>552.61402521678201</v>
      </c>
      <c r="CD27" s="59">
        <f ca="1">AVERAGE(OFFSET($CC$3,0,0,'Données projet'!$E$12+1,1))-AVERAGE(OFFSET($H$3,0,0,'Données projet'!$E$12+1,1))</f>
        <v>401.06118089678654</v>
      </c>
      <c r="CE27" s="59">
        <f t="shared" si="40"/>
        <v>399.58193819355591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15.271228897816563</v>
      </c>
      <c r="CM27" s="21">
        <f>EXP(-LN(2)/2)*CM26+(1-EXP(-LN(2)/2))/(LN(2)/2)*CG27*CJ27*VLOOKUP('Données projet'!$B$12,Paramètres!$A$1:$I$89,3,0)*0.475*44/12</f>
        <v>6.645637470331593</v>
      </c>
      <c r="CN27" s="22">
        <f t="shared" si="12"/>
        <v>21.916866368148156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16.5</v>
      </c>
      <c r="CT27" s="12">
        <f>IF('Données projet'!$A$140&gt;35,CT26+CS27-DB26,IF(A27&lt;'Données projet'!$A$140,$CQ$205^A27,IF(A27='Données projet'!$A$140,'Données projet'!$B$140,CT26+CS27-DB26)))</f>
        <v>164</v>
      </c>
      <c r="CU27" s="17">
        <f>CT27*VLOOKUP('Données projet'!$B$13,Paramètres!$A$1:$I$89,3,0)*VLOOKUP('Données projet'!$B$13,Paramètres!$A$1:$I$89,5,0)</f>
        <v>102.336</v>
      </c>
      <c r="CV27" s="13">
        <f t="shared" si="41"/>
        <v>27.517767215282735</v>
      </c>
      <c r="CW27" s="20">
        <f t="shared" si="13"/>
        <v>226.16197789995076</v>
      </c>
      <c r="CX27" s="59">
        <f t="shared" si="14"/>
        <v>519.49531123328404</v>
      </c>
      <c r="CY27" s="59">
        <f ca="1">AVERAGE(OFFSET($CX$3,0,0,'Données projet'!$E$13+1,1))-AVERAGE(OFFSET($H$3,0,0,'Données projet'!$E$13+1,1))</f>
        <v>285.77483300338548</v>
      </c>
      <c r="CZ27" s="59">
        <f t="shared" si="42"/>
        <v>320.55212417690637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13.283340146696375</v>
      </c>
      <c r="DH27" s="21">
        <f>EXP(-LN(2)/2)*DH26+(1-EXP(-LN(2)/2))/(LN(2)/2)*DB27*DE27*VLOOKUP('Données projet'!$B$13,Paramètres!$A$1:$I$89,3,0)*0.475*44/12</f>
        <v>5.2988471524238614</v>
      </c>
      <c r="DI27" s="22">
        <f t="shared" si="15"/>
        <v>18.582187299120235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22.2</v>
      </c>
      <c r="N28" s="13">
        <f>IF('Données projet'!$A$36&gt;35,N27+M28-V27,IF(A28&lt;'Données projet'!$A$36,$K$205^A28,IF(A28='Données projet'!$A$36,'Données projet'!$B$36,N27+M28-V27)))</f>
        <v>209.99999999999994</v>
      </c>
      <c r="O28" s="13">
        <f>N28*VLOOKUP('Données projet'!$B$9,Paramètres!$A$1:$I$89,3,0)*VLOOKUP('Données projet'!$B$9,Paramètres!$A$1:$I$89,5,0)</f>
        <v>117.38999999999996</v>
      </c>
      <c r="P28" s="13">
        <f t="shared" si="33"/>
        <v>31.065482772413461</v>
      </c>
      <c r="Q28" s="20">
        <f t="shared" si="2"/>
        <v>258.55996582862002</v>
      </c>
      <c r="R28" s="59">
        <f t="shared" si="0"/>
        <v>551.89329916195334</v>
      </c>
      <c r="S28" s="59">
        <f ca="1">AVERAGE(OFFSET($R$3,0,0,'Données projet'!$E$9+1,1))-AVERAGE(OFFSET($H$3,0,0,'Données projet'!$E$9+1,1))</f>
        <v>356.67698551373468</v>
      </c>
      <c r="T28" s="59">
        <f t="shared" si="34"/>
        <v>353.21836615408171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11.140227255395057</v>
      </c>
      <c r="AB28" s="21">
        <f>EXP(-LN(2)/2)*AB27+(1-EXP(-LN(2)/2))/(LN(2)/2)*V28*Y28*VLOOKUP('Données projet'!$B$9,Paramètres!$A$1:$I$89,3,0)*0.475*44/12</f>
        <v>3.524381490434163</v>
      </c>
      <c r="AC28" s="22">
        <f t="shared" si="3"/>
        <v>14.66460874582922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13.9</v>
      </c>
      <c r="AI28" s="13">
        <f>IF('Données projet'!$A$62&gt;35,AI27+AH28-AQ27,IF(A28&lt;'Données projet'!$A$62,$AF$205^A28,IF(A28='Données projet'!$A$62,'Données projet'!$B$62,AI27+AH28-AQ27)))</f>
        <v>150.50000000000003</v>
      </c>
      <c r="AJ28" s="13">
        <f>AI28*VLOOKUP('Données projet'!$B$10,Paramètres!$A$1:$I$89,3,0)*VLOOKUP('Données projet'!$B$10,Paramètres!$A$1:$I$89,5,0)</f>
        <v>93.91200000000002</v>
      </c>
      <c r="AK28" s="13">
        <f t="shared" si="35"/>
        <v>25.506356157232645</v>
      </c>
      <c r="AL28" s="20">
        <f t="shared" si="4"/>
        <v>207.9869703071802</v>
      </c>
      <c r="AM28" s="59">
        <f t="shared" si="5"/>
        <v>501.32030364051354</v>
      </c>
      <c r="AN28" s="59">
        <f ca="1">AVERAGE(OFFSET($AM$3,0,0,'Données projet'!$E$10+1,1))-AVERAGE(OFFSET($H$3,0,0,'Données projet'!$E$10+1,1))</f>
        <v>240.30073883588199</v>
      </c>
      <c r="AO28" s="59">
        <f t="shared" si="36"/>
        <v>263.20351282678843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7.9673990156374188</v>
      </c>
      <c r="AW28" s="21">
        <f>EXP(-LN(2)/2)*AW27+(1-EXP(-LN(2)/2))/(LN(2)/2)*AQ28*AT28*VLOOKUP('Données projet'!$B$10,Paramètres!$A$1:$I$89,3,0)*0.475*44/12</f>
        <v>2.3105579649357963</v>
      </c>
      <c r="AX28" s="21">
        <f t="shared" si="6"/>
        <v>10.277956980573215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252.98248842635206</v>
      </c>
      <c r="BJ28" s="59">
        <f t="shared" si="38"/>
        <v>207.11938580878308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24.9</v>
      </c>
      <c r="BY28" s="12">
        <f>IF('Données projet'!$A$114&gt;35,BY27+BX28-CG27,IF(A28&lt;'Données projet'!$A$114,$BV$205^A28,IF(A28='Données projet'!$A$114,'Données projet'!$B$114,BY27+BX28-CG27)))</f>
        <v>235.50000000000003</v>
      </c>
      <c r="BZ28" s="13">
        <f>BY28*VLOOKUP('Données projet'!$B$12,Paramètres!$A$1:$I$89,3,0)*VLOOKUP('Données projet'!$B$12,Paramètres!$A$1:$I$89,5,0)</f>
        <v>131.64450000000002</v>
      </c>
      <c r="CA28" s="13">
        <f t="shared" si="39"/>
        <v>34.376076542672536</v>
      </c>
      <c r="CB28" s="20">
        <f t="shared" si="10"/>
        <v>289.15250414515464</v>
      </c>
      <c r="CC28" s="59">
        <f t="shared" si="11"/>
        <v>582.48583747848795</v>
      </c>
      <c r="CD28" s="59">
        <f ca="1">AVERAGE(OFFSET($CC$3,0,0,'Données projet'!$E$12+1,1))-AVERAGE(OFFSET($H$3,0,0,'Données projet'!$E$12+1,1))</f>
        <v>401.06118089678654</v>
      </c>
      <c r="CE28" s="59">
        <f t="shared" si="40"/>
        <v>399.58193819355591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14.853636340526744</v>
      </c>
      <c r="CM28" s="21">
        <f>EXP(-LN(2)/2)*CM27+(1-EXP(-LN(2)/2))/(LN(2)/2)*CG28*CJ28*VLOOKUP('Données projet'!$B$12,Paramètres!$A$1:$I$89,3,0)*0.475*44/12</f>
        <v>4.6991753205788829</v>
      </c>
      <c r="CN28" s="22">
        <f t="shared" si="12"/>
        <v>19.552811661105629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16.5</v>
      </c>
      <c r="CT28" s="12">
        <f>IF('Données projet'!$A$140&gt;35,CT27+CS28-DB27,IF(A28&lt;'Données projet'!$A$140,$CQ$205^A28,IF(A28='Données projet'!$A$140,'Données projet'!$B$140,CT27+CS28-DB27)))</f>
        <v>180.5</v>
      </c>
      <c r="CU28" s="17">
        <f>CT28*VLOOKUP('Données projet'!$B$13,Paramètres!$A$1:$I$89,3,0)*VLOOKUP('Données projet'!$B$13,Paramètres!$A$1:$I$89,5,0)</f>
        <v>112.63200000000001</v>
      </c>
      <c r="CV28" s="13">
        <f t="shared" si="41"/>
        <v>29.950248336286034</v>
      </c>
      <c r="CW28" s="20">
        <f t="shared" si="13"/>
        <v>248.33074918569818</v>
      </c>
      <c r="CX28" s="59">
        <f t="shared" si="14"/>
        <v>541.66408251903147</v>
      </c>
      <c r="CY28" s="59">
        <f ca="1">AVERAGE(OFFSET($CX$3,0,0,'Données projet'!$E$13+1,1))-AVERAGE(OFFSET($H$3,0,0,'Données projet'!$E$13+1,1))</f>
        <v>285.77483300338548</v>
      </c>
      <c r="CZ28" s="59">
        <f t="shared" si="42"/>
        <v>320.55212417690637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12.920106511844464</v>
      </c>
      <c r="DH28" s="21">
        <f>EXP(-LN(2)/2)*DH27+(1-EXP(-LN(2)/2))/(LN(2)/2)*DB28*DE28*VLOOKUP('Données projet'!$B$13,Paramètres!$A$1:$I$89,3,0)*0.475*44/12</f>
        <v>3.74685075394994</v>
      </c>
      <c r="DI28" s="22">
        <f t="shared" si="15"/>
        <v>16.666957265794405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22.2</v>
      </c>
      <c r="N29" s="13">
        <f>IF('Données projet'!$A$36&gt;35,N28+M29-V28,IF(A29&lt;'Données projet'!$A$36,$K$205^A29,IF(A29='Données projet'!$A$36,'Données projet'!$B$36,N28+M29-V28)))</f>
        <v>232.19999999999993</v>
      </c>
      <c r="O29" s="13">
        <f>N29*VLOOKUP('Données projet'!$B$9,Paramètres!$A$1:$I$89,3,0)*VLOOKUP('Données projet'!$B$9,Paramètres!$A$1:$I$89,5,0)</f>
        <v>129.79979999999998</v>
      </c>
      <c r="P29" s="13">
        <f t="shared" si="33"/>
        <v>33.950094841766401</v>
      </c>
      <c r="Q29" s="20">
        <f t="shared" si="2"/>
        <v>285.19773351607643</v>
      </c>
      <c r="R29" s="59">
        <f t="shared" si="0"/>
        <v>578.53106684940974</v>
      </c>
      <c r="S29" s="59">
        <f ca="1">AVERAGE(OFFSET($R$3,0,0,'Données projet'!$E$9+1,1))-AVERAGE(OFFSET($H$3,0,0,'Données projet'!$E$9+1,1))</f>
        <v>356.67698551373468</v>
      </c>
      <c r="T29" s="59">
        <f t="shared" si="34"/>
        <v>353.21836615408171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10.83559715525719</v>
      </c>
      <c r="AB29" s="21">
        <f>EXP(-LN(2)/2)*AB28+(1-EXP(-LN(2)/2))/(LN(2)/2)*V29*Y29*VLOOKUP('Données projet'!$B$9,Paramètres!$A$1:$I$89,3,0)*0.475*44/12</f>
        <v>2.4921140513743483</v>
      </c>
      <c r="AC29" s="22">
        <f t="shared" si="3"/>
        <v>13.327711206631538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13.9</v>
      </c>
      <c r="AI29" s="13">
        <f>IF('Données projet'!$A$62&gt;35,AI28+AH29-AQ28,IF(A29&lt;'Données projet'!$A$62,$AF$205^A29,IF(A29='Données projet'!$A$62,'Données projet'!$B$62,AI28+AH29-AQ28)))</f>
        <v>164.40000000000003</v>
      </c>
      <c r="AJ29" s="13">
        <f>AI29*VLOOKUP('Données projet'!$B$10,Paramètres!$A$1:$I$89,3,0)*VLOOKUP('Données projet'!$B$10,Paramètres!$A$1:$I$89,5,0)</f>
        <v>102.58560000000003</v>
      </c>
      <c r="AK29" s="13">
        <f t="shared" si="35"/>
        <v>27.577062948792328</v>
      </c>
      <c r="AL29" s="20">
        <f t="shared" si="4"/>
        <v>226.69997130248001</v>
      </c>
      <c r="AM29" s="59">
        <f t="shared" si="5"/>
        <v>520.03330463581335</v>
      </c>
      <c r="AN29" s="59">
        <f ca="1">AVERAGE(OFFSET($AM$3,0,0,'Données projet'!$E$10+1,1))-AVERAGE(OFFSET($H$3,0,0,'Données projet'!$E$10+1,1))</f>
        <v>240.30073883588199</v>
      </c>
      <c r="AO29" s="59">
        <f t="shared" si="36"/>
        <v>263.20351282678843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7.7495300705675092</v>
      </c>
      <c r="AW29" s="21">
        <f>EXP(-LN(2)/2)*AW28+(1-EXP(-LN(2)/2))/(LN(2)/2)*AQ29*AT29*VLOOKUP('Données projet'!$B$10,Paramètres!$A$1:$I$89,3,0)*0.475*44/12</f>
        <v>1.6338112053306908</v>
      </c>
      <c r="AX29" s="21">
        <f t="shared" si="6"/>
        <v>9.3833412758982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252.98248842635206</v>
      </c>
      <c r="BJ29" s="59">
        <f t="shared" si="38"/>
        <v>207.11938580878308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24.9</v>
      </c>
      <c r="BY29" s="12">
        <f>IF('Données projet'!$A$114&gt;35,BY28+BX29-CG28,IF(A29&lt;'Données projet'!$A$114,$BV$205^A29,IF(A29='Données projet'!$A$114,'Données projet'!$B$114,BY28+BX29-CG28)))</f>
        <v>260.40000000000003</v>
      </c>
      <c r="BZ29" s="13">
        <f>BY29*VLOOKUP('Données projet'!$B$12,Paramètres!$A$1:$I$89,3,0)*VLOOKUP('Données projet'!$B$12,Paramètres!$A$1:$I$89,5,0)</f>
        <v>145.56360000000001</v>
      </c>
      <c r="CA29" s="13">
        <f t="shared" si="39"/>
        <v>37.568642979458723</v>
      </c>
      <c r="CB29" s="20">
        <f t="shared" si="10"/>
        <v>318.95532318922392</v>
      </c>
      <c r="CC29" s="59">
        <f t="shared" si="11"/>
        <v>612.28865652255718</v>
      </c>
      <c r="CD29" s="59">
        <f ca="1">AVERAGE(OFFSET($CC$3,0,0,'Données projet'!$E$12+1,1))-AVERAGE(OFFSET($H$3,0,0,'Données projet'!$E$12+1,1))</f>
        <v>401.06118089678654</v>
      </c>
      <c r="CE29" s="59">
        <f t="shared" si="40"/>
        <v>399.58193819355591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14.447462873676255</v>
      </c>
      <c r="CM29" s="21">
        <f>EXP(-LN(2)/2)*CM28+(1-EXP(-LN(2)/2))/(LN(2)/2)*CG29*CJ29*VLOOKUP('Données projet'!$B$12,Paramètres!$A$1:$I$89,3,0)*0.475*44/12</f>
        <v>3.3228187351657965</v>
      </c>
      <c r="CN29" s="22">
        <f t="shared" si="12"/>
        <v>17.770281608842051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16.5</v>
      </c>
      <c r="CT29" s="12">
        <f>IF('Données projet'!$A$140&gt;35,CT28+CS29-DB28,IF(A29&lt;'Données projet'!$A$140,$CQ$205^A29,IF(A29='Données projet'!$A$140,'Données projet'!$B$140,CT28+CS29-DB28)))</f>
        <v>197</v>
      </c>
      <c r="CU29" s="17">
        <f>CT29*VLOOKUP('Données projet'!$B$13,Paramètres!$A$1:$I$89,3,0)*VLOOKUP('Données projet'!$B$13,Paramètres!$A$1:$I$89,5,0)</f>
        <v>122.92800000000001</v>
      </c>
      <c r="CV29" s="13">
        <f t="shared" si="41"/>
        <v>32.356946120737945</v>
      </c>
      <c r="CW29" s="20">
        <f t="shared" si="13"/>
        <v>270.45461449361864</v>
      </c>
      <c r="CX29" s="59">
        <f t="shared" si="14"/>
        <v>563.78794782695195</v>
      </c>
      <c r="CY29" s="59">
        <f ca="1">AVERAGE(OFFSET($CX$3,0,0,'Données projet'!$E$13+1,1))-AVERAGE(OFFSET($H$3,0,0,'Données projet'!$E$13+1,1))</f>
        <v>285.77483300338548</v>
      </c>
      <c r="CZ29" s="59">
        <f t="shared" si="42"/>
        <v>320.55212417690637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12.566805519839205</v>
      </c>
      <c r="DH29" s="21">
        <f>EXP(-LN(2)/2)*DH28+(1-EXP(-LN(2)/2))/(LN(2)/2)*DB29*DE29*VLOOKUP('Données projet'!$B$13,Paramètres!$A$1:$I$89,3,0)*0.475*44/12</f>
        <v>2.6494235762119311</v>
      </c>
      <c r="DI29" s="22">
        <f t="shared" si="15"/>
        <v>15.216229096051137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22.2</v>
      </c>
      <c r="N30" s="13">
        <f>IF('Données projet'!$A$36&gt;35,N29+M30-V29,IF(A30&lt;'Données projet'!$A$36,$K$205^A30,IF(A30='Données projet'!$A$36,'Données projet'!$B$36,N29+M30-V29)))</f>
        <v>254.39999999999992</v>
      </c>
      <c r="O30" s="13">
        <f>N30*VLOOKUP('Données projet'!$B$9,Paramètres!$A$1:$I$89,3,0)*VLOOKUP('Données projet'!$B$9,Paramètres!$A$1:$I$89,5,0)</f>
        <v>142.20959999999997</v>
      </c>
      <c r="P30" s="13">
        <f t="shared" si="33"/>
        <v>36.802731569585617</v>
      </c>
      <c r="Q30" s="20">
        <f t="shared" si="2"/>
        <v>311.77981081702814</v>
      </c>
      <c r="R30" s="59">
        <f t="shared" si="0"/>
        <v>605.11314415036145</v>
      </c>
      <c r="S30" s="59">
        <f ca="1">AVERAGE(OFFSET($R$3,0,0,'Données projet'!$E$9+1,1))-AVERAGE(OFFSET($H$3,0,0,'Données projet'!$E$9+1,1))</f>
        <v>356.67698551373468</v>
      </c>
      <c r="T30" s="59">
        <f t="shared" si="34"/>
        <v>353.21836615408171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10.539297181227393</v>
      </c>
      <c r="AB30" s="21">
        <f>EXP(-LN(2)/2)*AB29+(1-EXP(-LN(2)/2))/(LN(2)/2)*V30*Y30*VLOOKUP('Données projet'!$B$9,Paramètres!$A$1:$I$89,3,0)*0.475*44/12</f>
        <v>1.762190745217082</v>
      </c>
      <c r="AC30" s="22">
        <f t="shared" si="3"/>
        <v>12.301487926444475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13.9</v>
      </c>
      <c r="AI30" s="13">
        <f>IF('Données projet'!$A$62&gt;35,AI29+AH30-AQ29,IF(A30&lt;'Données projet'!$A$62,$AF$205^A30,IF(A30='Données projet'!$A$62,'Données projet'!$B$62,AI29+AH30-AQ29)))</f>
        <v>178.30000000000004</v>
      </c>
      <c r="AJ30" s="13">
        <f>AI30*VLOOKUP('Données projet'!$B$10,Paramètres!$A$1:$I$89,3,0)*VLOOKUP('Données projet'!$B$10,Paramètres!$A$1:$I$89,5,0)</f>
        <v>111.25920000000002</v>
      </c>
      <c r="AK30" s="13">
        <f t="shared" si="35"/>
        <v>29.627465095165842</v>
      </c>
      <c r="AL30" s="20">
        <f t="shared" si="4"/>
        <v>245.37760837408052</v>
      </c>
      <c r="AM30" s="59">
        <f t="shared" si="5"/>
        <v>538.71094170741389</v>
      </c>
      <c r="AN30" s="59">
        <f ca="1">AVERAGE(OFFSET($AM$3,0,0,'Données projet'!$E$10+1,1))-AVERAGE(OFFSET($H$3,0,0,'Données projet'!$E$10+1,1))</f>
        <v>240.30073883588199</v>
      </c>
      <c r="AO30" s="59">
        <f t="shared" si="36"/>
        <v>263.20351282678843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7.5376187632577665</v>
      </c>
      <c r="AW30" s="21">
        <f>EXP(-LN(2)/2)*AW29+(1-EXP(-LN(2)/2))/(LN(2)/2)*AQ30*AT30*VLOOKUP('Données projet'!$B$10,Paramètres!$A$1:$I$89,3,0)*0.475*44/12</f>
        <v>1.1552789824678984</v>
      </c>
      <c r="AX30" s="21">
        <f t="shared" si="6"/>
        <v>8.6928977457256646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252.98248842635206</v>
      </c>
      <c r="BJ30" s="59">
        <f t="shared" si="38"/>
        <v>207.11938580878308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24.9</v>
      </c>
      <c r="BY30" s="12">
        <f>IF('Données projet'!$A$114&gt;35,BY29+BX30-CG29,IF(A30&lt;'Données projet'!$A$114,$BV$205^A30,IF(A30='Données projet'!$A$114,'Données projet'!$B$114,BY29+BX30-CG29)))</f>
        <v>285.3</v>
      </c>
      <c r="BZ30" s="13">
        <f>BY30*VLOOKUP('Données projet'!$B$12,Paramètres!$A$1:$I$89,3,0)*VLOOKUP('Données projet'!$B$12,Paramètres!$A$1:$I$89,5,0)</f>
        <v>159.48269999999999</v>
      </c>
      <c r="CA30" s="13">
        <f t="shared" si="39"/>
        <v>40.725814966140675</v>
      </c>
      <c r="CB30" s="20">
        <f t="shared" si="10"/>
        <v>348.69649689936165</v>
      </c>
      <c r="CC30" s="59">
        <f t="shared" si="11"/>
        <v>642.02983023269496</v>
      </c>
      <c r="CD30" s="59">
        <f ca="1">AVERAGE(OFFSET($CC$3,0,0,'Données projet'!$E$12+1,1))-AVERAGE(OFFSET($H$3,0,0,'Données projet'!$E$12+1,1))</f>
        <v>401.06118089678654</v>
      </c>
      <c r="CE30" s="59">
        <f t="shared" si="40"/>
        <v>399.58193819355591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14.052396241636526</v>
      </c>
      <c r="CM30" s="21">
        <f>EXP(-LN(2)/2)*CM29+(1-EXP(-LN(2)/2))/(LN(2)/2)*CG30*CJ30*VLOOKUP('Données projet'!$B$12,Paramètres!$A$1:$I$89,3,0)*0.475*44/12</f>
        <v>2.3495876602894414</v>
      </c>
      <c r="CN30" s="22">
        <f t="shared" si="12"/>
        <v>16.401983901925966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16.5</v>
      </c>
      <c r="CT30" s="12">
        <f>IF('Données projet'!$A$140&gt;35,CT29+CS30-DB29,IF(A30&lt;'Données projet'!$A$140,$CQ$205^A30,IF(A30='Données projet'!$A$140,'Données projet'!$B$140,CT29+CS30-DB29)))</f>
        <v>213.5</v>
      </c>
      <c r="CU30" s="17">
        <f>CT30*VLOOKUP('Données projet'!$B$13,Paramètres!$A$1:$I$89,3,0)*VLOOKUP('Données projet'!$B$13,Paramètres!$A$1:$I$89,5,0)</f>
        <v>133.22399999999999</v>
      </c>
      <c r="CV30" s="13">
        <f t="shared" si="41"/>
        <v>34.740265606230608</v>
      </c>
      <c r="CW30" s="20">
        <f t="shared" si="13"/>
        <v>292.53776259751828</v>
      </c>
      <c r="CX30" s="59">
        <f t="shared" si="14"/>
        <v>585.87109593085165</v>
      </c>
      <c r="CY30" s="59">
        <f ca="1">AVERAGE(OFFSET($CX$3,0,0,'Données projet'!$E$13+1,1))-AVERAGE(OFFSET($H$3,0,0,'Données projet'!$E$13+1,1))</f>
        <v>285.77483300338548</v>
      </c>
      <c r="CZ30" s="59">
        <f t="shared" si="42"/>
        <v>320.55212417690637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12.223165562039622</v>
      </c>
      <c r="DH30" s="21">
        <f>EXP(-LN(2)/2)*DH29+(1-EXP(-LN(2)/2))/(LN(2)/2)*DB30*DE30*VLOOKUP('Données projet'!$B$13,Paramètres!$A$1:$I$89,3,0)*0.475*44/12</f>
        <v>1.8734253769749702</v>
      </c>
      <c r="DI30" s="22">
        <f t="shared" si="15"/>
        <v>14.096590939014591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22.2</v>
      </c>
      <c r="N31" s="13">
        <f>IF('Données projet'!$A$36&gt;35,N30+M31-V30,IF(A31&lt;'Données projet'!$A$36,$K$205^A31,IF(A31='Données projet'!$A$36,'Données projet'!$B$36,N30+M31-V30)))</f>
        <v>276.59999999999991</v>
      </c>
      <c r="O31" s="13">
        <f>N31*VLOOKUP('Données projet'!$B$9,Paramètres!$A$1:$I$89,3,0)*VLOOKUP('Données projet'!$B$9,Paramètres!$A$1:$I$89,5,0)</f>
        <v>154.61939999999996</v>
      </c>
      <c r="P31" s="13">
        <f t="shared" si="33"/>
        <v>39.626500524372794</v>
      </c>
      <c r="Q31" s="20">
        <f t="shared" si="2"/>
        <v>338.31161007994922</v>
      </c>
      <c r="R31" s="59">
        <f t="shared" si="0"/>
        <v>631.64494341328259</v>
      </c>
      <c r="S31" s="59">
        <f ca="1">AVERAGE(OFFSET($R$3,0,0,'Données projet'!$E$9+1,1))-AVERAGE(OFFSET($H$3,0,0,'Données projet'!$E$9+1,1))</f>
        <v>356.67698551373468</v>
      </c>
      <c r="T31" s="59">
        <f t="shared" si="34"/>
        <v>353.21836615408171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10.251099545569179</v>
      </c>
      <c r="AB31" s="21">
        <f>EXP(-LN(2)/2)*AB30+(1-EXP(-LN(2)/2))/(LN(2)/2)*V31*Y31*VLOOKUP('Données projet'!$B$9,Paramètres!$A$1:$I$89,3,0)*0.475*44/12</f>
        <v>1.2460570256871744</v>
      </c>
      <c r="AC31" s="22">
        <f t="shared" si="3"/>
        <v>11.497156571256353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13.9</v>
      </c>
      <c r="AI31" s="13">
        <f>IF('Données projet'!$A$62&gt;35,AI30+AH31-AQ30,IF(A31&lt;'Données projet'!$A$62,$AF$205^A31,IF(A31='Données projet'!$A$62,'Données projet'!$B$62,AI30+AH31-AQ30)))</f>
        <v>192.20000000000005</v>
      </c>
      <c r="AJ31" s="13">
        <f>AI31*VLOOKUP('Données projet'!$B$10,Paramètres!$A$1:$I$89,3,0)*VLOOKUP('Données projet'!$B$10,Paramètres!$A$1:$I$89,5,0)</f>
        <v>119.93280000000003</v>
      </c>
      <c r="AK31" s="13">
        <f t="shared" si="35"/>
        <v>31.659325486741768</v>
      </c>
      <c r="AL31" s="20">
        <f t="shared" si="4"/>
        <v>264.0229518894086</v>
      </c>
      <c r="AM31" s="59">
        <f t="shared" si="5"/>
        <v>557.35628522274192</v>
      </c>
      <c r="AN31" s="59">
        <f ca="1">AVERAGE(OFFSET($AM$3,0,0,'Données projet'!$E$10+1,1))-AVERAGE(OFFSET($H$3,0,0,'Données projet'!$E$10+1,1))</f>
        <v>240.30073883588199</v>
      </c>
      <c r="AO31" s="59">
        <f t="shared" si="36"/>
        <v>263.20351282678843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7.3315021817903396</v>
      </c>
      <c r="AW31" s="21">
        <f>EXP(-LN(2)/2)*AW30+(1-EXP(-LN(2)/2))/(LN(2)/2)*AQ31*AT31*VLOOKUP('Données projet'!$B$10,Paramètres!$A$1:$I$89,3,0)*0.475*44/12</f>
        <v>0.81690560266534551</v>
      </c>
      <c r="AX31" s="21">
        <f t="shared" si="6"/>
        <v>8.148407784455685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252.98248842635206</v>
      </c>
      <c r="BJ31" s="59">
        <f t="shared" si="38"/>
        <v>207.11938580878308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24.9</v>
      </c>
      <c r="BY31" s="12">
        <f>IF('Données projet'!$A$114&gt;35,BY30+BX31-CG30,IF(A31&lt;'Données projet'!$A$114,$BV$205^A31,IF(A31='Données projet'!$A$114,'Données projet'!$B$114,BY30+BX31-CG30)))</f>
        <v>310.2</v>
      </c>
      <c r="BZ31" s="13">
        <f>BY31*VLOOKUP('Données projet'!$B$12,Paramètres!$A$1:$I$89,3,0)*VLOOKUP('Données projet'!$B$12,Paramètres!$A$1:$I$89,5,0)</f>
        <v>173.40180000000001</v>
      </c>
      <c r="CA31" s="13">
        <f t="shared" si="39"/>
        <v>43.851032851075928</v>
      </c>
      <c r="CB31" s="20">
        <f t="shared" si="10"/>
        <v>378.38201721562388</v>
      </c>
      <c r="CC31" s="59">
        <f t="shared" si="11"/>
        <v>671.71535054895719</v>
      </c>
      <c r="CD31" s="59">
        <f ca="1">AVERAGE(OFFSET($CC$3,0,0,'Données projet'!$E$12+1,1))-AVERAGE(OFFSET($H$3,0,0,'Données projet'!$E$12+1,1))</f>
        <v>401.06118089678654</v>
      </c>
      <c r="CE31" s="59">
        <f t="shared" si="40"/>
        <v>399.58193819355591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13.668132727425574</v>
      </c>
      <c r="CM31" s="21">
        <f>EXP(-LN(2)/2)*CM30+(1-EXP(-LN(2)/2))/(LN(2)/2)*CG31*CJ31*VLOOKUP('Données projet'!$B$12,Paramètres!$A$1:$I$89,3,0)*0.475*44/12</f>
        <v>1.6614093675828983</v>
      </c>
      <c r="CN31" s="22">
        <f t="shared" si="12"/>
        <v>15.329542095008472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16.5</v>
      </c>
      <c r="CT31" s="12">
        <f>IF('Données projet'!$A$140&gt;35,CT30+CS31-DB30,IF(A31&lt;'Données projet'!$A$140,$CQ$205^A31,IF(A31='Données projet'!$A$140,'Données projet'!$B$140,CT30+CS31-DB30)))</f>
        <v>230</v>
      </c>
      <c r="CU31" s="17">
        <f>CT31*VLOOKUP('Données projet'!$B$13,Paramètres!$A$1:$I$89,3,0)*VLOOKUP('Données projet'!$B$13,Paramètres!$A$1:$I$89,5,0)</f>
        <v>143.51999999999998</v>
      </c>
      <c r="CV31" s="13">
        <f t="shared" si="41"/>
        <v>37.102218970378601</v>
      </c>
      <c r="CW31" s="20">
        <f t="shared" si="13"/>
        <v>314.583698040076</v>
      </c>
      <c r="CX31" s="59">
        <f t="shared" si="14"/>
        <v>607.91703137340937</v>
      </c>
      <c r="CY31" s="59">
        <f ca="1">AVERAGE(OFFSET($CX$3,0,0,'Données projet'!$E$13+1,1))-AVERAGE(OFFSET($H$3,0,0,'Données projet'!$E$13+1,1))</f>
        <v>285.77483300338548</v>
      </c>
      <c r="CZ31" s="59">
        <f t="shared" si="42"/>
        <v>320.55212417690637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11.888922456957308</v>
      </c>
      <c r="DH31" s="21">
        <f>EXP(-LN(2)/2)*DH30+(1-EXP(-LN(2)/2))/(LN(2)/2)*DB31*DE31*VLOOKUP('Données projet'!$B$13,Paramètres!$A$1:$I$89,3,0)*0.475*44/12</f>
        <v>1.3247117881059658</v>
      </c>
      <c r="DI31" s="22">
        <f t="shared" si="15"/>
        <v>13.213634245063274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22.2</v>
      </c>
      <c r="N32" s="13">
        <f>IF('Données projet'!$A$36&gt;35,N31+M32-V31,IF(A32&lt;'Données projet'!$A$36,$K$205^A32,IF(A32='Données projet'!$A$36,'Données projet'!$B$36,N31+M32-V31)))</f>
        <v>298.7999999999999</v>
      </c>
      <c r="O32" s="13">
        <f>N32*VLOOKUP('Données projet'!$B$9,Paramètres!$A$1:$I$89,3,0)*VLOOKUP('Données projet'!$B$9,Paramètres!$A$1:$I$89,5,0)</f>
        <v>167.02919999999995</v>
      </c>
      <c r="P32" s="13">
        <f t="shared" si="33"/>
        <v>42.423982056168619</v>
      </c>
      <c r="Q32" s="20">
        <f t="shared" si="2"/>
        <v>364.79762541449355</v>
      </c>
      <c r="R32" s="59">
        <f t="shared" si="0"/>
        <v>658.13095874782687</v>
      </c>
      <c r="S32" s="59">
        <f ca="1">AVERAGE(OFFSET($R$3,0,0,'Données projet'!$E$9+1,1))-AVERAGE(OFFSET($H$3,0,0,'Données projet'!$E$9+1,1))</f>
        <v>356.67698551373468</v>
      </c>
      <c r="T32" s="59">
        <f t="shared" si="34"/>
        <v>353.21836615408171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9.9707826894136939</v>
      </c>
      <c r="AB32" s="21">
        <f>EXP(-LN(2)/2)*AB31+(1-EXP(-LN(2)/2))/(LN(2)/2)*V32*Y32*VLOOKUP('Données projet'!$B$9,Paramètres!$A$1:$I$89,3,0)*0.475*44/12</f>
        <v>0.88109537260854109</v>
      </c>
      <c r="AC32" s="22">
        <f t="shared" si="3"/>
        <v>10.851878062022235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13.9</v>
      </c>
      <c r="AI32" s="13">
        <f>IF('Données projet'!$A$62&gt;35,AI31+AH32-AQ31,IF(A32&lt;'Données projet'!$A$62,$AF$205^A32,IF(A32='Données projet'!$A$62,'Données projet'!$B$62,AI31+AH32-AQ31)))</f>
        <v>206.10000000000005</v>
      </c>
      <c r="AJ32" s="13">
        <f>AI32*VLOOKUP('Données projet'!$B$10,Paramètres!$A$1:$I$89,3,0)*VLOOKUP('Données projet'!$B$10,Paramètres!$A$1:$I$89,5,0)</f>
        <v>128.60640000000004</v>
      </c>
      <c r="AK32" s="13">
        <f t="shared" si="35"/>
        <v>33.67413757380087</v>
      </c>
      <c r="AL32" s="20">
        <f t="shared" si="4"/>
        <v>282.63860294103654</v>
      </c>
      <c r="AM32" s="59">
        <f t="shared" si="5"/>
        <v>575.97193627436991</v>
      </c>
      <c r="AN32" s="59">
        <f ca="1">AVERAGE(OFFSET($AM$3,0,0,'Données projet'!$E$10+1,1))-AVERAGE(OFFSET($H$3,0,0,'Données projet'!$E$10+1,1))</f>
        <v>240.30073883588199</v>
      </c>
      <c r="AO32" s="59">
        <f t="shared" si="36"/>
        <v>263.20351282678843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7.131021869082339</v>
      </c>
      <c r="AW32" s="21">
        <f>EXP(-LN(2)/2)*AW31+(1-EXP(-LN(2)/2))/(LN(2)/2)*AQ32*AT32*VLOOKUP('Données projet'!$B$10,Paramètres!$A$1:$I$89,3,0)*0.475*44/12</f>
        <v>0.5776394912339492</v>
      </c>
      <c r="AX32" s="21">
        <f t="shared" si="6"/>
        <v>7.7086613603162881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252.98248842635206</v>
      </c>
      <c r="BJ32" s="59">
        <f t="shared" si="38"/>
        <v>207.11938580878308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24.9</v>
      </c>
      <c r="BY32" s="12">
        <f>IF('Données projet'!$A$114&gt;35,BY31+BX32-CG31,IF(A32&lt;'Données projet'!$A$114,$BV$205^A32,IF(A32='Données projet'!$A$114,'Données projet'!$B$114,BY31+BX32-CG31)))</f>
        <v>335.09999999999997</v>
      </c>
      <c r="BZ32" s="13">
        <f>BY32*VLOOKUP('Données projet'!$B$12,Paramètres!$A$1:$I$89,3,0)*VLOOKUP('Données projet'!$B$12,Paramètres!$A$1:$I$89,5,0)</f>
        <v>187.32089999999999</v>
      </c>
      <c r="CA32" s="13">
        <f t="shared" si="39"/>
        <v>46.947153229494532</v>
      </c>
      <c r="CB32" s="20">
        <f t="shared" si="10"/>
        <v>408.01685937470296</v>
      </c>
      <c r="CC32" s="59">
        <f t="shared" si="11"/>
        <v>701.35019270803627</v>
      </c>
      <c r="CD32" s="59">
        <f ca="1">AVERAGE(OFFSET($CC$3,0,0,'Données projet'!$E$12+1,1))-AVERAGE(OFFSET($H$3,0,0,'Données projet'!$E$12+1,1))</f>
        <v>401.06118089678654</v>
      </c>
      <c r="CE32" s="59">
        <f t="shared" si="40"/>
        <v>399.58193819355591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13.29437691921826</v>
      </c>
      <c r="CM32" s="21">
        <f>EXP(-LN(2)/2)*CM31+(1-EXP(-LN(2)/2))/(LN(2)/2)*CG32*CJ32*VLOOKUP('Données projet'!$B$12,Paramètres!$A$1:$I$89,3,0)*0.475*44/12</f>
        <v>1.1747938301447207</v>
      </c>
      <c r="CN32" s="22">
        <f t="shared" si="12"/>
        <v>14.469170749362981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16.5</v>
      </c>
      <c r="CT32" s="12">
        <f>IF('Données projet'!$A$140&gt;35,CT31+CS32-DB31,IF(A32&lt;'Données projet'!$A$140,$CQ$205^A32,IF(A32='Données projet'!$A$140,'Données projet'!$B$140,CT31+CS32-DB31)))</f>
        <v>246.5</v>
      </c>
      <c r="CU32" s="17">
        <f>CT32*VLOOKUP('Données projet'!$B$13,Paramètres!$A$1:$I$89,3,0)*VLOOKUP('Données projet'!$B$13,Paramètres!$A$1:$I$89,5,0)</f>
        <v>153.816</v>
      </c>
      <c r="CV32" s="13">
        <f t="shared" si="41"/>
        <v>39.444513325737063</v>
      </c>
      <c r="CW32" s="20">
        <f t="shared" si="13"/>
        <v>336.59539404232538</v>
      </c>
      <c r="CX32" s="59">
        <f t="shared" si="14"/>
        <v>629.9287273756587</v>
      </c>
      <c r="CY32" s="59">
        <f ca="1">AVERAGE(OFFSET($CX$3,0,0,'Données projet'!$E$13+1,1))-AVERAGE(OFFSET($H$3,0,0,'Données projet'!$E$13+1,1))</f>
        <v>285.77483300338548</v>
      </c>
      <c r="CZ32" s="59">
        <f t="shared" si="42"/>
        <v>320.55212417690637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11.563819247160552</v>
      </c>
      <c r="DH32" s="21">
        <f>EXP(-LN(2)/2)*DH31+(1-EXP(-LN(2)/2))/(LN(2)/2)*DB32*DE32*VLOOKUP('Données projet'!$B$13,Paramètres!$A$1:$I$89,3,0)*0.475*44/12</f>
        <v>0.93671268848748535</v>
      </c>
      <c r="DI32" s="22">
        <f t="shared" si="15"/>
        <v>12.500531935648038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321</v>
      </c>
      <c r="L33" s="12">
        <f>VLOOKUP(A33,'Données projet'!$A$35:$I$55,9,0)</f>
        <v>22.2</v>
      </c>
      <c r="M33" s="12">
        <f t="array" ref="M33">INDEX(L:L,MIN(IF(ISNUMBER(L33:L229),ROW(L33:L229),"")))</f>
        <v>22.2</v>
      </c>
      <c r="N33" s="13">
        <f>IF('Données projet'!$A$36&gt;35,N32+M33-V32,IF(A33&lt;'Données projet'!$A$36,$K$205^A33,IF(A33='Données projet'!$A$36,'Données projet'!$B$36,N32+M33-V32)))</f>
        <v>320.99999999999989</v>
      </c>
      <c r="O33" s="13">
        <f>N33*VLOOKUP('Données projet'!$B$9,Paramètres!$A$1:$I$89,3,0)*VLOOKUP('Données projet'!$B$9,Paramètres!$A$1:$I$89,5,0)</f>
        <v>179.43899999999994</v>
      </c>
      <c r="P33" s="13">
        <f t="shared" si="33"/>
        <v>45.19735133639599</v>
      </c>
      <c r="Q33" s="20">
        <f t="shared" si="2"/>
        <v>391.24164524422287</v>
      </c>
      <c r="R33" s="59">
        <f t="shared" si="0"/>
        <v>684.57497857755618</v>
      </c>
      <c r="S33" s="59">
        <f ca="1">AVERAGE(OFFSET($R$3,0,0,'Données projet'!$E$9+1,1))-AVERAGE(OFFSET($H$3,0,0,'Données projet'!$E$9+1,1))</f>
        <v>356.67698551373468</v>
      </c>
      <c r="T33" s="59">
        <f t="shared" si="34"/>
        <v>353.21836615408171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112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4.5679451084387308</v>
      </c>
      <c r="AA33" s="21">
        <f>EXP(-LN(2)/25)*AA32+(1-EXP(-LN(2)/25))/(LN(2)/25)*Calculateur!V33*Calculateur!X33*VLOOKUP('Données projet'!$B$9,Paramètres!$A$1:$I$89,3,0)*0.475*44/12</f>
        <v>30.172948268535706</v>
      </c>
      <c r="AB33" s="21">
        <f>EXP(-LN(2)/2)*AB32+(1-EXP(-LN(2)/2))/(LN(2)/2)*V33*Y33*VLOOKUP('Données projet'!$B$9,Paramètres!$A$1:$I$89,3,0)*0.475*44/12</f>
        <v>32.522088370435227</v>
      </c>
      <c r="AC33" s="22">
        <f t="shared" si="3"/>
        <v>67.262981747409668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13.9</v>
      </c>
      <c r="AH33" s="12">
        <f t="array" ref="AH33">INDEX(AG:AG,MIN(IF(ISNUMBER(AG33:AG229),ROW(AG33:AG229),"")))</f>
        <v>13.9</v>
      </c>
      <c r="AI33" s="13">
        <f>IF('Données projet'!$A$62&gt;35,AI32+AH33-AQ32,IF(A33&lt;'Données projet'!$A$62,$AF$205^A33,IF(A33='Données projet'!$A$62,'Données projet'!$B$62,AI32+AH33-AQ32)))</f>
        <v>220.00000000000006</v>
      </c>
      <c r="AJ33" s="13">
        <f>AI33*VLOOKUP('Données projet'!$B$10,Paramètres!$A$1:$I$89,3,0)*VLOOKUP('Données projet'!$B$10,Paramètres!$A$1:$I$89,5,0)</f>
        <v>137.28000000000003</v>
      </c>
      <c r="AK33" s="13">
        <f t="shared" si="35"/>
        <v>35.673181961873446</v>
      </c>
      <c r="AL33" s="20">
        <f t="shared" si="4"/>
        <v>301.22679191692964</v>
      </c>
      <c r="AM33" s="59">
        <f t="shared" si="5"/>
        <v>594.5601252502629</v>
      </c>
      <c r="AN33" s="59">
        <f ca="1">AVERAGE(OFFSET($AM$3,0,0,'Données projet'!$E$10+1,1))-AVERAGE(OFFSET($H$3,0,0,'Données projet'!$E$10+1,1))</f>
        <v>240.30073883588199</v>
      </c>
      <c r="AO33" s="59">
        <f t="shared" si="36"/>
        <v>263.20351282678843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6.9533202496318935</v>
      </c>
      <c r="AV33" s="21">
        <f>EXP(-LN(2)/25)*AV32+(1-EXP(-LN(2)/25))/(LN(2)/25)*Calculateur!AQ33*Calculateur!AS33*VLOOKUP('Données projet'!$B$10,Paramètres!$A$1:$I$89,3,0)*0.475*44/12</f>
        <v>20.787908457840874</v>
      </c>
      <c r="AW33" s="21">
        <f>EXP(-LN(2)/2)*AW32+(1-EXP(-LN(2)/2))/(LN(2)/2)*AQ33*AT33*VLOOKUP('Données projet'!$B$10,Paramètres!$A$1:$I$89,3,0)*0.475*44/12</f>
        <v>20.190815503715083</v>
      </c>
      <c r="AX33" s="21">
        <f t="shared" si="6"/>
        <v>47.932044211187851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252.98248842635206</v>
      </c>
      <c r="BJ33" s="59">
        <f t="shared" si="38"/>
        <v>207.11938580878308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360</v>
      </c>
      <c r="BW33" s="12">
        <f>VLOOKUP(A33,'Données projet'!$A$113:$I$133,9,0)</f>
        <v>24.9</v>
      </c>
      <c r="BX33" s="12">
        <f t="array" ref="BX33">INDEX(BW:BW,MIN(IF(ISNUMBER(BW33:BW229),ROW(BW33:BW229),"")))</f>
        <v>24.9</v>
      </c>
      <c r="BY33" s="12">
        <f>IF('Données projet'!$A$114&gt;35,BY32+BX33-CG32,IF(A33&lt;'Données projet'!$A$114,$BV$205^A33,IF(A33='Données projet'!$A$114,'Données projet'!$B$114,BY32+BX33-CG32)))</f>
        <v>359.99999999999994</v>
      </c>
      <c r="BZ33" s="13">
        <f>BY33*VLOOKUP('Données projet'!$B$12,Paramètres!$A$1:$I$89,3,0)*VLOOKUP('Données projet'!$B$12,Paramètres!$A$1:$I$89,5,0)</f>
        <v>201.23999999999998</v>
      </c>
      <c r="CA33" s="13">
        <f t="shared" si="39"/>
        <v>50.016584086333268</v>
      </c>
      <c r="CB33" s="20">
        <f t="shared" si="10"/>
        <v>437.60521728369707</v>
      </c>
      <c r="CC33" s="59">
        <f t="shared" si="11"/>
        <v>730.93855061703039</v>
      </c>
      <c r="CD33" s="59">
        <f ca="1">AVERAGE(OFFSET($CC$3,0,0,'Données projet'!$E$12+1,1))-AVERAGE(OFFSET($H$3,0,0,'Données projet'!$E$12+1,1))</f>
        <v>401.06118089678654</v>
      </c>
      <c r="CE33" s="59">
        <f t="shared" si="40"/>
        <v>399.58193819355591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126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10.277876493987145</v>
      </c>
      <c r="CL33" s="21">
        <f>EXP(-LN(2)/25)*CL32+(1-EXP(-LN(2)/25))/(LN(2)/25)*Calculateur!CG33*Calculateur!CI33*VLOOKUP('Données projet'!$B$12,Paramètres!$A$1:$I$89,3,0)*0.475*44/12</f>
        <v>33.405658639346044</v>
      </c>
      <c r="CM33" s="21">
        <f>EXP(-LN(2)/2)*CM32+(1-EXP(-LN(2)/2))/(LN(2)/2)*CG33*CJ33*VLOOKUP('Données projet'!$B$12,Paramètres!$A$1:$I$89,3,0)*0.475*44/12</f>
        <v>32.729764541383091</v>
      </c>
      <c r="CN33" s="22">
        <f t="shared" si="12"/>
        <v>76.413299674716285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263</v>
      </c>
      <c r="CR33" s="12">
        <f>VLOOKUP(A33,'Données projet'!$A$139:$I$159,9,0)</f>
        <v>16.5</v>
      </c>
      <c r="CS33" s="12">
        <f t="array" ref="CS33">INDEX(CR:CR,MIN(IF(ISNUMBER(CR33:CR229),ROW(CR33:CR229),"")))</f>
        <v>16.5</v>
      </c>
      <c r="CT33" s="12">
        <f>IF('Données projet'!$A$140&gt;35,CT32+CS33-DB32,IF(A33&lt;'Données projet'!$A$140,$CQ$205^A33,IF(A33='Données projet'!$A$140,'Données projet'!$B$140,CT32+CS33-DB32)))</f>
        <v>263</v>
      </c>
      <c r="CU33" s="17">
        <f>CT33*VLOOKUP('Données projet'!$B$13,Paramètres!$A$1:$I$89,3,0)*VLOOKUP('Données projet'!$B$13,Paramètres!$A$1:$I$89,5,0)</f>
        <v>164.11199999999999</v>
      </c>
      <c r="CV33" s="13">
        <f t="shared" si="41"/>
        <v>41.768614316008147</v>
      </c>
      <c r="CW33" s="20">
        <f t="shared" si="13"/>
        <v>358.57540326704753</v>
      </c>
      <c r="CX33" s="59">
        <f t="shared" si="14"/>
        <v>651.90873660038085</v>
      </c>
      <c r="CY33" s="59">
        <f ca="1">AVERAGE(OFFSET($CX$3,0,0,'Données projet'!$E$13+1,1))-AVERAGE(OFFSET($H$3,0,0,'Données projet'!$E$13+1,1))</f>
        <v>285.77483300338548</v>
      </c>
      <c r="CZ33" s="59">
        <f t="shared" si="42"/>
        <v>320.55212417690637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84</v>
      </c>
      <c r="DC33" s="16">
        <f>IF(ISNA(VLOOKUP(A33,'Données projet'!$A$139:$I$159,5,0)),0%,VLOOKUP(A33,'Données projet'!$A$139:$I$159,5,0)*VLOOKUP('Données projet'!$B$13,Paramètres!$A$1:$I$89,7,0))</f>
        <v>0.12</v>
      </c>
      <c r="DD33" s="16">
        <f>IF(ISNA(VLOOKUP(A33,'Données projet'!$A$139:$I$159,6,0)),0%,VLOOKUP(A33,'Données projet'!$A$139:$I$159,6,0)*VLOOKUP('Données projet'!$B$13,Paramètres!$A$1:$I$89,7,0))</f>
        <v>0.24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8.3439842995582705</v>
      </c>
      <c r="DG33" s="21">
        <f>EXP(-LN(2)/25)*DG32+(1-EXP(-LN(2)/25))/(LN(2)/25)*Calculateur!DB33*Calculateur!DD33*VLOOKUP('Données projet'!$B$13,Paramètres!$A$1:$I$89,3,0)*0.475*44/12</f>
        <v>27.869867709859399</v>
      </c>
      <c r="DH33" s="21">
        <f>EXP(-LN(2)/2)*DH32+(1-EXP(-LN(2)/2))/(LN(2)/2)*DB33*DE33*VLOOKUP('Données projet'!$B$13,Paramètres!$A$1:$I$89,3,0)*0.475*44/12</f>
        <v>24.401191136911876</v>
      </c>
      <c r="DI33" s="22">
        <f t="shared" si="15"/>
        <v>60.615043146329548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</v>
      </c>
      <c r="N34" s="13">
        <f>IF('Données projet'!$A$36&gt;35,N33+M34-V33,IF(A34&lt;'Données projet'!$A$36,$K$205^A34,IF(A34='Données projet'!$A$36,'Données projet'!$B$36,N33+M34-V33)))</f>
        <v>230.99999999999989</v>
      </c>
      <c r="O34" s="13">
        <f>N34*VLOOKUP('Données projet'!$B$9,Paramètres!$A$1:$I$89,3,0)*VLOOKUP('Données projet'!$B$9,Paramètres!$A$1:$I$89,5,0)</f>
        <v>129.12899999999993</v>
      </c>
      <c r="P34" s="13">
        <f t="shared" si="33"/>
        <v>33.795018128858409</v>
      </c>
      <c r="Q34" s="20">
        <f t="shared" si="2"/>
        <v>283.75933157442824</v>
      </c>
      <c r="R34" s="59">
        <f t="shared" si="0"/>
        <v>577.09266490776156</v>
      </c>
      <c r="S34" s="59">
        <f ca="1">AVERAGE(OFFSET($R$3,0,0,'Données projet'!$E$9+1,1))-AVERAGE(OFFSET($H$3,0,0,'Données projet'!$E$9+1,1))</f>
        <v>356.67698551373468</v>
      </c>
      <c r="T34" s="59">
        <f t="shared" si="34"/>
        <v>353.21836615408171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4.4783704910336519</v>
      </c>
      <c r="AA34" s="21">
        <f>EXP(-LN(2)/25)*AA33+(1-EXP(-LN(2)/25))/(LN(2)/25)*Calculateur!V34*Calculateur!X34*VLOOKUP('Données projet'!$B$9,Paramètres!$A$1:$I$89,3,0)*0.475*44/12</f>
        <v>29.347867411406209</v>
      </c>
      <c r="AB34" s="21">
        <f>EXP(-LN(2)/2)*AB33+(1-EXP(-LN(2)/2))/(LN(2)/2)*V34*Y34*VLOOKUP('Données projet'!$B$9,Paramètres!$A$1:$I$89,3,0)*0.475*44/12</f>
        <v>22.996589225082907</v>
      </c>
      <c r="AC34" s="22">
        <f t="shared" si="3"/>
        <v>56.822827127522771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</v>
      </c>
      <c r="AI34" s="13">
        <f>IF('Données projet'!$A$62&gt;35,AI33+AH34-AQ33,IF(A34&lt;'Données projet'!$A$62,$AF$205^A34,IF(A34='Données projet'!$A$62,'Données projet'!$B$62,AI33+AH34-AQ33)))</f>
        <v>163.30000000000007</v>
      </c>
      <c r="AJ34" s="13">
        <f>AI34*VLOOKUP('Données projet'!$B$10,Paramètres!$A$1:$I$89,3,0)*VLOOKUP('Données projet'!$B$10,Paramètres!$A$1:$I$89,5,0)</f>
        <v>101.89920000000004</v>
      </c>
      <c r="AK34" s="13">
        <f t="shared" si="35"/>
        <v>27.413959140905018</v>
      </c>
      <c r="AL34" s="20">
        <f t="shared" si="4"/>
        <v>225.22041883707629</v>
      </c>
      <c r="AM34" s="59">
        <f t="shared" si="5"/>
        <v>518.55375217040955</v>
      </c>
      <c r="AN34" s="59">
        <f ca="1">AVERAGE(OFFSET($AM$3,0,0,'Données projet'!$E$10+1,1))-AVERAGE(OFFSET($H$3,0,0,'Données projet'!$E$10+1,1))</f>
        <v>240.30073883588199</v>
      </c>
      <c r="AO34" s="59">
        <f t="shared" si="36"/>
        <v>263.20351282678843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6.8169698806431898</v>
      </c>
      <c r="AV34" s="21">
        <f>EXP(-LN(2)/25)*AV33+(1-EXP(-LN(2)/25))/(LN(2)/25)*Calculateur!AQ34*Calculateur!AS34*VLOOKUP('Données projet'!$B$10,Paramètres!$A$1:$I$89,3,0)*0.475*44/12</f>
        <v>20.219462007872622</v>
      </c>
      <c r="AW34" s="21">
        <f>EXP(-LN(2)/2)*AW33+(1-EXP(-LN(2)/2))/(LN(2)/2)*AQ34*AT34*VLOOKUP('Données projet'!$B$10,Paramètres!$A$1:$I$89,3,0)*0.475*44/12</f>
        <v>14.277062560363413</v>
      </c>
      <c r="AX34" s="21">
        <f t="shared" si="6"/>
        <v>41.313494448879226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252.98248842635206</v>
      </c>
      <c r="BJ34" s="59">
        <f t="shared" si="38"/>
        <v>207.11938580878308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24.3</v>
      </c>
      <c r="BY34" s="12">
        <f>IF('Données projet'!$A$114&gt;35,BY33+BX34-CG33,IF(A34&lt;'Données projet'!$A$114,$BV$205^A34,IF(A34='Données projet'!$A$114,'Données projet'!$B$114,BY33+BX34-CG33)))</f>
        <v>258.29999999999995</v>
      </c>
      <c r="BZ34" s="13">
        <f>BY34*VLOOKUP('Données projet'!$B$12,Paramètres!$A$1:$I$89,3,0)*VLOOKUP('Données projet'!$B$12,Paramètres!$A$1:$I$89,5,0)</f>
        <v>144.38969999999998</v>
      </c>
      <c r="CA34" s="13">
        <f t="shared" si="39"/>
        <v>37.30081007271778</v>
      </c>
      <c r="CB34" s="20">
        <f t="shared" si="10"/>
        <v>316.44430504331677</v>
      </c>
      <c r="CC34" s="59">
        <f t="shared" si="11"/>
        <v>609.77763837665009</v>
      </c>
      <c r="CD34" s="59">
        <f ca="1">AVERAGE(OFFSET($CC$3,0,0,'Données projet'!$E$12+1,1))-AVERAGE(OFFSET($H$3,0,0,'Données projet'!$E$12+1,1))</f>
        <v>401.06118089678654</v>
      </c>
      <c r="CE34" s="59">
        <f t="shared" si="40"/>
        <v>399.58193819355591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10.076333604825718</v>
      </c>
      <c r="CL34" s="21">
        <f>EXP(-LN(2)/25)*CL33+(1-EXP(-LN(2)/25))/(LN(2)/25)*Calculateur!CG34*Calculateur!CI34*VLOOKUP('Données projet'!$B$12,Paramètres!$A$1:$I$89,3,0)*0.475*44/12</f>
        <v>32.492179147125889</v>
      </c>
      <c r="CM34" s="21">
        <f>EXP(-LN(2)/2)*CM33+(1-EXP(-LN(2)/2))/(LN(2)/2)*CG34*CJ34*VLOOKUP('Données projet'!$B$12,Paramètres!$A$1:$I$89,3,0)*0.475*44/12</f>
        <v>23.143438453850997</v>
      </c>
      <c r="CN34" s="22">
        <f t="shared" si="12"/>
        <v>65.711951205802606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15.1</v>
      </c>
      <c r="CT34" s="12">
        <f>IF('Données projet'!$A$140&gt;35,CT33+CS34-DB33,IF(A34&lt;'Données projet'!$A$140,$CQ$205^A34,IF(A34='Données projet'!$A$140,'Données projet'!$B$140,CT33+CS34-DB33)))</f>
        <v>194.10000000000002</v>
      </c>
      <c r="CU34" s="17">
        <f>CT34*VLOOKUP('Données projet'!$B$13,Paramètres!$A$1:$I$89,3,0)*VLOOKUP('Données projet'!$B$13,Paramètres!$A$1:$I$89,5,0)</f>
        <v>121.11840000000001</v>
      </c>
      <c r="CV34" s="13">
        <f t="shared" si="41"/>
        <v>31.935706725782151</v>
      </c>
      <c r="CW34" s="20">
        <f t="shared" si="13"/>
        <v>266.56923588073727</v>
      </c>
      <c r="CX34" s="59">
        <f t="shared" si="14"/>
        <v>559.90256921407058</v>
      </c>
      <c r="CY34" s="59">
        <f ca="1">AVERAGE(OFFSET($CX$3,0,0,'Données projet'!$E$13+1,1))-AVERAGE(OFFSET($H$3,0,0,'Données projet'!$E$13+1,1))</f>
        <v>285.77483300338548</v>
      </c>
      <c r="CZ34" s="59">
        <f t="shared" si="42"/>
        <v>320.55212417690637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8.1803638567718266</v>
      </c>
      <c r="DG34" s="21">
        <f>EXP(-LN(2)/25)*DG33+(1-EXP(-LN(2)/25))/(LN(2)/25)*Calculateur!DB34*Calculateur!DD34*VLOOKUP('Données projet'!$B$13,Paramètres!$A$1:$I$89,3,0)*0.475*44/12</f>
        <v>27.107764711720648</v>
      </c>
      <c r="DH34" s="21">
        <f>EXP(-LN(2)/2)*DH33+(1-EXP(-LN(2)/2))/(LN(2)/2)*DB34*DE34*VLOOKUP('Données projet'!$B$13,Paramètres!$A$1:$I$89,3,0)*0.475*44/12</f>
        <v>17.254247721939471</v>
      </c>
      <c r="DI34" s="22">
        <f t="shared" si="15"/>
        <v>52.542376290431946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</v>
      </c>
      <c r="N35" s="13">
        <f>IF('Données projet'!$A$36&gt;35,N34+M35-V34,IF(A35&lt;'Données projet'!$A$36,$K$205^A35,IF(A35='Données projet'!$A$36,'Données projet'!$B$36,N34+M35-V34)))</f>
        <v>252.99999999999989</v>
      </c>
      <c r="O35" s="13">
        <f>N35*VLOOKUP('Données projet'!$B$9,Paramètres!$A$1:$I$89,3,0)*VLOOKUP('Données projet'!$B$9,Paramètres!$A$1:$I$89,5,0)</f>
        <v>141.42699999999994</v>
      </c>
      <c r="P35" s="13">
        <f t="shared" si="33"/>
        <v>36.62371795968599</v>
      </c>
      <c r="Q35" s="20">
        <f t="shared" ref="Q35:Q66" si="53">(O35+P35)*0.475*44/12</f>
        <v>310.10500044645295</v>
      </c>
      <c r="R35" s="59">
        <f t="shared" si="0"/>
        <v>603.43833377978626</v>
      </c>
      <c r="S35" s="59">
        <f ca="1">AVERAGE(OFFSET($R$3,0,0,'Données projet'!$E$9+1,1))-AVERAGE(OFFSET($H$3,0,0,'Données projet'!$E$9+1,1))</f>
        <v>356.67698551373468</v>
      </c>
      <c r="T35" s="59">
        <f t="shared" si="34"/>
        <v>353.21836615408171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4.3905523772407644</v>
      </c>
      <c r="AA35" s="21">
        <f>EXP(-LN(2)/25)*AA34+(1-EXP(-LN(2)/25))/(LN(2)/25)*Calculateur!V35*Calculateur!X35*VLOOKUP('Données projet'!$B$9,Paramètres!$A$1:$I$89,3,0)*0.475*44/12</f>
        <v>28.545348433704035</v>
      </c>
      <c r="AB35" s="21">
        <f>EXP(-LN(2)/2)*AB34+(1-EXP(-LN(2)/2))/(LN(2)/2)*V35*Y35*VLOOKUP('Données projet'!$B$9,Paramètres!$A$1:$I$89,3,0)*0.475*44/12</f>
        <v>16.261044185217617</v>
      </c>
      <c r="AC35" s="22">
        <f t="shared" si="3"/>
        <v>49.196944996162415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</v>
      </c>
      <c r="AI35" s="13">
        <f>IF('Données projet'!$A$62&gt;35,AI34+AH35-AQ34,IF(A35&lt;'Données projet'!$A$62,$AF$205^A35,IF(A35='Données projet'!$A$62,'Données projet'!$B$62,AI34+AH35-AQ34)))</f>
        <v>176.60000000000008</v>
      </c>
      <c r="AJ35" s="13">
        <f>AI35*VLOOKUP('Données projet'!$B$10,Paramètres!$A$1:$I$89,3,0)*VLOOKUP('Données projet'!$B$10,Paramètres!$A$1:$I$89,5,0)</f>
        <v>110.19840000000003</v>
      </c>
      <c r="AK35" s="13">
        <f t="shared" si="35"/>
        <v>29.377724256456361</v>
      </c>
      <c r="AL35" s="20">
        <f t="shared" si="4"/>
        <v>243.09508307999488</v>
      </c>
      <c r="AM35" s="59">
        <f t="shared" si="5"/>
        <v>536.42841641332825</v>
      </c>
      <c r="AN35" s="59">
        <f ca="1">AVERAGE(OFFSET($AM$3,0,0,'Données projet'!$E$10+1,1))-AVERAGE(OFFSET($H$3,0,0,'Données projet'!$E$10+1,1))</f>
        <v>240.30073883588199</v>
      </c>
      <c r="AO35" s="59">
        <f t="shared" si="36"/>
        <v>263.20351282678843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6.6832932592248415</v>
      </c>
      <c r="AV35" s="21">
        <f>EXP(-LN(2)/25)*AV34+(1-EXP(-LN(2)/25))/(LN(2)/25)*Calculateur!AQ35*Calculateur!AS35*VLOOKUP('Données projet'!$B$10,Paramètres!$A$1:$I$89,3,0)*0.475*44/12</f>
        <v>19.666559755972049</v>
      </c>
      <c r="AW35" s="21">
        <f>EXP(-LN(2)/2)*AW34+(1-EXP(-LN(2)/2))/(LN(2)/2)*AQ35*AT35*VLOOKUP('Données projet'!$B$10,Paramètres!$A$1:$I$89,3,0)*0.475*44/12</f>
        <v>10.095407751857543</v>
      </c>
      <c r="AX35" s="21">
        <f t="shared" si="6"/>
        <v>36.445260767054435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252.98248842635206</v>
      </c>
      <c r="BJ35" s="59">
        <f t="shared" si="38"/>
        <v>207.11938580878308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24.3</v>
      </c>
      <c r="BY35" s="12">
        <f>IF('Données projet'!$A$114&gt;35,BY34+BX35-CG34,IF(A35&lt;'Données projet'!$A$114,$BV$205^A35,IF(A35='Données projet'!$A$114,'Données projet'!$B$114,BY34+BX35-CG34)))</f>
        <v>282.59999999999997</v>
      </c>
      <c r="BZ35" s="13">
        <f>BY35*VLOOKUP('Données projet'!$B$12,Paramètres!$A$1:$I$89,3,0)*VLOOKUP('Données projet'!$B$12,Paramètres!$A$1:$I$89,5,0)</f>
        <v>157.9734</v>
      </c>
      <c r="CA35" s="13">
        <f t="shared" si="39"/>
        <v>40.38507155381253</v>
      </c>
      <c r="CB35" s="20">
        <f t="shared" si="10"/>
        <v>345.47433795622351</v>
      </c>
      <c r="CC35" s="59">
        <f t="shared" si="11"/>
        <v>638.80767128955677</v>
      </c>
      <c r="CD35" s="59">
        <f ca="1">AVERAGE(OFFSET($CC$3,0,0,'Données projet'!$E$12+1,1))-AVERAGE(OFFSET($H$3,0,0,'Données projet'!$E$12+1,1))</f>
        <v>401.06118089678654</v>
      </c>
      <c r="CE35" s="59">
        <f t="shared" si="40"/>
        <v>399.58193819355591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9.8787428487917222</v>
      </c>
      <c r="CL35" s="21">
        <f>EXP(-LN(2)/25)*CL34+(1-EXP(-LN(2)/25))/(LN(2)/25)*Calculateur!CG35*Calculateur!CI35*VLOOKUP('Données projet'!$B$12,Paramètres!$A$1:$I$89,3,0)*0.475*44/12</f>
        <v>31.60367879965829</v>
      </c>
      <c r="CM35" s="21">
        <f>EXP(-LN(2)/2)*CM34+(1-EXP(-LN(2)/2))/(LN(2)/2)*CG35*CJ35*VLOOKUP('Données projet'!$B$12,Paramètres!$A$1:$I$89,3,0)*0.475*44/12</f>
        <v>16.364882270691549</v>
      </c>
      <c r="CN35" s="22">
        <f t="shared" si="12"/>
        <v>57.847303919141567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15.1</v>
      </c>
      <c r="CT35" s="12">
        <f>IF('Données projet'!$A$140&gt;35,CT34+CS35-DB34,IF(A35&lt;'Données projet'!$A$140,$CQ$205^A35,IF(A35='Données projet'!$A$140,'Données projet'!$B$140,CT34+CS35-DB34)))</f>
        <v>209.20000000000002</v>
      </c>
      <c r="CU35" s="17">
        <f>CT35*VLOOKUP('Données projet'!$B$13,Paramètres!$A$1:$I$89,3,0)*VLOOKUP('Données projet'!$B$13,Paramètres!$A$1:$I$89,5,0)</f>
        <v>130.54080000000002</v>
      </c>
      <c r="CV35" s="13">
        <f t="shared" si="41"/>
        <v>34.121292125762963</v>
      </c>
      <c r="CW35" s="20">
        <f t="shared" si="13"/>
        <v>286.78647711903716</v>
      </c>
      <c r="CX35" s="59">
        <f t="shared" si="14"/>
        <v>580.11981045237053</v>
      </c>
      <c r="CY35" s="59">
        <f ca="1">AVERAGE(OFFSET($CX$3,0,0,'Données projet'!$E$13+1,1))-AVERAGE(OFFSET($H$3,0,0,'Données projet'!$E$13+1,1))</f>
        <v>285.77483300338548</v>
      </c>
      <c r="CZ35" s="59">
        <f t="shared" si="42"/>
        <v>320.55212417690637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8.0199519110698088</v>
      </c>
      <c r="DG35" s="21">
        <f>EXP(-LN(2)/25)*DG34+(1-EXP(-LN(2)/25))/(LN(2)/25)*Calculateur!DB35*Calculateur!DD35*VLOOKUP('Données projet'!$B$13,Paramètres!$A$1:$I$89,3,0)*0.475*44/12</f>
        <v>26.366501460143258</v>
      </c>
      <c r="DH35" s="21">
        <f>EXP(-LN(2)/2)*DH34+(1-EXP(-LN(2)/2))/(LN(2)/2)*DB35*DE35*VLOOKUP('Données projet'!$B$13,Paramètres!$A$1:$I$89,3,0)*0.475*44/12</f>
        <v>12.20059556845594</v>
      </c>
      <c r="DI35" s="22">
        <f t="shared" si="15"/>
        <v>46.587048939669003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</v>
      </c>
      <c r="N36" s="13">
        <f>IF('Données projet'!$A$36&gt;35,N35+M36-V35,IF(A36&lt;'Données projet'!$A$36,$K$205^A36,IF(A36='Données projet'!$A$36,'Données projet'!$B$36,N35+M36-V35)))</f>
        <v>274.99999999999989</v>
      </c>
      <c r="O36" s="13">
        <f>N36*VLOOKUP('Données projet'!$B$9,Paramètres!$A$1:$I$89,3,0)*VLOOKUP('Données projet'!$B$9,Paramètres!$A$1:$I$89,5,0)</f>
        <v>153.72499999999994</v>
      </c>
      <c r="P36" s="13">
        <f t="shared" si="33"/>
        <v>39.423892922919691</v>
      </c>
      <c r="Q36" s="20">
        <f t="shared" si="53"/>
        <v>336.40098850741833</v>
      </c>
      <c r="R36" s="59">
        <f t="shared" si="0"/>
        <v>629.73432184075159</v>
      </c>
      <c r="S36" s="59">
        <f ca="1">AVERAGE(OFFSET($R$3,0,0,'Données projet'!$E$9+1,1))-AVERAGE(OFFSET($H$3,0,0,'Données projet'!$E$9+1,1))</f>
        <v>356.67698551373468</v>
      </c>
      <c r="T36" s="59">
        <f t="shared" si="34"/>
        <v>353.21836615408171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4.3044563230955957</v>
      </c>
      <c r="AA36" s="21">
        <f>EXP(-LN(2)/25)*AA35+(1-EXP(-LN(2)/25))/(LN(2)/25)*Calculateur!V36*Calculateur!X36*VLOOKUP('Données projet'!$B$9,Paramètres!$A$1:$I$89,3,0)*0.475*44/12</f>
        <v>27.764774379649765</v>
      </c>
      <c r="AB36" s="21">
        <f>EXP(-LN(2)/2)*AB35+(1-EXP(-LN(2)/2))/(LN(2)/2)*V36*Y36*VLOOKUP('Données projet'!$B$9,Paramètres!$A$1:$I$89,3,0)*0.475*44/12</f>
        <v>11.498294612541455</v>
      </c>
      <c r="AC36" s="22">
        <f t="shared" si="3"/>
        <v>43.567525315286815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</v>
      </c>
      <c r="AI36" s="13">
        <f>IF('Données projet'!$A$62&gt;35,AI35+AH36-AQ35,IF(A36&lt;'Données projet'!$A$62,$AF$205^A36,IF(A36='Données projet'!$A$62,'Données projet'!$B$62,AI35+AH36-AQ35)))</f>
        <v>189.90000000000009</v>
      </c>
      <c r="AJ36" s="13">
        <f>AI36*VLOOKUP('Données projet'!$B$10,Paramètres!$A$1:$I$89,3,0)*VLOOKUP('Données projet'!$B$10,Paramètres!$A$1:$I$89,5,0)</f>
        <v>118.49760000000006</v>
      </c>
      <c r="AK36" s="13">
        <f t="shared" si="35"/>
        <v>31.324332637527956</v>
      </c>
      <c r="AL36" s="20">
        <f t="shared" si="4"/>
        <v>260.9398660103613</v>
      </c>
      <c r="AM36" s="59">
        <f t="shared" si="5"/>
        <v>554.27319934369461</v>
      </c>
      <c r="AN36" s="59">
        <f ca="1">AVERAGE(OFFSET($AM$3,0,0,'Données projet'!$E$10+1,1))-AVERAGE(OFFSET($H$3,0,0,'Données projet'!$E$10+1,1))</f>
        <v>240.30073883588199</v>
      </c>
      <c r="AO36" s="59">
        <f t="shared" si="36"/>
        <v>263.20351282678843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6.5522379548178185</v>
      </c>
      <c r="AV36" s="21">
        <f>EXP(-LN(2)/25)*AV35+(1-EXP(-LN(2)/25))/(LN(2)/25)*Calculateur!AQ36*Calculateur!AS36*VLOOKUP('Données projet'!$B$10,Paramètres!$A$1:$I$89,3,0)*0.475*44/12</f>
        <v>19.128776645225564</v>
      </c>
      <c r="AW36" s="21">
        <f>EXP(-LN(2)/2)*AW35+(1-EXP(-LN(2)/2))/(LN(2)/2)*AQ36*AT36*VLOOKUP('Données projet'!$B$10,Paramètres!$A$1:$I$89,3,0)*0.475*44/12</f>
        <v>7.1385312801817076</v>
      </c>
      <c r="AX36" s="21">
        <f t="shared" si="6"/>
        <v>32.819545880225093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252.98248842635206</v>
      </c>
      <c r="BJ36" s="59">
        <f t="shared" si="38"/>
        <v>207.11938580878308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24.3</v>
      </c>
      <c r="BY36" s="12">
        <f>IF('Données projet'!$A$114&gt;35,BY35+BX36-CG35,IF(A36&lt;'Données projet'!$A$114,$BV$205^A36,IF(A36='Données projet'!$A$114,'Données projet'!$B$114,BY35+BX36-CG35)))</f>
        <v>306.89999999999998</v>
      </c>
      <c r="BZ36" s="13">
        <f>BY36*VLOOKUP('Données projet'!$B$12,Paramètres!$A$1:$I$89,3,0)*VLOOKUP('Données projet'!$B$12,Paramètres!$A$1:$I$89,5,0)</f>
        <v>171.55709999999999</v>
      </c>
      <c r="CA36" s="13">
        <f t="shared" si="39"/>
        <v>43.43857691318567</v>
      </c>
      <c r="CB36" s="20">
        <f t="shared" si="10"/>
        <v>374.45080395713165</v>
      </c>
      <c r="CC36" s="59">
        <f t="shared" si="11"/>
        <v>667.78413729046497</v>
      </c>
      <c r="CD36" s="59">
        <f ca="1">AVERAGE(OFFSET($CC$3,0,0,'Données projet'!$E$12+1,1))-AVERAGE(OFFSET($H$3,0,0,'Données projet'!$E$12+1,1))</f>
        <v>401.06118089678654</v>
      </c>
      <c r="CE36" s="59">
        <f t="shared" si="40"/>
        <v>399.58193819355591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9.6850267269650914</v>
      </c>
      <c r="CL36" s="21">
        <f>EXP(-LN(2)/25)*CL35+(1-EXP(-LN(2)/25))/(LN(2)/25)*Calculateur!CG36*Calculateur!CI36*VLOOKUP('Données projet'!$B$12,Paramètres!$A$1:$I$89,3,0)*0.475*44/12</f>
        <v>30.739474540916397</v>
      </c>
      <c r="CM36" s="21">
        <f>EXP(-LN(2)/2)*CM35+(1-EXP(-LN(2)/2))/(LN(2)/2)*CG36*CJ36*VLOOKUP('Données projet'!$B$12,Paramètres!$A$1:$I$89,3,0)*0.475*44/12</f>
        <v>11.5717192269255</v>
      </c>
      <c r="CN36" s="22">
        <f t="shared" si="12"/>
        <v>51.996220494806991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15.1</v>
      </c>
      <c r="CT36" s="12">
        <f>IF('Données projet'!$A$140&gt;35,CT35+CS36-DB35,IF(A36&lt;'Données projet'!$A$140,$CQ$205^A36,IF(A36='Données projet'!$A$140,'Données projet'!$B$140,CT35+CS36-DB35)))</f>
        <v>224.3</v>
      </c>
      <c r="CU36" s="17">
        <f>CT36*VLOOKUP('Données projet'!$B$13,Paramètres!$A$1:$I$89,3,0)*VLOOKUP('Données projet'!$B$13,Paramètres!$A$1:$I$89,5,0)</f>
        <v>139.9632</v>
      </c>
      <c r="CV36" s="13">
        <f t="shared" si="41"/>
        <v>36.288575002787859</v>
      </c>
      <c r="CW36" s="20">
        <f t="shared" si="13"/>
        <v>306.97184146318881</v>
      </c>
      <c r="CX36" s="59">
        <f t="shared" si="14"/>
        <v>600.30517479652212</v>
      </c>
      <c r="CY36" s="59">
        <f ca="1">AVERAGE(OFFSET($CX$3,0,0,'Données projet'!$E$13+1,1))-AVERAGE(OFFSET($H$3,0,0,'Données projet'!$E$13+1,1))</f>
        <v>285.77483300338548</v>
      </c>
      <c r="CZ36" s="59">
        <f t="shared" si="42"/>
        <v>320.55212417690637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7.8626855457813818</v>
      </c>
      <c r="DG36" s="21">
        <f>EXP(-LN(2)/25)*DG35+(1-EXP(-LN(2)/25))/(LN(2)/25)*Calculateur!DB36*Calculateur!DD36*VLOOKUP('Données projet'!$B$13,Paramètres!$A$1:$I$89,3,0)*0.475*44/12</f>
        <v>25.645508091161592</v>
      </c>
      <c r="DH36" s="21">
        <f>EXP(-LN(2)/2)*DH35+(1-EXP(-LN(2)/2))/(LN(2)/2)*DB36*DE36*VLOOKUP('Données projet'!$B$13,Paramètres!$A$1:$I$89,3,0)*0.475*44/12</f>
        <v>8.6271238609697356</v>
      </c>
      <c r="DI36" s="22">
        <f t="shared" si="15"/>
        <v>42.135317497912709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</v>
      </c>
      <c r="N37" s="13">
        <f>IF('Données projet'!$A$36&gt;35,N36+M37-V36,IF(A37&lt;'Données projet'!$A$36,$K$205^A37,IF(A37='Données projet'!$A$36,'Données projet'!$B$36,N36+M37-V36)))</f>
        <v>296.99999999999989</v>
      </c>
      <c r="O37" s="13">
        <f>N37*VLOOKUP('Données projet'!$B$9,Paramètres!$A$1:$I$89,3,0)*VLOOKUP('Données projet'!$B$9,Paramètres!$A$1:$I$89,5,0)</f>
        <v>166.02299999999994</v>
      </c>
      <c r="P37" s="13">
        <f t="shared" si="33"/>
        <v>42.198084449395701</v>
      </c>
      <c r="Q37" s="20">
        <f t="shared" si="53"/>
        <v>362.6517220826974</v>
      </c>
      <c r="R37" s="59">
        <f t="shared" si="0"/>
        <v>655.98505541603072</v>
      </c>
      <c r="S37" s="59">
        <f ca="1">AVERAGE(OFFSET($R$3,0,0,'Données projet'!$E$9+1,1))-AVERAGE(OFFSET($H$3,0,0,'Données projet'!$E$9+1,1))</f>
        <v>356.67698551373468</v>
      </c>
      <c r="T37" s="59">
        <f t="shared" si="34"/>
        <v>353.21836615408171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4.2200485600588058</v>
      </c>
      <c r="AA37" s="21">
        <f>EXP(-LN(2)/25)*AA36+(1-EXP(-LN(2)/25))/(LN(2)/25)*Calculateur!V37*Calculateur!X37*VLOOKUP('Données projet'!$B$9,Paramètres!$A$1:$I$89,3,0)*0.475*44/12</f>
        <v>27.005545164152213</v>
      </c>
      <c r="AB37" s="21">
        <f>EXP(-LN(2)/2)*AB36+(1-EXP(-LN(2)/2))/(LN(2)/2)*V37*Y37*VLOOKUP('Données projet'!$B$9,Paramètres!$A$1:$I$89,3,0)*0.475*44/12</f>
        <v>8.1305220926088104</v>
      </c>
      <c r="AC37" s="22">
        <f t="shared" si="3"/>
        <v>39.35611581681983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</v>
      </c>
      <c r="AI37" s="13">
        <f>IF('Données projet'!$A$62&gt;35,AI36+AH37-AQ36,IF(A37&lt;'Données projet'!$A$62,$AF$205^A37,IF(A37='Données projet'!$A$62,'Données projet'!$B$62,AI36+AH37-AQ36)))</f>
        <v>203.2000000000001</v>
      </c>
      <c r="AJ37" s="13">
        <f>AI37*VLOOKUP('Données projet'!$B$10,Paramètres!$A$1:$I$89,3,0)*VLOOKUP('Données projet'!$B$10,Paramètres!$A$1:$I$89,5,0)</f>
        <v>126.79680000000006</v>
      </c>
      <c r="AK37" s="13">
        <f t="shared" si="35"/>
        <v>33.25512256626952</v>
      </c>
      <c r="AL37" s="20">
        <f t="shared" si="4"/>
        <v>278.7570984695862</v>
      </c>
      <c r="AM37" s="59">
        <f t="shared" si="5"/>
        <v>572.09043180291951</v>
      </c>
      <c r="AN37" s="59">
        <f ca="1">AVERAGE(OFFSET($AM$3,0,0,'Données projet'!$E$10+1,1))-AVERAGE(OFFSET($H$3,0,0,'Données projet'!$E$10+1,1))</f>
        <v>240.30073883588199</v>
      </c>
      <c r="AO37" s="59">
        <f t="shared" si="36"/>
        <v>263.20351282678843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6.4237525649943752</v>
      </c>
      <c r="AV37" s="21">
        <f>EXP(-LN(2)/25)*AV36+(1-EXP(-LN(2)/25))/(LN(2)/25)*Calculateur!AQ37*Calculateur!AS37*VLOOKUP('Données projet'!$B$10,Paramètres!$A$1:$I$89,3,0)*0.475*44/12</f>
        <v>18.605699241923226</v>
      </c>
      <c r="AW37" s="21">
        <f>EXP(-LN(2)/2)*AW36+(1-EXP(-LN(2)/2))/(LN(2)/2)*AQ37*AT37*VLOOKUP('Données projet'!$B$10,Paramètres!$A$1:$I$89,3,0)*0.475*44/12</f>
        <v>5.0477038759287725</v>
      </c>
      <c r="AX37" s="21">
        <f t="shared" si="6"/>
        <v>30.077155682846371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252.98248842635206</v>
      </c>
      <c r="BJ37" s="59">
        <f t="shared" si="38"/>
        <v>207.11938580878308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24.3</v>
      </c>
      <c r="BY37" s="12">
        <f>IF('Données projet'!$A$114&gt;35,BY36+BX37-CG36,IF(A37&lt;'Données projet'!$A$114,$BV$205^A37,IF(A37='Données projet'!$A$114,'Données projet'!$B$114,BY36+BX37-CG36)))</f>
        <v>331.2</v>
      </c>
      <c r="BZ37" s="13">
        <f>BY37*VLOOKUP('Données projet'!$B$12,Paramètres!$A$1:$I$89,3,0)*VLOOKUP('Données projet'!$B$12,Paramètres!$A$1:$I$89,5,0)</f>
        <v>185.14080000000001</v>
      </c>
      <c r="CA37" s="13">
        <f t="shared" si="39"/>
        <v>46.464038253813506</v>
      </c>
      <c r="CB37" s="20">
        <f t="shared" si="10"/>
        <v>403.3784266253918</v>
      </c>
      <c r="CC37" s="59">
        <f t="shared" si="11"/>
        <v>696.71175995872511</v>
      </c>
      <c r="CD37" s="59">
        <f ca="1">AVERAGE(OFFSET($CC$3,0,0,'Données projet'!$E$12+1,1))-AVERAGE(OFFSET($H$3,0,0,'Données projet'!$E$12+1,1))</f>
        <v>401.06118089678654</v>
      </c>
      <c r="CE37" s="59">
        <f t="shared" si="40"/>
        <v>399.58193819355591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9.4951092601323133</v>
      </c>
      <c r="CL37" s="21">
        <f>EXP(-LN(2)/25)*CL36+(1-EXP(-LN(2)/25))/(LN(2)/25)*Calculateur!CG37*Calculateur!CI37*VLOOKUP('Données projet'!$B$12,Paramètres!$A$1:$I$89,3,0)*0.475*44/12</f>
        <v>29.898901993076329</v>
      </c>
      <c r="CM37" s="21">
        <f>EXP(-LN(2)/2)*CM36+(1-EXP(-LN(2)/2))/(LN(2)/2)*CG37*CJ37*VLOOKUP('Données projet'!$B$12,Paramètres!$A$1:$I$89,3,0)*0.475*44/12</f>
        <v>8.1824411353457744</v>
      </c>
      <c r="CN37" s="22">
        <f t="shared" si="12"/>
        <v>47.576452388554422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15.1</v>
      </c>
      <c r="CT37" s="12">
        <f>IF('Données projet'!$A$140&gt;35,CT36+CS37-DB36,IF(A37&lt;'Données projet'!$A$140,$CQ$205^A37,IF(A37='Données projet'!$A$140,'Données projet'!$B$140,CT36+CS37-DB36)))</f>
        <v>239.4</v>
      </c>
      <c r="CU37" s="17">
        <f>CT37*VLOOKUP('Données projet'!$B$13,Paramètres!$A$1:$I$89,3,0)*VLOOKUP('Données projet'!$B$13,Paramètres!$A$1:$I$89,5,0)</f>
        <v>149.38559999999998</v>
      </c>
      <c r="CV37" s="13">
        <f t="shared" si="41"/>
        <v>38.438927680599591</v>
      </c>
      <c r="CW37" s="20">
        <f t="shared" si="13"/>
        <v>327.1277190437109</v>
      </c>
      <c r="CX37" s="59">
        <f t="shared" si="14"/>
        <v>620.46105237704421</v>
      </c>
      <c r="CY37" s="59">
        <f ca="1">AVERAGE(OFFSET($CX$3,0,0,'Données projet'!$E$13+1,1))-AVERAGE(OFFSET($H$3,0,0,'Données projet'!$E$13+1,1))</f>
        <v>285.77483300338548</v>
      </c>
      <c r="CZ37" s="59">
        <f t="shared" si="42"/>
        <v>320.55212417690637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7.7085030779932495</v>
      </c>
      <c r="DG37" s="21">
        <f>EXP(-LN(2)/25)*DG36+(1-EXP(-LN(2)/25))/(LN(2)/25)*Calculateur!DB37*Calculateur!DD37*VLOOKUP('Données projet'!$B$13,Paramètres!$A$1:$I$89,3,0)*0.475*44/12</f>
        <v>24.944230323770121</v>
      </c>
      <c r="DH37" s="21">
        <f>EXP(-LN(2)/2)*DH36+(1-EXP(-LN(2)/2))/(LN(2)/2)*DB37*DE37*VLOOKUP('Données projet'!$B$13,Paramètres!$A$1:$I$89,3,0)*0.475*44/12</f>
        <v>6.10029778422797</v>
      </c>
      <c r="DI37" s="22">
        <f t="shared" si="15"/>
        <v>38.75303118599134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</v>
      </c>
      <c r="N38" s="13">
        <f>IF('Données projet'!$A$36&gt;35,N37+M38-V37,IF(A38&lt;'Données projet'!$A$36,$K$205^A38,IF(A38='Données projet'!$A$36,'Données projet'!$B$36,N37+M38-V37)))</f>
        <v>318.99999999999989</v>
      </c>
      <c r="O38" s="13">
        <f>N38*VLOOKUP('Données projet'!$B$9,Paramètres!$A$1:$I$89,3,0)*VLOOKUP('Données projet'!$B$9,Paramètres!$A$1:$I$89,5,0)</f>
        <v>178.32099999999994</v>
      </c>
      <c r="P38" s="13">
        <f t="shared" si="33"/>
        <v>44.948436103175418</v>
      </c>
      <c r="Q38" s="20">
        <f t="shared" si="53"/>
        <v>388.86093454636375</v>
      </c>
      <c r="R38" s="59">
        <f t="shared" si="0"/>
        <v>682.19426787969701</v>
      </c>
      <c r="S38" s="59">
        <f ca="1">AVERAGE(OFFSET($R$3,0,0,'Données projet'!$E$9+1,1))-AVERAGE(OFFSET($H$3,0,0,'Données projet'!$E$9+1,1))</f>
        <v>356.67698551373468</v>
      </c>
      <c r="T38" s="59">
        <f t="shared" si="34"/>
        <v>353.21836615408171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4.1372959817715156</v>
      </c>
      <c r="AA38" s="21">
        <f>EXP(-LN(2)/25)*AA37+(1-EXP(-LN(2)/25))/(LN(2)/25)*Calculateur!V38*Calculateur!X38*VLOOKUP('Données projet'!$B$9,Paramètres!$A$1:$I$89,3,0)*0.475*44/12</f>
        <v>26.267077111478574</v>
      </c>
      <c r="AB38" s="21">
        <f>EXP(-LN(2)/2)*AB37+(1-EXP(-LN(2)/2))/(LN(2)/2)*V38*Y38*VLOOKUP('Données projet'!$B$9,Paramètres!$A$1:$I$89,3,0)*0.475*44/12</f>
        <v>5.7491473062707286</v>
      </c>
      <c r="AC38" s="22">
        <f t="shared" si="3"/>
        <v>36.153520399520815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</v>
      </c>
      <c r="AI38" s="13">
        <f>IF('Données projet'!$A$62&gt;35,AI37+AH38-AQ37,IF(A38&lt;'Données projet'!$A$62,$AF$205^A38,IF(A38='Données projet'!$A$62,'Données projet'!$B$62,AI37+AH38-AQ37)))</f>
        <v>216.50000000000011</v>
      </c>
      <c r="AJ38" s="13">
        <f>AI38*VLOOKUP('Données projet'!$B$10,Paramètres!$A$1:$I$89,3,0)*VLOOKUP('Données projet'!$B$10,Paramètres!$A$1:$I$89,5,0)</f>
        <v>135.09600000000006</v>
      </c>
      <c r="AK38" s="13">
        <f t="shared" si="35"/>
        <v>35.171247228284784</v>
      </c>
      <c r="AL38" s="20">
        <f t="shared" si="4"/>
        <v>296.54878892259609</v>
      </c>
      <c r="AM38" s="59">
        <f t="shared" si="5"/>
        <v>589.8821222559294</v>
      </c>
      <c r="AN38" s="59">
        <f ca="1">AVERAGE(OFFSET($AM$3,0,0,'Données projet'!$E$10+1,1))-AVERAGE(OFFSET($H$3,0,0,'Données projet'!$E$10+1,1))</f>
        <v>240.30073883588199</v>
      </c>
      <c r="AO38" s="59">
        <f t="shared" si="36"/>
        <v>263.20351282678843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6.2977866952970194</v>
      </c>
      <c r="AV38" s="21">
        <f>EXP(-LN(2)/25)*AV37+(1-EXP(-LN(2)/25))/(LN(2)/25)*Calculateur!AQ38*Calculateur!AS38*VLOOKUP('Données projet'!$B$10,Paramètres!$A$1:$I$89,3,0)*0.475*44/12</f>
        <v>18.096925417721636</v>
      </c>
      <c r="AW38" s="21">
        <f>EXP(-LN(2)/2)*AW37+(1-EXP(-LN(2)/2))/(LN(2)/2)*AQ38*AT38*VLOOKUP('Données projet'!$B$10,Paramètres!$A$1:$I$89,3,0)*0.475*44/12</f>
        <v>3.5692656400908547</v>
      </c>
      <c r="AX38" s="21">
        <f t="shared" si="6"/>
        <v>27.963977753109511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252.98248842635206</v>
      </c>
      <c r="BJ38" s="59">
        <f t="shared" si="38"/>
        <v>207.11938580878308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24.3</v>
      </c>
      <c r="BY38" s="12">
        <f>IF('Données projet'!$A$114&gt;35,BY37+BX38-CG37,IF(A38&lt;'Données projet'!$A$114,$BV$205^A38,IF(A38='Données projet'!$A$114,'Données projet'!$B$114,BY37+BX38-CG37)))</f>
        <v>355.5</v>
      </c>
      <c r="BZ38" s="13">
        <f>BY38*VLOOKUP('Données projet'!$B$12,Paramètres!$A$1:$I$89,3,0)*VLOOKUP('Données projet'!$B$12,Paramètres!$A$1:$I$89,5,0)</f>
        <v>198.72450000000001</v>
      </c>
      <c r="CA38" s="13">
        <f t="shared" si="39"/>
        <v>49.463747138023976</v>
      </c>
      <c r="CB38" s="20">
        <f t="shared" si="10"/>
        <v>432.26119709872506</v>
      </c>
      <c r="CC38" s="59">
        <f t="shared" si="11"/>
        <v>725.59453043205838</v>
      </c>
      <c r="CD38" s="59">
        <f ca="1">AVERAGE(OFFSET($CC$3,0,0,'Données projet'!$E$12+1,1))-AVERAGE(OFFSET($H$3,0,0,'Données projet'!$E$12+1,1))</f>
        <v>401.06118089678654</v>
      </c>
      <c r="CE38" s="59">
        <f t="shared" si="40"/>
        <v>399.58193819355591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9.3089159589859101</v>
      </c>
      <c r="CL38" s="21">
        <f>EXP(-LN(2)/25)*CL37+(1-EXP(-LN(2)/25))/(LN(2)/25)*Calculateur!CG38*Calculateur!CI38*VLOOKUP('Données projet'!$B$12,Paramètres!$A$1:$I$89,3,0)*0.475*44/12</f>
        <v>29.081314945760735</v>
      </c>
      <c r="CM38" s="21">
        <f>EXP(-LN(2)/2)*CM37+(1-EXP(-LN(2)/2))/(LN(2)/2)*CG38*CJ38*VLOOKUP('Données projet'!$B$12,Paramètres!$A$1:$I$89,3,0)*0.475*44/12</f>
        <v>5.7858596134627502</v>
      </c>
      <c r="CN38" s="22">
        <f t="shared" si="12"/>
        <v>44.176090518209392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15.1</v>
      </c>
      <c r="CT38" s="12">
        <f>IF('Données projet'!$A$140&gt;35,CT37+CS38-DB37,IF(A38&lt;'Données projet'!$A$140,$CQ$205^A38,IF(A38='Données projet'!$A$140,'Données projet'!$B$140,CT37+CS38-DB37)))</f>
        <v>254.5</v>
      </c>
      <c r="CU38" s="17">
        <f>CT38*VLOOKUP('Données projet'!$B$13,Paramètres!$A$1:$I$89,3,0)*VLOOKUP('Données projet'!$B$13,Paramètres!$A$1:$I$89,5,0)</f>
        <v>158.80799999999999</v>
      </c>
      <c r="CV38" s="13">
        <f t="shared" si="41"/>
        <v>40.573539580413687</v>
      </c>
      <c r="CW38" s="20">
        <f t="shared" si="13"/>
        <v>347.25618143588719</v>
      </c>
      <c r="CX38" s="59">
        <f t="shared" si="14"/>
        <v>640.5895147692205</v>
      </c>
      <c r="CY38" s="59">
        <f ca="1">AVERAGE(OFFSET($CX$3,0,0,'Données projet'!$E$13+1,1))-AVERAGE(OFFSET($H$3,0,0,'Données projet'!$E$13+1,1))</f>
        <v>285.77483300338548</v>
      </c>
      <c r="CZ38" s="59">
        <f t="shared" si="42"/>
        <v>320.55212417690637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7.5573440343564231</v>
      </c>
      <c r="DG38" s="21">
        <f>EXP(-LN(2)/25)*DG37+(1-EXP(-LN(2)/25))/(LN(2)/25)*Calculateur!DB38*Calculateur!DD38*VLOOKUP('Données projet'!$B$13,Paramètres!$A$1:$I$89,3,0)*0.475*44/12</f>
        <v>24.262129033806566</v>
      </c>
      <c r="DH38" s="21">
        <f>EXP(-LN(2)/2)*DH37+(1-EXP(-LN(2)/2))/(LN(2)/2)*DB38*DE38*VLOOKUP('Données projet'!$B$13,Paramètres!$A$1:$I$89,3,0)*0.475*44/12</f>
        <v>4.3135619304848678</v>
      </c>
      <c r="DI38" s="22">
        <f t="shared" si="15"/>
        <v>36.133034998647858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340.99999999999989</v>
      </c>
      <c r="O39" s="13">
        <f>N39*VLOOKUP('Données projet'!$B$9,Paramètres!$A$1:$I$89,3,0)*VLOOKUP('Données projet'!$B$9,Paramètres!$A$1:$I$89,5,0)</f>
        <v>190.61899999999991</v>
      </c>
      <c r="P39" s="13">
        <f t="shared" si="33"/>
        <v>47.676779045481801</v>
      </c>
      <c r="Q39" s="20">
        <f t="shared" si="53"/>
        <v>415.03181517088063</v>
      </c>
      <c r="R39" s="59">
        <f t="shared" si="0"/>
        <v>708.36514850421395</v>
      </c>
      <c r="S39" s="59">
        <f ca="1">AVERAGE(OFFSET($R$3,0,0,'Données projet'!$E$9+1,1))-AVERAGE(OFFSET($H$3,0,0,'Données projet'!$E$9+1,1))</f>
        <v>356.67698551373468</v>
      </c>
      <c r="T39" s="59">
        <f t="shared" si="34"/>
        <v>353.21836615408171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4.0561661310703503</v>
      </c>
      <c r="AA39" s="21">
        <f>EXP(-LN(2)/25)*AA38+(1-EXP(-LN(2)/25))/(LN(2)/25)*Calculateur!V39*Calculateur!X39*VLOOKUP('Données projet'!$B$9,Paramètres!$A$1:$I$89,3,0)*0.475*44/12</f>
        <v>25.548802506539641</v>
      </c>
      <c r="AB39" s="21">
        <f>EXP(-LN(2)/2)*AB38+(1-EXP(-LN(2)/2))/(LN(2)/2)*V39*Y39*VLOOKUP('Données projet'!$B$9,Paramètres!$A$1:$I$89,3,0)*0.475*44/12</f>
        <v>4.0652610463044052</v>
      </c>
      <c r="AC39" s="22">
        <f t="shared" si="3"/>
        <v>33.6702296839144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</v>
      </c>
      <c r="AI39" s="13">
        <f>IF('Données projet'!$A$62&gt;35,AI38+AH39-AQ38,IF(A39&lt;'Données projet'!$A$62,$AF$205^A39,IF(A39='Données projet'!$A$62,'Données projet'!$B$62,AI38+AH39-AQ38)))</f>
        <v>229.80000000000013</v>
      </c>
      <c r="AJ39" s="13">
        <f>AI39*VLOOKUP('Données projet'!$B$10,Paramètres!$A$1:$I$89,3,0)*VLOOKUP('Données projet'!$B$10,Paramètres!$A$1:$I$89,5,0)</f>
        <v>143.39520000000007</v>
      </c>
      <c r="AK39" s="13">
        <f t="shared" si="35"/>
        <v>37.073710117899822</v>
      </c>
      <c r="AL39" s="20">
        <f t="shared" si="4"/>
        <v>314.31668512200895</v>
      </c>
      <c r="AM39" s="59">
        <f t="shared" si="5"/>
        <v>607.65001845534221</v>
      </c>
      <c r="AN39" s="59">
        <f ca="1">AVERAGE(OFFSET($AM$3,0,0,'Données projet'!$E$10+1,1))-AVERAGE(OFFSET($H$3,0,0,'Données projet'!$E$10+1,1))</f>
        <v>240.30073883588199</v>
      </c>
      <c r="AO39" s="59">
        <f t="shared" si="36"/>
        <v>263.20351282678843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6.1742909394728347</v>
      </c>
      <c r="AV39" s="21">
        <f>EXP(-LN(2)/25)*AV38+(1-EXP(-LN(2)/25))/(LN(2)/25)*Calculateur!AQ39*Calculateur!AS39*VLOOKUP('Données projet'!$B$10,Paramètres!$A$1:$I$89,3,0)*0.475*44/12</f>
        <v>17.602064040498092</v>
      </c>
      <c r="AW39" s="21">
        <f>EXP(-LN(2)/2)*AW38+(1-EXP(-LN(2)/2))/(LN(2)/2)*AQ39*AT39*VLOOKUP('Données projet'!$B$10,Paramètres!$A$1:$I$89,3,0)*0.475*44/12</f>
        <v>2.5238519379643867</v>
      </c>
      <c r="AX39" s="21">
        <f t="shared" si="6"/>
        <v>26.300206917935313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252.98248842635206</v>
      </c>
      <c r="BJ39" s="59">
        <f t="shared" si="38"/>
        <v>207.11938580878308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24.3</v>
      </c>
      <c r="BY39" s="12">
        <f>IF('Données projet'!$A$114&gt;35,BY38+BX39-CG38,IF(A39&lt;'Données projet'!$A$114,$BV$205^A39,IF(A39='Données projet'!$A$114,'Données projet'!$B$114,BY38+BX39-CG38)))</f>
        <v>379.8</v>
      </c>
      <c r="BZ39" s="13">
        <f>BY39*VLOOKUP('Données projet'!$B$12,Paramètres!$A$1:$I$89,3,0)*VLOOKUP('Données projet'!$B$12,Paramètres!$A$1:$I$89,5,0)</f>
        <v>212.3082</v>
      </c>
      <c r="CA39" s="13">
        <f t="shared" si="39"/>
        <v>52.439664118821788</v>
      </c>
      <c r="CB39" s="20">
        <f t="shared" si="10"/>
        <v>461.10253000694792</v>
      </c>
      <c r="CC39" s="59">
        <f t="shared" si="11"/>
        <v>754.43586334028123</v>
      </c>
      <c r="CD39" s="59">
        <f ca="1">AVERAGE(OFFSET($CC$3,0,0,'Données projet'!$E$12+1,1))-AVERAGE(OFFSET($H$3,0,0,'Données projet'!$E$12+1,1))</f>
        <v>401.06118089678654</v>
      </c>
      <c r="CE39" s="59">
        <f t="shared" si="40"/>
        <v>399.58193819355591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9.1263737949082877</v>
      </c>
      <c r="CL39" s="21">
        <f>EXP(-LN(2)/25)*CL38+(1-EXP(-LN(2)/25))/(LN(2)/25)*Calculateur!CG39*Calculateur!CI39*VLOOKUP('Données projet'!$B$12,Paramètres!$A$1:$I$89,3,0)*0.475*44/12</f>
        <v>28.286084859249019</v>
      </c>
      <c r="CM39" s="21">
        <f>EXP(-LN(2)/2)*CM38+(1-EXP(-LN(2)/2))/(LN(2)/2)*CG39*CJ39*VLOOKUP('Données projet'!$B$12,Paramètres!$A$1:$I$89,3,0)*0.475*44/12</f>
        <v>4.0912205676728872</v>
      </c>
      <c r="CN39" s="22">
        <f t="shared" si="12"/>
        <v>41.50367922183019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15.1</v>
      </c>
      <c r="CT39" s="12">
        <f>IF('Données projet'!$A$140&gt;35,CT38+CS39-DB38,IF(A39&lt;'Données projet'!$A$140,$CQ$205^A39,IF(A39='Données projet'!$A$140,'Données projet'!$B$140,CT38+CS39-DB38)))</f>
        <v>269.60000000000002</v>
      </c>
      <c r="CU39" s="17">
        <f>CT39*VLOOKUP('Données projet'!$B$13,Paramètres!$A$1:$I$89,3,0)*VLOOKUP('Données projet'!$B$13,Paramètres!$A$1:$I$89,5,0)</f>
        <v>168.23040000000003</v>
      </c>
      <c r="CV39" s="13">
        <f t="shared" si="41"/>
        <v>42.693451008292193</v>
      </c>
      <c r="CW39" s="20">
        <f t="shared" si="13"/>
        <v>367.3590405061089</v>
      </c>
      <c r="CX39" s="59">
        <f t="shared" si="14"/>
        <v>660.69237383944221</v>
      </c>
      <c r="CY39" s="59">
        <f ca="1">AVERAGE(OFFSET($CX$3,0,0,'Données projet'!$E$13+1,1))-AVERAGE(OFFSET($H$3,0,0,'Données projet'!$E$13+1,1))</f>
        <v>285.77483300338548</v>
      </c>
      <c r="CZ39" s="59">
        <f t="shared" si="42"/>
        <v>320.55212417690637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7.4091491273674022</v>
      </c>
      <c r="DG39" s="21">
        <f>EXP(-LN(2)/25)*DG38+(1-EXP(-LN(2)/25))/(LN(2)/25)*Calculateur!DB39*Calculateur!DD39*VLOOKUP('Données projet'!$B$13,Paramètres!$A$1:$I$89,3,0)*0.475*44/12</f>
        <v>23.598679839487211</v>
      </c>
      <c r="DH39" s="21">
        <f>EXP(-LN(2)/2)*DH38+(1-EXP(-LN(2)/2))/(LN(2)/2)*DB39*DE39*VLOOKUP('Données projet'!$B$13,Paramètres!$A$1:$I$89,3,0)*0.475*44/12</f>
        <v>3.050148892113985</v>
      </c>
      <c r="DI39" s="22">
        <f t="shared" si="15"/>
        <v>34.057977858968599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362.99999999999989</v>
      </c>
      <c r="O40" s="13">
        <f>N40*VLOOKUP('Données projet'!$B$9,Paramètres!$A$1:$I$89,3,0)*VLOOKUP('Données projet'!$B$9,Paramètres!$A$1:$I$89,5,0)</f>
        <v>202.91699999999994</v>
      </c>
      <c r="P40" s="13">
        <f t="shared" si="33"/>
        <v>50.384694798587844</v>
      </c>
      <c r="Q40" s="20">
        <f t="shared" si="53"/>
        <v>441.16711844087371</v>
      </c>
      <c r="R40" s="59">
        <f t="shared" si="0"/>
        <v>734.50045177420702</v>
      </c>
      <c r="S40" s="59">
        <f ca="1">AVERAGE(OFFSET($R$3,0,0,'Données projet'!$E$9+1,1))-AVERAGE(OFFSET($H$3,0,0,'Données projet'!$E$9+1,1))</f>
        <v>356.67698551373468</v>
      </c>
      <c r="T40" s="59">
        <f t="shared" si="34"/>
        <v>353.21836615408171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3.9766271872571117</v>
      </c>
      <c r="AA40" s="21">
        <f>EXP(-LN(2)/25)*AA39+(1-EXP(-LN(2)/25))/(LN(2)/25)*Calculateur!V40*Calculateur!X40*VLOOKUP('Données projet'!$B$9,Paramètres!$A$1:$I$89,3,0)*0.475*44/12</f>
        <v>24.850169158445183</v>
      </c>
      <c r="AB40" s="21">
        <f>EXP(-LN(2)/2)*AB39+(1-EXP(-LN(2)/2))/(LN(2)/2)*V40*Y40*VLOOKUP('Données projet'!$B$9,Paramètres!$A$1:$I$89,3,0)*0.475*44/12</f>
        <v>2.8745736531353643</v>
      </c>
      <c r="AC40" s="22">
        <f t="shared" si="3"/>
        <v>31.701369998837659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</v>
      </c>
      <c r="AI40" s="13">
        <f>IF('Données projet'!$A$62&gt;35,AI39+AH40-AQ39,IF(A40&lt;'Données projet'!$A$62,$AF$205^A40,IF(A40='Données projet'!$A$62,'Données projet'!$B$62,AI39+AH40-AQ39)))</f>
        <v>243.10000000000014</v>
      </c>
      <c r="AJ40" s="13">
        <f>AI40*VLOOKUP('Données projet'!$B$10,Paramètres!$A$1:$I$89,3,0)*VLOOKUP('Données projet'!$B$10,Paramètres!$A$1:$I$89,5,0)</f>
        <v>151.69440000000009</v>
      </c>
      <c r="AK40" s="13">
        <f t="shared" si="35"/>
        <v>38.963392010880654</v>
      </c>
      <c r="AL40" s="20">
        <f t="shared" si="4"/>
        <v>332.06232108561727</v>
      </c>
      <c r="AM40" s="59">
        <f t="shared" si="5"/>
        <v>625.39565441895058</v>
      </c>
      <c r="AN40" s="59">
        <f ca="1">AVERAGE(OFFSET($AM$3,0,0,'Données projet'!$E$10+1,1))-AVERAGE(OFFSET($H$3,0,0,'Données projet'!$E$10+1,1))</f>
        <v>240.30073883588199</v>
      </c>
      <c r="AO40" s="59">
        <f t="shared" si="36"/>
        <v>263.20351282678843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6.0532168600953895</v>
      </c>
      <c r="AV40" s="21">
        <f>EXP(-LN(2)/25)*AV39+(1-EXP(-LN(2)/25))/(LN(2)/25)*Calculateur!AQ40*Calculateur!AS40*VLOOKUP('Données projet'!$B$10,Paramètres!$A$1:$I$89,3,0)*0.475*44/12</f>
        <v>17.120734673658355</v>
      </c>
      <c r="AW40" s="21">
        <f>EXP(-LN(2)/2)*AW39+(1-EXP(-LN(2)/2))/(LN(2)/2)*AQ40*AT40*VLOOKUP('Données projet'!$B$10,Paramètres!$A$1:$I$89,3,0)*0.475*44/12</f>
        <v>1.7846328200454276</v>
      </c>
      <c r="AX40" s="21">
        <f t="shared" si="6"/>
        <v>24.958584353799171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252.98248842635206</v>
      </c>
      <c r="BJ40" s="59">
        <f t="shared" si="38"/>
        <v>207.11938580878308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24.3</v>
      </c>
      <c r="BY40" s="12">
        <f>IF('Données projet'!$A$114&gt;35,BY39+BX40-CG39,IF(A40&lt;'Données projet'!$A$114,$BV$205^A40,IF(A40='Données projet'!$A$114,'Données projet'!$B$114,BY39+BX40-CG39)))</f>
        <v>404.1</v>
      </c>
      <c r="BZ40" s="13">
        <f>BY40*VLOOKUP('Données projet'!$B$12,Paramètres!$A$1:$I$89,3,0)*VLOOKUP('Données projet'!$B$12,Paramètres!$A$1:$I$89,5,0)</f>
        <v>225.89190000000002</v>
      </c>
      <c r="CA40" s="13">
        <f t="shared" si="39"/>
        <v>55.393484688971533</v>
      </c>
      <c r="CB40" s="20">
        <f t="shared" si="10"/>
        <v>489.90537833329205</v>
      </c>
      <c r="CC40" s="59">
        <f t="shared" si="11"/>
        <v>783.23871166662536</v>
      </c>
      <c r="CD40" s="59">
        <f ca="1">AVERAGE(OFFSET($CC$3,0,0,'Données projet'!$E$12+1,1))-AVERAGE(OFFSET($H$3,0,0,'Données projet'!$E$12+1,1))</f>
        <v>401.06118089678654</v>
      </c>
      <c r="CE40" s="59">
        <f t="shared" si="40"/>
        <v>399.58193819355591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8.9474111713285005</v>
      </c>
      <c r="CL40" s="21">
        <f>EXP(-LN(2)/25)*CL39+(1-EXP(-LN(2)/25))/(LN(2)/25)*Calculateur!CG40*Calculateur!CI40*VLOOKUP('Données projet'!$B$12,Paramètres!$A$1:$I$89,3,0)*0.475*44/12</f>
        <v>27.5126003812723</v>
      </c>
      <c r="CM40" s="21">
        <f>EXP(-LN(2)/2)*CM39+(1-EXP(-LN(2)/2))/(LN(2)/2)*CG40*CJ40*VLOOKUP('Données projet'!$B$12,Paramètres!$A$1:$I$89,3,0)*0.475*44/12</f>
        <v>2.8929298067313751</v>
      </c>
      <c r="CN40" s="22">
        <f t="shared" si="12"/>
        <v>39.352941359332178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15.1</v>
      </c>
      <c r="CT40" s="12">
        <f>IF('Données projet'!$A$140&gt;35,CT39+CS40-DB39,IF(A40&lt;'Données projet'!$A$140,$CQ$205^A40,IF(A40='Données projet'!$A$140,'Données projet'!$B$140,CT39+CS40-DB39)))</f>
        <v>284.70000000000005</v>
      </c>
      <c r="CU40" s="17">
        <f>CT40*VLOOKUP('Données projet'!$B$13,Paramètres!$A$1:$I$89,3,0)*VLOOKUP('Données projet'!$B$13,Paramètres!$A$1:$I$89,5,0)</f>
        <v>177.65280000000001</v>
      </c>
      <c r="CV40" s="13">
        <f t="shared" si="41"/>
        <v>44.799579155749747</v>
      </c>
      <c r="CW40" s="20">
        <f t="shared" si="13"/>
        <v>387.43789369626415</v>
      </c>
      <c r="CX40" s="59">
        <f t="shared" si="14"/>
        <v>680.77122702959741</v>
      </c>
      <c r="CY40" s="59">
        <f ca="1">AVERAGE(OFFSET($CX$3,0,0,'Données projet'!$E$13+1,1))-AVERAGE(OFFSET($H$3,0,0,'Données projet'!$E$13+1,1))</f>
        <v>285.77483300338548</v>
      </c>
      <c r="CZ40" s="59">
        <f t="shared" si="42"/>
        <v>320.55212417690637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7.2638602321144674</v>
      </c>
      <c r="DG40" s="21">
        <f>EXP(-LN(2)/25)*DG39+(1-EXP(-LN(2)/25))/(LN(2)/25)*Calculateur!DB40*Calculateur!DD40*VLOOKUP('Données projet'!$B$13,Paramètres!$A$1:$I$89,3,0)*0.475*44/12</f>
        <v>22.953372698275796</v>
      </c>
      <c r="DH40" s="21">
        <f>EXP(-LN(2)/2)*DH39+(1-EXP(-LN(2)/2))/(LN(2)/2)*DB40*DE40*VLOOKUP('Données projet'!$B$13,Paramètres!$A$1:$I$89,3,0)*0.475*44/12</f>
        <v>2.1567809652424339</v>
      </c>
      <c r="DI40" s="22">
        <f t="shared" si="15"/>
        <v>32.3740138956327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384.99999999999989</v>
      </c>
      <c r="O41" s="13">
        <f>N41*VLOOKUP('Données projet'!$B$9,Paramètres!$A$1:$I$89,3,0)*VLOOKUP('Données projet'!$B$9,Paramètres!$A$1:$I$89,5,0)</f>
        <v>215.21499999999995</v>
      </c>
      <c r="P41" s="13">
        <f t="shared" si="33"/>
        <v>53.073562353518611</v>
      </c>
      <c r="Q41" s="20">
        <f t="shared" si="53"/>
        <v>467.26924609904478</v>
      </c>
      <c r="R41" s="59">
        <f t="shared" si="0"/>
        <v>760.60257943237809</v>
      </c>
      <c r="S41" s="59">
        <f ca="1">AVERAGE(OFFSET($R$3,0,0,'Données projet'!$E$9+1,1))-AVERAGE(OFFSET($H$3,0,0,'Données projet'!$E$9+1,1))</f>
        <v>356.67698551373468</v>
      </c>
      <c r="T41" s="59">
        <f t="shared" si="34"/>
        <v>353.21836615408171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3.8986479536180854</v>
      </c>
      <c r="AA41" s="21">
        <f>EXP(-LN(2)/25)*AA40+(1-EXP(-LN(2)/25))/(LN(2)/25)*Calculateur!V41*Calculateur!X41*VLOOKUP('Données projet'!$B$9,Paramètres!$A$1:$I$89,3,0)*0.475*44/12</f>
        <v>24.1706399759939</v>
      </c>
      <c r="AB41" s="21">
        <f>EXP(-LN(2)/2)*AB40+(1-EXP(-LN(2)/2))/(LN(2)/2)*V41*Y41*VLOOKUP('Données projet'!$B$9,Paramètres!$A$1:$I$89,3,0)*0.475*44/12</f>
        <v>2.0326305231522026</v>
      </c>
      <c r="AC41" s="22">
        <f t="shared" si="3"/>
        <v>30.101918452764188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</v>
      </c>
      <c r="AI41" s="13">
        <f>IF('Données projet'!$A$62&gt;35,AI40+AH41-AQ40,IF(A41&lt;'Données projet'!$A$62,$AF$205^A41,IF(A41='Données projet'!$A$62,'Données projet'!$B$62,AI40+AH41-AQ40)))</f>
        <v>256.40000000000015</v>
      </c>
      <c r="AJ41" s="13">
        <f>AI41*VLOOKUP('Données projet'!$B$10,Paramètres!$A$1:$I$89,3,0)*VLOOKUP('Données projet'!$B$10,Paramètres!$A$1:$I$89,5,0)</f>
        <v>159.99360000000007</v>
      </c>
      <c r="AK41" s="13">
        <f t="shared" si="35"/>
        <v>40.841071865470695</v>
      </c>
      <c r="AL41" s="20">
        <f t="shared" si="4"/>
        <v>349.78705349902822</v>
      </c>
      <c r="AM41" s="59">
        <f t="shared" si="5"/>
        <v>643.12038683236153</v>
      </c>
      <c r="AN41" s="59">
        <f ca="1">AVERAGE(OFFSET($AM$3,0,0,'Données projet'!$E$10+1,1))-AVERAGE(OFFSET($H$3,0,0,'Données projet'!$E$10+1,1))</f>
        <v>240.30073883588199</v>
      </c>
      <c r="AO41" s="59">
        <f t="shared" si="36"/>
        <v>263.20351282678843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5.9345169695666389</v>
      </c>
      <c r="AV41" s="21">
        <f>EXP(-LN(2)/25)*AV40+(1-EXP(-LN(2)/25))/(LN(2)/25)*Calculateur!AQ41*Calculateur!AS41*VLOOKUP('Données projet'!$B$10,Paramètres!$A$1:$I$89,3,0)*0.475*44/12</f>
        <v>16.652567283666862</v>
      </c>
      <c r="AW41" s="21">
        <f>EXP(-LN(2)/2)*AW40+(1-EXP(-LN(2)/2))/(LN(2)/2)*AQ41*AT41*VLOOKUP('Données projet'!$B$10,Paramètres!$A$1:$I$89,3,0)*0.475*44/12</f>
        <v>1.2619259689821936</v>
      </c>
      <c r="AX41" s="21">
        <f t="shared" si="6"/>
        <v>23.849010222215693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252.98248842635206</v>
      </c>
      <c r="BJ41" s="59">
        <f t="shared" si="38"/>
        <v>207.11938580878308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24.3</v>
      </c>
      <c r="BY41" s="12">
        <f>IF('Données projet'!$A$114&gt;35,BY40+BX41-CG40,IF(A41&lt;'Données projet'!$A$114,$BV$205^A41,IF(A41='Données projet'!$A$114,'Données projet'!$B$114,BY40+BX41-CG40)))</f>
        <v>428.40000000000003</v>
      </c>
      <c r="BZ41" s="13">
        <f>BY41*VLOOKUP('Données projet'!$B$12,Paramètres!$A$1:$I$89,3,0)*VLOOKUP('Données projet'!$B$12,Paramètres!$A$1:$I$89,5,0)</f>
        <v>239.47560000000004</v>
      </c>
      <c r="CA41" s="13">
        <f t="shared" si="39"/>
        <v>58.326688908078204</v>
      </c>
      <c r="CB41" s="20">
        <f t="shared" si="10"/>
        <v>518.67231984823627</v>
      </c>
      <c r="CC41" s="59">
        <f t="shared" si="11"/>
        <v>812.00565318156964</v>
      </c>
      <c r="CD41" s="59">
        <f ca="1">AVERAGE(OFFSET($CC$3,0,0,'Données projet'!$E$12+1,1))-AVERAGE(OFFSET($H$3,0,0,'Données projet'!$E$12+1,1))</f>
        <v>401.06118089678654</v>
      </c>
      <c r="CE41" s="59">
        <f t="shared" si="40"/>
        <v>399.58193819355591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8.7719578956406909</v>
      </c>
      <c r="CL41" s="21">
        <f>EXP(-LN(2)/25)*CL40+(1-EXP(-LN(2)/25))/(LN(2)/25)*Calculateur!CG41*Calculateur!CI41*VLOOKUP('Données projet'!$B$12,Paramètres!$A$1:$I$89,3,0)*0.475*44/12</f>
        <v>26.760266877021635</v>
      </c>
      <c r="CM41" s="21">
        <f>EXP(-LN(2)/2)*CM40+(1-EXP(-LN(2)/2))/(LN(2)/2)*CG41*CJ41*VLOOKUP('Données projet'!$B$12,Paramètres!$A$1:$I$89,3,0)*0.475*44/12</f>
        <v>2.0456102838364436</v>
      </c>
      <c r="CN41" s="22">
        <f t="shared" si="12"/>
        <v>37.57783505649877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15.1</v>
      </c>
      <c r="CT41" s="12">
        <f>IF('Données projet'!$A$140&gt;35,CT40+CS41-DB40,IF(A41&lt;'Données projet'!$A$140,$CQ$205^A41,IF(A41='Données projet'!$A$140,'Données projet'!$B$140,CT40+CS41-DB40)))</f>
        <v>299.80000000000007</v>
      </c>
      <c r="CU41" s="17">
        <f>CT41*VLOOKUP('Données projet'!$B$13,Paramètres!$A$1:$I$89,3,0)*VLOOKUP('Données projet'!$B$13,Paramètres!$A$1:$I$89,5,0)</f>
        <v>187.07520000000005</v>
      </c>
      <c r="CV41" s="13">
        <f t="shared" si="41"/>
        <v>46.892738426785456</v>
      </c>
      <c r="CW41" s="20">
        <f t="shared" si="13"/>
        <v>407.49415942665138</v>
      </c>
      <c r="CX41" s="59">
        <f t="shared" si="14"/>
        <v>700.82749275998469</v>
      </c>
      <c r="CY41" s="59">
        <f ca="1">AVERAGE(OFFSET($CX$3,0,0,'Données projet'!$E$13+1,1))-AVERAGE(OFFSET($H$3,0,0,'Données projet'!$E$13+1,1))</f>
        <v>285.77483300338548</v>
      </c>
      <c r="CZ41" s="59">
        <f t="shared" si="42"/>
        <v>320.55212417690637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7.1214203634799667</v>
      </c>
      <c r="DG41" s="21">
        <f>EXP(-LN(2)/25)*DG40+(1-EXP(-LN(2)/25))/(LN(2)/25)*Calculateur!DB41*Calculateur!DD41*VLOOKUP('Données projet'!$B$13,Paramètres!$A$1:$I$89,3,0)*0.475*44/12</f>
        <v>22.325711514776035</v>
      </c>
      <c r="DH41" s="21">
        <f>EXP(-LN(2)/2)*DH40+(1-EXP(-LN(2)/2))/(LN(2)/2)*DB41*DE41*VLOOKUP('Données projet'!$B$13,Paramètres!$A$1:$I$89,3,0)*0.475*44/12</f>
        <v>1.5250744460569925</v>
      </c>
      <c r="DI41" s="22">
        <f t="shared" si="15"/>
        <v>30.972206324312996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406.99999999999989</v>
      </c>
      <c r="O42" s="13">
        <f>N42*VLOOKUP('Données projet'!$B$9,Paramètres!$A$1:$I$89,3,0)*VLOOKUP('Données projet'!$B$9,Paramètres!$A$1:$I$89,5,0)</f>
        <v>227.51299999999995</v>
      </c>
      <c r="P42" s="13">
        <f t="shared" si="33"/>
        <v>55.744594200664011</v>
      </c>
      <c r="Q42" s="20">
        <f t="shared" si="53"/>
        <v>493.34030989948968</v>
      </c>
      <c r="R42" s="59">
        <f t="shared" si="0"/>
        <v>786.673643232823</v>
      </c>
      <c r="S42" s="59">
        <f ca="1">AVERAGE(OFFSET($R$3,0,0,'Données projet'!$E$9+1,1))-AVERAGE(OFFSET($H$3,0,0,'Données projet'!$E$9+1,1))</f>
        <v>356.67698551373468</v>
      </c>
      <c r="T42" s="59">
        <f t="shared" si="34"/>
        <v>353.21836615408171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3.8221978451880845</v>
      </c>
      <c r="AA42" s="21">
        <f>EXP(-LN(2)/25)*AA41+(1-EXP(-LN(2)/25))/(LN(2)/25)*Calculateur!V42*Calculateur!X42*VLOOKUP('Données projet'!$B$9,Paramètres!$A$1:$I$89,3,0)*0.475*44/12</f>
        <v>23.509692554771632</v>
      </c>
      <c r="AB42" s="21">
        <f>EXP(-LN(2)/2)*AB41+(1-EXP(-LN(2)/2))/(LN(2)/2)*V42*Y42*VLOOKUP('Données projet'!$B$9,Paramètres!$A$1:$I$89,3,0)*0.475*44/12</f>
        <v>1.4372868265676821</v>
      </c>
      <c r="AC42" s="22">
        <f t="shared" si="3"/>
        <v>28.7691772265274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</v>
      </c>
      <c r="AI42" s="13">
        <f>IF('Données projet'!$A$62&gt;35,AI41+AH42-AQ41,IF(A42&lt;'Données projet'!$A$62,$AF$205^A42,IF(A42='Données projet'!$A$62,'Données projet'!$B$62,AI41+AH42-AQ41)))</f>
        <v>269.70000000000016</v>
      </c>
      <c r="AJ42" s="13">
        <f>AI42*VLOOKUP('Données projet'!$B$10,Paramètres!$A$1:$I$89,3,0)*VLOOKUP('Données projet'!$B$10,Paramètres!$A$1:$I$89,5,0)</f>
        <v>168.29280000000011</v>
      </c>
      <c r="AK42" s="13">
        <f t="shared" si="35"/>
        <v>42.707443263135104</v>
      </c>
      <c r="AL42" s="20">
        <f t="shared" si="4"/>
        <v>367.49209034996051</v>
      </c>
      <c r="AM42" s="59">
        <f t="shared" si="5"/>
        <v>660.82542368329382</v>
      </c>
      <c r="AN42" s="59">
        <f ca="1">AVERAGE(OFFSET($AM$3,0,0,'Données projet'!$E$10+1,1))-AVERAGE(OFFSET($H$3,0,0,'Données projet'!$E$10+1,1))</f>
        <v>240.30073883588199</v>
      </c>
      <c r="AO42" s="59">
        <f t="shared" si="36"/>
        <v>263.20351282678843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5.8181447114913727</v>
      </c>
      <c r="AV42" s="21">
        <f>EXP(-LN(2)/25)*AV41+(1-EXP(-LN(2)/25))/(LN(2)/25)*Calculateur!AQ42*Calculateur!AS42*VLOOKUP('Données projet'!$B$10,Paramètres!$A$1:$I$89,3,0)*0.475*44/12</f>
        <v>16.197201955574538</v>
      </c>
      <c r="AW42" s="21">
        <f>EXP(-LN(2)/2)*AW41+(1-EXP(-LN(2)/2))/(LN(2)/2)*AQ42*AT42*VLOOKUP('Données projet'!$B$10,Paramètres!$A$1:$I$89,3,0)*0.475*44/12</f>
        <v>0.892316410022714</v>
      </c>
      <c r="AX42" s="21">
        <f t="shared" si="6"/>
        <v>22.907663077088628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252.98248842635206</v>
      </c>
      <c r="BJ42" s="59">
        <f t="shared" si="38"/>
        <v>207.11938580878308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24.3</v>
      </c>
      <c r="BY42" s="12">
        <f>IF('Données projet'!$A$114&gt;35,BY41+BX42-CG41,IF(A42&lt;'Données projet'!$A$114,$BV$205^A42,IF(A42='Données projet'!$A$114,'Données projet'!$B$114,BY41+BX42-CG41)))</f>
        <v>452.70000000000005</v>
      </c>
      <c r="BZ42" s="13">
        <f>BY42*VLOOKUP('Données projet'!$B$12,Paramètres!$A$1:$I$89,3,0)*VLOOKUP('Données projet'!$B$12,Paramètres!$A$1:$I$89,5,0)</f>
        <v>253.05930000000004</v>
      </c>
      <c r="CA42" s="13">
        <f t="shared" si="39"/>
        <v>61.240579446228374</v>
      </c>
      <c r="CB42" s="20">
        <f t="shared" si="10"/>
        <v>547.40562336884784</v>
      </c>
      <c r="CC42" s="59">
        <f t="shared" si="11"/>
        <v>840.73895670218121</v>
      </c>
      <c r="CD42" s="59">
        <f ca="1">AVERAGE(OFFSET($CC$3,0,0,'Données projet'!$E$12+1,1))-AVERAGE(OFFSET($H$3,0,0,'Données projet'!$E$12+1,1))</f>
        <v>401.06118089678654</v>
      </c>
      <c r="CE42" s="59">
        <f t="shared" si="40"/>
        <v>399.58193819355591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8.5999451516731877</v>
      </c>
      <c r="CL42" s="21">
        <f>EXP(-LN(2)/25)*CL41+(1-EXP(-LN(2)/25))/(LN(2)/25)*Calculateur!CG42*Calculateur!CI42*VLOOKUP('Données projet'!$B$12,Paramètres!$A$1:$I$89,3,0)*0.475*44/12</f>
        <v>26.028505972008205</v>
      </c>
      <c r="CM42" s="21">
        <f>EXP(-LN(2)/2)*CM41+(1-EXP(-LN(2)/2))/(LN(2)/2)*CG42*CJ42*VLOOKUP('Données projet'!$B$12,Paramètres!$A$1:$I$89,3,0)*0.475*44/12</f>
        <v>1.4464649033656876</v>
      </c>
      <c r="CN42" s="22">
        <f t="shared" si="12"/>
        <v>36.074916027047081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15.1</v>
      </c>
      <c r="CT42" s="12">
        <f>IF('Données projet'!$A$140&gt;35,CT41+CS42-DB41,IF(A42&lt;'Données projet'!$A$140,$CQ$205^A42,IF(A42='Données projet'!$A$140,'Données projet'!$B$140,CT41+CS42-DB41)))</f>
        <v>314.90000000000009</v>
      </c>
      <c r="CU42" s="17">
        <f>CT42*VLOOKUP('Données projet'!$B$13,Paramètres!$A$1:$I$89,3,0)*VLOOKUP('Données projet'!$B$13,Paramètres!$A$1:$I$89,5,0)</f>
        <v>196.49760000000006</v>
      </c>
      <c r="CV42" s="13">
        <f t="shared" si="41"/>
        <v>48.973656553237205</v>
      </c>
      <c r="CW42" s="20">
        <f t="shared" si="13"/>
        <v>427.5291051635549</v>
      </c>
      <c r="CX42" s="59">
        <f t="shared" si="14"/>
        <v>720.86243849688822</v>
      </c>
      <c r="CY42" s="59">
        <f ca="1">AVERAGE(OFFSET($CX$3,0,0,'Données projet'!$E$13+1,1))-AVERAGE(OFFSET($H$3,0,0,'Données projet'!$E$13+1,1))</f>
        <v>285.77483300338548</v>
      </c>
      <c r="CZ42" s="59">
        <f t="shared" si="42"/>
        <v>320.55212417690637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6.9817736537896478</v>
      </c>
      <c r="DG42" s="21">
        <f>EXP(-LN(2)/25)*DG41+(1-EXP(-LN(2)/25))/(LN(2)/25)*Calculateur!DB42*Calculateur!DD42*VLOOKUP('Données projet'!$B$13,Paramètres!$A$1:$I$89,3,0)*0.475*44/12</f>
        <v>21.715213759346341</v>
      </c>
      <c r="DH42" s="21">
        <f>EXP(-LN(2)/2)*DH41+(1-EXP(-LN(2)/2))/(LN(2)/2)*DB42*DE42*VLOOKUP('Données projet'!$B$13,Paramètres!$A$1:$I$89,3,0)*0.475*44/12</f>
        <v>1.078390482621217</v>
      </c>
      <c r="DI42" s="22">
        <f t="shared" si="15"/>
        <v>29.775377895757206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429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428.99999999999989</v>
      </c>
      <c r="O43" s="13">
        <f>N43*VLOOKUP('Données projet'!$B$9,Paramètres!$A$1:$I$89,3,0)*VLOOKUP('Données projet'!$B$9,Paramètres!$A$1:$I$89,5,0)</f>
        <v>239.81099999999992</v>
      </c>
      <c r="P43" s="13">
        <f t="shared" si="33"/>
        <v>58.398864347229804</v>
      </c>
      <c r="Q43" s="20">
        <f t="shared" si="53"/>
        <v>519.3821804047584</v>
      </c>
      <c r="R43" s="59">
        <f t="shared" si="0"/>
        <v>812.71551373809166</v>
      </c>
      <c r="S43" s="59">
        <f ca="1">AVERAGE(OFFSET($R$3,0,0,'Données projet'!$E$9+1,1))-AVERAGE(OFFSET($H$3,0,0,'Données projet'!$E$9+1,1))</f>
        <v>356.67698551373468</v>
      </c>
      <c r="T43" s="59">
        <f t="shared" si="34"/>
        <v>353.21836615408171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112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3.747246876754434</v>
      </c>
      <c r="AA43" s="21">
        <f>EXP(-LN(2)/25)*AA42+(1-EXP(-LN(2)/25))/(LN(2)/25)*Calculateur!V43*Calculateur!X43*VLOOKUP('Données projet'!$B$9,Paramètres!$A$1:$I$89,3,0)*0.475*44/12</f>
        <v>22.866818775540402</v>
      </c>
      <c r="AB43" s="21">
        <f>EXP(-LN(2)/2)*AB42+(1-EXP(-LN(2)/2))/(LN(2)/2)*V43*Y43*VLOOKUP('Données projet'!$B$9,Paramètres!$A$1:$I$89,3,0)*0.475*44/12</f>
        <v>1.0163152615761013</v>
      </c>
      <c r="AC43" s="22">
        <f t="shared" si="3"/>
        <v>27.630380913870937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283</v>
      </c>
      <c r="AG43" s="12">
        <f>VLOOKUP(A43,'Données projet'!$A$61:$I$81,9,0)</f>
        <v>13.3</v>
      </c>
      <c r="AH43" s="12">
        <f t="array" ref="AH43">INDEX(AG:AG,MIN(IF(ISNUMBER(AG43:AG239),ROW(AG43:AG239),"")))</f>
        <v>13.3</v>
      </c>
      <c r="AI43" s="13">
        <f>IF('Données projet'!$A$62&gt;35,AI42+AH43-AQ42,IF(A43&lt;'Données projet'!$A$62,$AF$205^A43,IF(A43='Données projet'!$A$62,'Données projet'!$B$62,AI42+AH43-AQ42)))</f>
        <v>283.00000000000017</v>
      </c>
      <c r="AJ43" s="13">
        <f>AI43*VLOOKUP('Données projet'!$B$10,Paramètres!$A$1:$I$89,3,0)*VLOOKUP('Données projet'!$B$10,Paramètres!$A$1:$I$89,5,0)</f>
        <v>176.59200000000013</v>
      </c>
      <c r="AK43" s="13">
        <f t="shared" si="35"/>
        <v>44.56312751418794</v>
      </c>
      <c r="AL43" s="20">
        <f t="shared" si="4"/>
        <v>385.1785137538775</v>
      </c>
      <c r="AM43" s="59">
        <f t="shared" si="5"/>
        <v>678.51184708721075</v>
      </c>
      <c r="AN43" s="59">
        <f ca="1">AVERAGE(OFFSET($AM$3,0,0,'Données projet'!$E$10+1,1))-AVERAGE(OFFSET($H$3,0,0,'Données projet'!$E$10+1,1))</f>
        <v>240.30073883588199</v>
      </c>
      <c r="AO43" s="59">
        <f t="shared" si="36"/>
        <v>263.20351282678843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5.7040544424168944</v>
      </c>
      <c r="AV43" s="21">
        <f>EXP(-LN(2)/25)*AV42+(1-EXP(-LN(2)/25))/(LN(2)/25)*Calculateur!AQ43*Calculateur!AS43*VLOOKUP('Données projet'!$B$10,Paramètres!$A$1:$I$89,3,0)*0.475*44/12</f>
        <v>15.754288616325521</v>
      </c>
      <c r="AW43" s="21">
        <f>EXP(-LN(2)/2)*AW42+(1-EXP(-LN(2)/2))/(LN(2)/2)*AQ43*AT43*VLOOKUP('Données projet'!$B$10,Paramètres!$A$1:$I$89,3,0)*0.475*44/12</f>
        <v>0.63096298449109689</v>
      </c>
      <c r="AX43" s="21">
        <f t="shared" si="6"/>
        <v>22.089306043233513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252.98248842635206</v>
      </c>
      <c r="BJ43" s="59">
        <f t="shared" si="38"/>
        <v>207.11938580878308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477</v>
      </c>
      <c r="BW43" s="12">
        <f>VLOOKUP(A43,'Données projet'!$A$113:$I$133,9,0)</f>
        <v>24.3</v>
      </c>
      <c r="BX43" s="12">
        <f t="array" ref="BX43">INDEX(BW:BW,MIN(IF(ISNUMBER(BW43:BW239),ROW(BW43:BW239),"")))</f>
        <v>24.3</v>
      </c>
      <c r="BY43" s="12">
        <f>IF('Données projet'!$A$114&gt;35,BY42+BX43-CG42,IF(A43&lt;'Données projet'!$A$114,$BV$205^A43,IF(A43='Données projet'!$A$114,'Données projet'!$B$114,BY42+BX43-CG42)))</f>
        <v>477.00000000000006</v>
      </c>
      <c r="BZ43" s="13">
        <f>BY43*VLOOKUP('Données projet'!$B$12,Paramètres!$A$1:$I$89,3,0)*VLOOKUP('Données projet'!$B$12,Paramètres!$A$1:$I$89,5,0)</f>
        <v>266.64300000000003</v>
      </c>
      <c r="CA43" s="13">
        <f t="shared" si="39"/>
        <v>64.136311225795083</v>
      </c>
      <c r="CB43" s="20">
        <f t="shared" si="10"/>
        <v>576.10730038492648</v>
      </c>
      <c r="CC43" s="59">
        <f t="shared" si="11"/>
        <v>869.44063371825973</v>
      </c>
      <c r="CD43" s="59">
        <f ca="1">AVERAGE(OFFSET($CC$3,0,0,'Données projet'!$E$12+1,1))-AVERAGE(OFFSET($H$3,0,0,'Données projet'!$E$12+1,1))</f>
        <v>401.06118089678654</v>
      </c>
      <c r="CE43" s="59">
        <f t="shared" si="40"/>
        <v>399.58193819355591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126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8.4313054726974741</v>
      </c>
      <c r="CL43" s="21">
        <f>EXP(-LN(2)/25)*CL42+(1-EXP(-LN(2)/25))/(LN(2)/25)*Calculateur!CG43*Calculateur!CI43*VLOOKUP('Données projet'!$B$12,Paramètres!$A$1:$I$89,3,0)*0.475*44/12</f>
        <v>25.316755107424001</v>
      </c>
      <c r="CM43" s="21">
        <f>EXP(-LN(2)/2)*CM42+(1-EXP(-LN(2)/2))/(LN(2)/2)*CG43*CJ43*VLOOKUP('Données projet'!$B$12,Paramètres!$A$1:$I$89,3,0)*0.475*44/12</f>
        <v>1.0228051419182218</v>
      </c>
      <c r="CN43" s="22">
        <f t="shared" si="12"/>
        <v>34.770865722039694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330</v>
      </c>
      <c r="CR43" s="12">
        <f>VLOOKUP(A43,'Données projet'!$A$139:$I$159,9,0)</f>
        <v>15.1</v>
      </c>
      <c r="CS43" s="12">
        <f t="array" ref="CS43">INDEX(CR:CR,MIN(IF(ISNUMBER(CR43:CR239),ROW(CR43:CR239),"")))</f>
        <v>15.1</v>
      </c>
      <c r="CT43" s="12">
        <f>IF('Données projet'!$A$140&gt;35,CT42+CS43-DB42,IF(A43&lt;'Données projet'!$A$140,$CQ$205^A43,IF(A43='Données projet'!$A$140,'Données projet'!$B$140,CT42+CS43-DB42)))</f>
        <v>330.00000000000011</v>
      </c>
      <c r="CU43" s="17">
        <f>CT43*VLOOKUP('Données projet'!$B$13,Paramètres!$A$1:$I$89,3,0)*VLOOKUP('Données projet'!$B$13,Paramètres!$A$1:$I$89,5,0)</f>
        <v>205.9200000000001</v>
      </c>
      <c r="CV43" s="13">
        <f t="shared" si="41"/>
        <v>51.042987531485686</v>
      </c>
      <c r="CW43" s="20">
        <f t="shared" si="13"/>
        <v>447.54386995067108</v>
      </c>
      <c r="CX43" s="59">
        <f t="shared" si="14"/>
        <v>740.87720328400439</v>
      </c>
      <c r="CY43" s="59">
        <f ca="1">AVERAGE(OFFSET($CX$3,0,0,'Données projet'!$E$13+1,1))-AVERAGE(OFFSET($H$3,0,0,'Données projet'!$E$13+1,1))</f>
        <v>285.77483300338548</v>
      </c>
      <c r="CZ43" s="59">
        <f t="shared" si="42"/>
        <v>320.55212417690637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82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6.8448653309002738</v>
      </c>
      <c r="DG43" s="21">
        <f>EXP(-LN(2)/25)*DG42+(1-EXP(-LN(2)/25))/(LN(2)/25)*Calculateur!DB43*Calculateur!DD43*VLOOKUP('Données projet'!$B$13,Paramètres!$A$1:$I$89,3,0)*0.475*44/12</f>
        <v>21.121410097143553</v>
      </c>
      <c r="DH43" s="21">
        <f>EXP(-LN(2)/2)*DH42+(1-EXP(-LN(2)/2))/(LN(2)/2)*DB43*DE43*VLOOKUP('Données projet'!$B$13,Paramètres!$A$1:$I$89,3,0)*0.475*44/12</f>
        <v>0.76253722302849625</v>
      </c>
      <c r="DI43" s="22">
        <f t="shared" si="15"/>
        <v>28.728812651072321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19.2</v>
      </c>
      <c r="N44" s="13">
        <f>IF('Données projet'!$A$36&gt;35,N43+M44-V43,IF(A44&lt;'Données projet'!$A$36,$K$205^A44,IF(A44='Données projet'!$A$36,'Données projet'!$B$36,N43+M44-V43)))</f>
        <v>336.19999999999987</v>
      </c>
      <c r="O44" s="13">
        <f>N44*VLOOKUP('Données projet'!$B$9,Paramètres!$A$1:$I$89,3,0)*VLOOKUP('Données projet'!$B$9,Paramètres!$A$1:$I$89,5,0)</f>
        <v>187.93579999999994</v>
      </c>
      <c r="P44" s="13">
        <f t="shared" si="33"/>
        <v>47.083297807364765</v>
      </c>
      <c r="Q44" s="20">
        <f t="shared" si="53"/>
        <v>409.3249286811602</v>
      </c>
      <c r="R44" s="59">
        <f t="shared" si="0"/>
        <v>702.65826201449352</v>
      </c>
      <c r="S44" s="59">
        <f ca="1">AVERAGE(OFFSET($R$3,0,0,'Données projet'!$E$9+1,1))-AVERAGE(OFFSET($H$3,0,0,'Données projet'!$E$9+1,1))</f>
        <v>356.67698551373468</v>
      </c>
      <c r="T44" s="59">
        <f t="shared" si="34"/>
        <v>353.21836615408171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3.6737656510961907</v>
      </c>
      <c r="AA44" s="21">
        <f>EXP(-LN(2)/25)*AA43+(1-EXP(-LN(2)/25))/(LN(2)/25)*Calculateur!V44*Calculateur!X44*VLOOKUP('Données projet'!$B$9,Paramètres!$A$1:$I$89,3,0)*0.475*44/12</f>
        <v>22.241524413609515</v>
      </c>
      <c r="AB44" s="21">
        <f>EXP(-LN(2)/2)*AB43+(1-EXP(-LN(2)/2))/(LN(2)/2)*V44*Y44*VLOOKUP('Données projet'!$B$9,Paramètres!$A$1:$I$89,3,0)*0.475*44/12</f>
        <v>0.71864341328384107</v>
      </c>
      <c r="AC44" s="22">
        <f t="shared" si="3"/>
        <v>26.633933477989544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224.00000000000017</v>
      </c>
      <c r="AJ44" s="13">
        <f>AI44*VLOOKUP('Données projet'!$B$10,Paramètres!$A$1:$I$89,3,0)*VLOOKUP('Données projet'!$B$10,Paramètres!$A$1:$I$89,5,0)</f>
        <v>139.77600000000012</v>
      </c>
      <c r="AK44" s="13">
        <f t="shared" si="35"/>
        <v>36.245685459195322</v>
      </c>
      <c r="AL44" s="20">
        <f t="shared" si="4"/>
        <v>306.57110217476543</v>
      </c>
      <c r="AM44" s="59">
        <f t="shared" si="5"/>
        <v>599.90443550809869</v>
      </c>
      <c r="AN44" s="59">
        <f ca="1">AVERAGE(OFFSET($AM$3,0,0,'Données projet'!$E$10+1,1))-AVERAGE(OFFSET($H$3,0,0,'Données projet'!$E$10+1,1))</f>
        <v>240.30073883588199</v>
      </c>
      <c r="AO44" s="59">
        <f t="shared" si="36"/>
        <v>263.20351282678843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5.5922014139307734</v>
      </c>
      <c r="AV44" s="21">
        <f>EXP(-LN(2)/25)*AV43+(1-EXP(-LN(2)/25))/(LN(2)/25)*Calculateur!AQ44*Calculateur!AS44*VLOOKUP('Données projet'!$B$10,Paramètres!$A$1:$I$89,3,0)*0.475*44/12</f>
        <v>15.323486765630069</v>
      </c>
      <c r="AW44" s="21">
        <f>EXP(-LN(2)/2)*AW43+(1-EXP(-LN(2)/2))/(LN(2)/2)*AQ44*AT44*VLOOKUP('Données projet'!$B$10,Paramètres!$A$1:$I$89,3,0)*0.475*44/12</f>
        <v>0.44615820501135706</v>
      </c>
      <c r="AX44" s="21">
        <f t="shared" si="6"/>
        <v>21.3618463845722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252.98248842635206</v>
      </c>
      <c r="BJ44" s="59">
        <f t="shared" si="38"/>
        <v>207.11938580878308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21</v>
      </c>
      <c r="BY44" s="12">
        <f>IF('Données projet'!$A$114&gt;35,BY43+BX44-CG43,IF(A44&lt;'Données projet'!$A$114,$BV$205^A44,IF(A44='Données projet'!$A$114,'Données projet'!$B$114,BY43+BX44-CG43)))</f>
        <v>372.00000000000006</v>
      </c>
      <c r="BZ44" s="13">
        <f>BY44*VLOOKUP('Données projet'!$B$12,Paramètres!$A$1:$I$89,3,0)*VLOOKUP('Données projet'!$B$12,Paramètres!$A$1:$I$89,5,0)</f>
        <v>207.94800000000001</v>
      </c>
      <c r="CA44" s="13">
        <f t="shared" si="39"/>
        <v>51.486916127068838</v>
      </c>
      <c r="CB44" s="20">
        <f t="shared" si="10"/>
        <v>451.84914558797823</v>
      </c>
      <c r="CC44" s="59">
        <f t="shared" si="11"/>
        <v>745.18247892131149</v>
      </c>
      <c r="CD44" s="59">
        <f ca="1">AVERAGE(OFFSET($CC$3,0,0,'Données projet'!$E$12+1,1))-AVERAGE(OFFSET($H$3,0,0,'Données projet'!$E$12+1,1))</f>
        <v>401.06118089678654</v>
      </c>
      <c r="CE44" s="59">
        <f t="shared" si="40"/>
        <v>399.58193819355591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8.265972714966427</v>
      </c>
      <c r="CL44" s="21">
        <f>EXP(-LN(2)/25)*CL43+(1-EXP(-LN(2)/25))/(LN(2)/25)*Calculateur!CG44*Calculateur!CI44*VLOOKUP('Données projet'!$B$12,Paramètres!$A$1:$I$89,3,0)*0.475*44/12</f>
        <v>24.624467107661204</v>
      </c>
      <c r="CM44" s="21">
        <f>EXP(-LN(2)/2)*CM43+(1-EXP(-LN(2)/2))/(LN(2)/2)*CG44*CJ44*VLOOKUP('Données projet'!$B$12,Paramètres!$A$1:$I$89,3,0)*0.475*44/12</f>
        <v>0.72323245168284378</v>
      </c>
      <c r="CN44" s="22">
        <f t="shared" si="12"/>
        <v>33.613672274310474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12.4</v>
      </c>
      <c r="CT44" s="12">
        <f>IF('Données projet'!$A$140&gt;35,CT43+CS44-DB43,IF(A44&lt;'Données projet'!$A$140,$CQ$205^A44,IF(A44='Données projet'!$A$140,'Données projet'!$B$140,CT43+CS44-DB43)))</f>
        <v>260.40000000000009</v>
      </c>
      <c r="CU44" s="17">
        <f>CT44*VLOOKUP('Données projet'!$B$13,Paramètres!$A$1:$I$89,3,0)*VLOOKUP('Données projet'!$B$13,Paramètres!$A$1:$I$89,5,0)</f>
        <v>162.48960000000005</v>
      </c>
      <c r="CV44" s="13">
        <f t="shared" si="41"/>
        <v>41.403546033820696</v>
      </c>
      <c r="CW44" s="20">
        <f t="shared" si="13"/>
        <v>355.11389600890448</v>
      </c>
      <c r="CX44" s="59">
        <f t="shared" si="14"/>
        <v>648.44722934223773</v>
      </c>
      <c r="CY44" s="59">
        <f ca="1">AVERAGE(OFFSET($CX$3,0,0,'Données projet'!$E$13+1,1))-AVERAGE(OFFSET($H$3,0,0,'Données projet'!$E$13+1,1))</f>
        <v>285.77483300338548</v>
      </c>
      <c r="CZ44" s="59">
        <f t="shared" si="42"/>
        <v>320.55212417690637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6.7106416967169285</v>
      </c>
      <c r="DG44" s="21">
        <f>EXP(-LN(2)/25)*DG43+(1-EXP(-LN(2)/25))/(LN(2)/25)*Calculateur!DB44*Calculateur!DD44*VLOOKUP('Données projet'!$B$13,Paramètres!$A$1:$I$89,3,0)*0.475*44/12</f>
        <v>20.543844027310477</v>
      </c>
      <c r="DH44" s="21">
        <f>EXP(-LN(2)/2)*DH43+(1-EXP(-LN(2)/2))/(LN(2)/2)*DB44*DE44*VLOOKUP('Données projet'!$B$13,Paramètres!$A$1:$I$89,3,0)*0.475*44/12</f>
        <v>0.53919524131060848</v>
      </c>
      <c r="DI44" s="22">
        <f t="shared" si="15"/>
        <v>27.793680965338012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19.2</v>
      </c>
      <c r="N45" s="13">
        <f>IF('Données projet'!$A$36&gt;35,N44+M45-V44,IF(A45&lt;'Données projet'!$A$36,$K$205^A45,IF(A45='Données projet'!$A$36,'Données projet'!$B$36,N44+M45-V44)))</f>
        <v>355.39999999999986</v>
      </c>
      <c r="O45" s="13">
        <f>N45*VLOOKUP('Données projet'!$B$9,Paramètres!$A$1:$I$89,3,0)*VLOOKUP('Données projet'!$B$9,Paramètres!$A$1:$I$89,5,0)</f>
        <v>198.66859999999994</v>
      </c>
      <c r="P45" s="13">
        <f t="shared" si="33"/>
        <v>49.451452656287465</v>
      </c>
      <c r="Q45" s="20">
        <f t="shared" si="53"/>
        <v>432.14242504303388</v>
      </c>
      <c r="R45" s="59">
        <f t="shared" si="0"/>
        <v>725.47575837636714</v>
      </c>
      <c r="S45" s="59">
        <f ca="1">AVERAGE(OFFSET($R$3,0,0,'Données projet'!$E$9+1,1))-AVERAGE(OFFSET($H$3,0,0,'Données projet'!$E$9+1,1))</f>
        <v>356.67698551373468</v>
      </c>
      <c r="T45" s="59">
        <f t="shared" si="34"/>
        <v>353.21836615408171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3.6017253474539834</v>
      </c>
      <c r="AA45" s="21">
        <f>EXP(-LN(2)/25)*AA44+(1-EXP(-LN(2)/25))/(LN(2)/25)*Calculateur!V45*Calculateur!X45*VLOOKUP('Données projet'!$B$9,Paramètres!$A$1:$I$89,3,0)*0.475*44/12</f>
        <v>21.633328758888428</v>
      </c>
      <c r="AB45" s="21">
        <f>EXP(-LN(2)/2)*AB44+(1-EXP(-LN(2)/2))/(LN(2)/2)*V45*Y45*VLOOKUP('Données projet'!$B$9,Paramètres!$A$1:$I$89,3,0)*0.475*44/12</f>
        <v>0.50815763078805065</v>
      </c>
      <c r="AC45" s="22">
        <f t="shared" si="3"/>
        <v>25.743211737130462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235.00000000000017</v>
      </c>
      <c r="AJ45" s="13">
        <f>AI45*VLOOKUP('Données projet'!$B$10,Paramètres!$A$1:$I$89,3,0)*VLOOKUP('Données projet'!$B$10,Paramètres!$A$1:$I$89,5,0)</f>
        <v>146.6400000000001</v>
      </c>
      <c r="AK45" s="13">
        <f t="shared" si="35"/>
        <v>37.814009712703054</v>
      </c>
      <c r="AL45" s="20">
        <f t="shared" si="4"/>
        <v>321.25740024962471</v>
      </c>
      <c r="AM45" s="59">
        <f t="shared" si="5"/>
        <v>614.59073358295802</v>
      </c>
      <c r="AN45" s="59">
        <f ca="1">AVERAGE(OFFSET($AM$3,0,0,'Données projet'!$E$10+1,1))-AVERAGE(OFFSET($H$3,0,0,'Données projet'!$E$10+1,1))</f>
        <v>240.30073883588199</v>
      </c>
      <c r="AO45" s="59">
        <f t="shared" si="36"/>
        <v>263.20351282678843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5.4825417551096542</v>
      </c>
      <c r="AV45" s="21">
        <f>EXP(-LN(2)/25)*AV44+(1-EXP(-LN(2)/25))/(LN(2)/25)*Calculateur!AQ45*Calculateur!AS45*VLOOKUP('Données projet'!$B$10,Paramètres!$A$1:$I$89,3,0)*0.475*44/12</f>
        <v>14.904465214196767</v>
      </c>
      <c r="AW45" s="21">
        <f>EXP(-LN(2)/2)*AW44+(1-EXP(-LN(2)/2))/(LN(2)/2)*AQ45*AT45*VLOOKUP('Données projet'!$B$10,Paramètres!$A$1:$I$89,3,0)*0.475*44/12</f>
        <v>0.3154814922455485</v>
      </c>
      <c r="AX45" s="21">
        <f t="shared" si="6"/>
        <v>20.702488461551969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252.98248842635206</v>
      </c>
      <c r="BJ45" s="59">
        <f t="shared" si="38"/>
        <v>207.11938580878308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21</v>
      </c>
      <c r="BY45" s="12">
        <f>IF('Données projet'!$A$114&gt;35,BY44+BX45-CG44,IF(A45&lt;'Données projet'!$A$114,$BV$205^A45,IF(A45='Données projet'!$A$114,'Données projet'!$B$114,BY44+BX45-CG44)))</f>
        <v>393.00000000000006</v>
      </c>
      <c r="BZ45" s="13">
        <f>BY45*VLOOKUP('Données projet'!$B$12,Paramètres!$A$1:$I$89,3,0)*VLOOKUP('Données projet'!$B$12,Paramètres!$A$1:$I$89,5,0)</f>
        <v>219.68700000000001</v>
      </c>
      <c r="CA45" s="13">
        <f t="shared" si="39"/>
        <v>54.046851081096591</v>
      </c>
      <c r="CB45" s="20">
        <f t="shared" si="10"/>
        <v>476.75312396624321</v>
      </c>
      <c r="CC45" s="59">
        <f t="shared" si="11"/>
        <v>770.08645729957652</v>
      </c>
      <c r="CD45" s="59">
        <f ca="1">AVERAGE(OFFSET($CC$3,0,0,'Données projet'!$E$12+1,1))-AVERAGE(OFFSET($H$3,0,0,'Données projet'!$E$12+1,1))</f>
        <v>401.06118089678654</v>
      </c>
      <c r="CE45" s="59">
        <f t="shared" si="40"/>
        <v>399.58193819355591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8.1038820317714606</v>
      </c>
      <c r="CL45" s="21">
        <f>EXP(-LN(2)/25)*CL44+(1-EXP(-LN(2)/25))/(LN(2)/25)*Calculateur!CG45*Calculateur!CI45*VLOOKUP('Données projet'!$B$12,Paramètres!$A$1:$I$89,3,0)*0.475*44/12</f>
        <v>23.951109759657761</v>
      </c>
      <c r="CM45" s="21">
        <f>EXP(-LN(2)/2)*CM44+(1-EXP(-LN(2)/2))/(LN(2)/2)*CG45*CJ45*VLOOKUP('Données projet'!$B$12,Paramètres!$A$1:$I$89,3,0)*0.475*44/12</f>
        <v>0.5114025709591109</v>
      </c>
      <c r="CN45" s="22">
        <f t="shared" si="12"/>
        <v>32.566394362388337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12.4</v>
      </c>
      <c r="CT45" s="12">
        <f>IF('Données projet'!$A$140&gt;35,CT44+CS45-DB44,IF(A45&lt;'Données projet'!$A$140,$CQ$205^A45,IF(A45='Données projet'!$A$140,'Données projet'!$B$140,CT44+CS45-DB44)))</f>
        <v>272.80000000000007</v>
      </c>
      <c r="CU45" s="17">
        <f>CT45*VLOOKUP('Données projet'!$B$13,Paramètres!$A$1:$I$89,3,0)*VLOOKUP('Données projet'!$B$13,Paramètres!$A$1:$I$89,5,0)</f>
        <v>170.22720000000004</v>
      </c>
      <c r="CV45" s="13">
        <f t="shared" si="41"/>
        <v>43.140904871338378</v>
      </c>
      <c r="CW45" s="20">
        <f t="shared" si="13"/>
        <v>371.6161159842477</v>
      </c>
      <c r="CX45" s="59">
        <f t="shared" si="14"/>
        <v>664.94944931758096</v>
      </c>
      <c r="CY45" s="59">
        <f ca="1">AVERAGE(OFFSET($CX$3,0,0,'Données projet'!$E$13+1,1))-AVERAGE(OFFSET($H$3,0,0,'Données projet'!$E$13+1,1))</f>
        <v>285.77483300338548</v>
      </c>
      <c r="CZ45" s="59">
        <f t="shared" si="42"/>
        <v>320.55212417690637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6.5790501061315858</v>
      </c>
      <c r="DG45" s="21">
        <f>EXP(-LN(2)/25)*DG44+(1-EXP(-LN(2)/25))/(LN(2)/25)*Calculateur!DB45*Calculateur!DD45*VLOOKUP('Données projet'!$B$13,Paramètres!$A$1:$I$89,3,0)*0.475*44/12</f>
        <v>19.98207153202987</v>
      </c>
      <c r="DH45" s="21">
        <f>EXP(-LN(2)/2)*DH44+(1-EXP(-LN(2)/2))/(LN(2)/2)*DB45*DE45*VLOOKUP('Données projet'!$B$13,Paramètres!$A$1:$I$89,3,0)*0.475*44/12</f>
        <v>0.38126861151424812</v>
      </c>
      <c r="DI45" s="22">
        <f t="shared" si="15"/>
        <v>26.942390249675704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19.2</v>
      </c>
      <c r="N46" s="13">
        <f>IF('Données projet'!$A$36&gt;35,N45+M46-V45,IF(A46&lt;'Données projet'!$A$36,$K$205^A46,IF(A46='Données projet'!$A$36,'Données projet'!$B$36,N45+M46-V45)))</f>
        <v>374.59999999999985</v>
      </c>
      <c r="O46" s="13">
        <f>N46*VLOOKUP('Données projet'!$B$9,Paramètres!$A$1:$I$89,3,0)*VLOOKUP('Données projet'!$B$9,Paramètres!$A$1:$I$89,5,0)</f>
        <v>209.40139999999994</v>
      </c>
      <c r="P46" s="13">
        <f t="shared" si="33"/>
        <v>51.804754813749405</v>
      </c>
      <c r="Q46" s="20">
        <f t="shared" si="53"/>
        <v>454.93405296728002</v>
      </c>
      <c r="R46" s="59">
        <f t="shared" si="0"/>
        <v>748.26738630061334</v>
      </c>
      <c r="S46" s="59">
        <f ca="1">AVERAGE(OFFSET($R$3,0,0,'Données projet'!$E$9+1,1))-AVERAGE(OFFSET($H$3,0,0,'Données projet'!$E$9+1,1))</f>
        <v>356.67698551373468</v>
      </c>
      <c r="T46" s="59">
        <f t="shared" si="34"/>
        <v>353.21836615408171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3.5310977102259531</v>
      </c>
      <c r="AA46" s="21">
        <f>EXP(-LN(2)/25)*AA45+(1-EXP(-LN(2)/25))/(LN(2)/25)*Calculateur!V46*Calculateur!X46*VLOOKUP('Données projet'!$B$9,Paramètres!$A$1:$I$89,3,0)*0.475*44/12</f>
        <v>21.041764246329308</v>
      </c>
      <c r="AB46" s="21">
        <f>EXP(-LN(2)/2)*AB45+(1-EXP(-LN(2)/2))/(LN(2)/2)*V46*Y46*VLOOKUP('Données projet'!$B$9,Paramètres!$A$1:$I$89,3,0)*0.475*44/12</f>
        <v>0.35932170664192054</v>
      </c>
      <c r="AC46" s="22">
        <f t="shared" si="3"/>
        <v>24.932183663197183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246.00000000000017</v>
      </c>
      <c r="AJ46" s="13">
        <f>AI46*VLOOKUP('Données projet'!$B$10,Paramètres!$A$1:$I$89,3,0)*VLOOKUP('Données projet'!$B$10,Paramètres!$A$1:$I$89,5,0)</f>
        <v>153.5040000000001</v>
      </c>
      <c r="AK46" s="13">
        <f t="shared" si="35"/>
        <v>39.373808884365637</v>
      </c>
      <c r="AL46" s="20">
        <f t="shared" si="4"/>
        <v>335.92885047360363</v>
      </c>
      <c r="AM46" s="59">
        <f t="shared" si="5"/>
        <v>629.26218380693695</v>
      </c>
      <c r="AN46" s="59">
        <f ca="1">AVERAGE(OFFSET($AM$3,0,0,'Données projet'!$E$10+1,1))-AVERAGE(OFFSET($H$3,0,0,'Données projet'!$E$10+1,1))</f>
        <v>240.30073883588199</v>
      </c>
      <c r="AO46" s="59">
        <f t="shared" si="36"/>
        <v>263.20351282678843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5.3750324553122297</v>
      </c>
      <c r="AV46" s="21">
        <f>EXP(-LN(2)/25)*AV45+(1-EXP(-LN(2)/25))/(LN(2)/25)*Calculateur!AQ46*Calculateur!AS46*VLOOKUP('Données projet'!$B$10,Paramètres!$A$1:$I$89,3,0)*0.475*44/12</f>
        <v>14.496901829122795</v>
      </c>
      <c r="AW46" s="21">
        <f>EXP(-LN(2)/2)*AW45+(1-EXP(-LN(2)/2))/(LN(2)/2)*AQ46*AT46*VLOOKUP('Données projet'!$B$10,Paramètres!$A$1:$I$89,3,0)*0.475*44/12</f>
        <v>0.22307910250567856</v>
      </c>
      <c r="AX46" s="21">
        <f t="shared" si="6"/>
        <v>20.095013386940703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252.98248842635206</v>
      </c>
      <c r="BJ46" s="59">
        <f t="shared" si="38"/>
        <v>207.11938580878308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</v>
      </c>
      <c r="BY46" s="12">
        <f>IF('Données projet'!$A$114&gt;35,BY45+BX46-CG45,IF(A46&lt;'Données projet'!$A$114,$BV$205^A46,IF(A46='Données projet'!$A$114,'Données projet'!$B$114,BY45+BX46-CG45)))</f>
        <v>414.00000000000006</v>
      </c>
      <c r="BZ46" s="13">
        <f>BY46*VLOOKUP('Données projet'!$B$12,Paramètres!$A$1:$I$89,3,0)*VLOOKUP('Données projet'!$B$12,Paramètres!$A$1:$I$89,5,0)</f>
        <v>231.42600000000002</v>
      </c>
      <c r="CA46" s="13">
        <f t="shared" si="39"/>
        <v>56.590905067453221</v>
      </c>
      <c r="CB46" s="20">
        <f t="shared" si="10"/>
        <v>501.62944299248107</v>
      </c>
      <c r="CC46" s="59">
        <f t="shared" si="11"/>
        <v>794.96277632581439</v>
      </c>
      <c r="CD46" s="59">
        <f ca="1">AVERAGE(OFFSET($CC$3,0,0,'Données projet'!$E$12+1,1))-AVERAGE(OFFSET($H$3,0,0,'Données projet'!$E$12+1,1))</f>
        <v>401.06118089678654</v>
      </c>
      <c r="CE46" s="59">
        <f t="shared" si="40"/>
        <v>399.58193819355591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7.9449698480083928</v>
      </c>
      <c r="CL46" s="21">
        <f>EXP(-LN(2)/25)*CL45+(1-EXP(-LN(2)/25))/(LN(2)/25)*Calculateur!CG46*Calculateur!CI46*VLOOKUP('Données projet'!$B$12,Paramètres!$A$1:$I$89,3,0)*0.475*44/12</f>
        <v>23.2961654037458</v>
      </c>
      <c r="CM46" s="21">
        <f>EXP(-LN(2)/2)*CM45+(1-EXP(-LN(2)/2))/(LN(2)/2)*CG46*CJ46*VLOOKUP('Données projet'!$B$12,Paramètres!$A$1:$I$89,3,0)*0.475*44/12</f>
        <v>0.36161622584142189</v>
      </c>
      <c r="CN46" s="22">
        <f t="shared" si="12"/>
        <v>31.602751477595618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12.4</v>
      </c>
      <c r="CT46" s="12">
        <f>IF('Données projet'!$A$140&gt;35,CT45+CS46-DB45,IF(A46&lt;'Données projet'!$A$140,$CQ$205^A46,IF(A46='Données projet'!$A$140,'Données projet'!$B$140,CT45+CS46-DB45)))</f>
        <v>285.20000000000005</v>
      </c>
      <c r="CU46" s="17">
        <f>CT46*VLOOKUP('Données projet'!$B$13,Paramètres!$A$1:$I$89,3,0)*VLOOKUP('Données projet'!$B$13,Paramètres!$A$1:$I$89,5,0)</f>
        <v>177.96480000000003</v>
      </c>
      <c r="CV46" s="13">
        <f t="shared" si="41"/>
        <v>44.869092441133326</v>
      </c>
      <c r="CW46" s="20">
        <f t="shared" si="13"/>
        <v>388.10236266830719</v>
      </c>
      <c r="CX46" s="59">
        <f t="shared" si="14"/>
        <v>681.43569600164051</v>
      </c>
      <c r="CY46" s="59">
        <f ca="1">AVERAGE(OFFSET($CX$3,0,0,'Données projet'!$E$13+1,1))-AVERAGE(OFFSET($H$3,0,0,'Données projet'!$E$13+1,1))</f>
        <v>285.77483300338548</v>
      </c>
      <c r="CZ46" s="59">
        <f t="shared" si="42"/>
        <v>320.55212417690637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6.4500389463746766</v>
      </c>
      <c r="DG46" s="21">
        <f>EXP(-LN(2)/25)*DG45+(1-EXP(-LN(2)/25))/(LN(2)/25)*Calculateur!DB46*Calculateur!DD46*VLOOKUP('Données projet'!$B$13,Paramètres!$A$1:$I$89,3,0)*0.475*44/12</f>
        <v>19.435660735175041</v>
      </c>
      <c r="DH46" s="21">
        <f>EXP(-LN(2)/2)*DH45+(1-EXP(-LN(2)/2))/(LN(2)/2)*DB46*DE46*VLOOKUP('Données projet'!$B$13,Paramètres!$A$1:$I$89,3,0)*0.475*44/12</f>
        <v>0.26959762065530424</v>
      </c>
      <c r="DI46" s="22">
        <f t="shared" si="15"/>
        <v>26.155297302205021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19.2</v>
      </c>
      <c r="N47" s="13">
        <f>IF('Données projet'!$A$36&gt;35,N46+M47-V46,IF(A47&lt;'Données projet'!$A$36,$K$205^A47,IF(A47='Données projet'!$A$36,'Données projet'!$B$36,N46+M47-V46)))</f>
        <v>393.79999999999984</v>
      </c>
      <c r="O47" s="13">
        <f>N47*VLOOKUP('Données projet'!$B$9,Paramètres!$A$1:$I$89,3,0)*VLOOKUP('Données projet'!$B$9,Paramètres!$A$1:$I$89,5,0)</f>
        <v>220.13419999999991</v>
      </c>
      <c r="P47" s="13">
        <f t="shared" si="33"/>
        <v>54.144052392262886</v>
      </c>
      <c r="Q47" s="20">
        <f t="shared" si="53"/>
        <v>477.701289583191</v>
      </c>
      <c r="R47" s="59">
        <f t="shared" si="0"/>
        <v>771.03462291652431</v>
      </c>
      <c r="S47" s="59">
        <f ca="1">AVERAGE(OFFSET($R$3,0,0,'Données projet'!$E$9+1,1))-AVERAGE(OFFSET($H$3,0,0,'Données projet'!$E$9+1,1))</f>
        <v>356.67698551373468</v>
      </c>
      <c r="T47" s="59">
        <f t="shared" si="34"/>
        <v>353.21836615408171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3.4618550378853596</v>
      </c>
      <c r="AA47" s="21">
        <f>EXP(-LN(2)/25)*AA46+(1-EXP(-LN(2)/25))/(LN(2)/25)*Calculateur!V47*Calculateur!X47*VLOOKUP('Données projet'!$B$9,Paramètres!$A$1:$I$89,3,0)*0.475*44/12</f>
        <v>20.466376096475141</v>
      </c>
      <c r="AB47" s="21">
        <f>EXP(-LN(2)/2)*AB46+(1-EXP(-LN(2)/2))/(LN(2)/2)*V47*Y47*VLOOKUP('Données projet'!$B$9,Paramètres!$A$1:$I$89,3,0)*0.475*44/12</f>
        <v>0.25407881539402533</v>
      </c>
      <c r="AC47" s="22">
        <f t="shared" si="3"/>
        <v>24.182309949754526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257.00000000000017</v>
      </c>
      <c r="AJ47" s="13">
        <f>AI47*VLOOKUP('Données projet'!$B$10,Paramètres!$A$1:$I$89,3,0)*VLOOKUP('Données projet'!$B$10,Paramètres!$A$1:$I$89,5,0)</f>
        <v>160.36800000000011</v>
      </c>
      <c r="AK47" s="13">
        <f t="shared" si="35"/>
        <v>40.925507732566111</v>
      </c>
      <c r="AL47" s="20">
        <f t="shared" si="4"/>
        <v>350.58619263421946</v>
      </c>
      <c r="AM47" s="59">
        <f t="shared" si="5"/>
        <v>643.91952596755277</v>
      </c>
      <c r="AN47" s="59">
        <f ca="1">AVERAGE(OFFSET($AM$3,0,0,'Données projet'!$E$10+1,1))-AVERAGE(OFFSET($H$3,0,0,'Données projet'!$E$10+1,1))</f>
        <v>240.30073883588199</v>
      </c>
      <c r="AO47" s="59">
        <f t="shared" si="36"/>
        <v>263.20351282678843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5.2696313473096348</v>
      </c>
      <c r="AV47" s="21">
        <f>EXP(-LN(2)/25)*AV46+(1-EXP(-LN(2)/25))/(LN(2)/25)*Calculateur!AQ47*Calculateur!AS47*VLOOKUP('Données projet'!$B$10,Paramètres!$A$1:$I$89,3,0)*0.475*44/12</f>
        <v>14.100483286246497</v>
      </c>
      <c r="AW47" s="21">
        <f>EXP(-LN(2)/2)*AW46+(1-EXP(-LN(2)/2))/(LN(2)/2)*AQ47*AT47*VLOOKUP('Données projet'!$B$10,Paramètres!$A$1:$I$89,3,0)*0.475*44/12</f>
        <v>0.15774074612277425</v>
      </c>
      <c r="AX47" s="21">
        <f t="shared" si="6"/>
        <v>19.527855379678904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252.98248842635206</v>
      </c>
      <c r="BJ47" s="59">
        <f t="shared" si="38"/>
        <v>207.11938580878308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</v>
      </c>
      <c r="BY47" s="12">
        <f>IF('Données projet'!$A$114&gt;35,BY46+BX47-CG46,IF(A47&lt;'Données projet'!$A$114,$BV$205^A47,IF(A47='Données projet'!$A$114,'Données projet'!$B$114,BY46+BX47-CG46)))</f>
        <v>435.00000000000006</v>
      </c>
      <c r="BZ47" s="13">
        <f>BY47*VLOOKUP('Données projet'!$B$12,Paramètres!$A$1:$I$89,3,0)*VLOOKUP('Données projet'!$B$12,Paramètres!$A$1:$I$89,5,0)</f>
        <v>243.16500000000002</v>
      </c>
      <c r="CA47" s="13">
        <f t="shared" si="39"/>
        <v>59.119975548046618</v>
      </c>
      <c r="CB47" s="20">
        <f t="shared" si="10"/>
        <v>526.47966574618124</v>
      </c>
      <c r="CC47" s="59">
        <f t="shared" si="11"/>
        <v>819.81299907951461</v>
      </c>
      <c r="CD47" s="59">
        <f ca="1">AVERAGE(OFFSET($CC$3,0,0,'Données projet'!$E$12+1,1))-AVERAGE(OFFSET($H$3,0,0,'Données projet'!$E$12+1,1))</f>
        <v>401.06118089678654</v>
      </c>
      <c r="CE47" s="59">
        <f t="shared" si="40"/>
        <v>399.58193819355591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7.7891738352420576</v>
      </c>
      <c r="CL47" s="21">
        <f>EXP(-LN(2)/25)*CL46+(1-EXP(-LN(2)/25))/(LN(2)/25)*Calculateur!CG47*Calculateur!CI47*VLOOKUP('Données projet'!$B$12,Paramètres!$A$1:$I$89,3,0)*0.475*44/12</f>
        <v>22.659130535688277</v>
      </c>
      <c r="CM47" s="21">
        <f>EXP(-LN(2)/2)*CM46+(1-EXP(-LN(2)/2))/(LN(2)/2)*CG47*CJ47*VLOOKUP('Données projet'!$B$12,Paramètres!$A$1:$I$89,3,0)*0.475*44/12</f>
        <v>0.25570128547955545</v>
      </c>
      <c r="CN47" s="22">
        <f t="shared" si="12"/>
        <v>30.70400565640989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12.4</v>
      </c>
      <c r="CT47" s="12">
        <f>IF('Données projet'!$A$140&gt;35,CT46+CS47-DB46,IF(A47&lt;'Données projet'!$A$140,$CQ$205^A47,IF(A47='Données projet'!$A$140,'Données projet'!$B$140,CT46+CS47-DB46)))</f>
        <v>297.60000000000002</v>
      </c>
      <c r="CU47" s="17">
        <f>CT47*VLOOKUP('Données projet'!$B$13,Paramètres!$A$1:$I$89,3,0)*VLOOKUP('Données projet'!$B$13,Paramètres!$A$1:$I$89,5,0)</f>
        <v>185.70240000000001</v>
      </c>
      <c r="CV47" s="13">
        <f t="shared" si="41"/>
        <v>46.588553069776829</v>
      </c>
      <c r="CW47" s="20">
        <f t="shared" si="13"/>
        <v>404.57340992986133</v>
      </c>
      <c r="CX47" s="59">
        <f t="shared" si="14"/>
        <v>697.90674326319458</v>
      </c>
      <c r="CY47" s="59">
        <f ca="1">AVERAGE(OFFSET($CX$3,0,0,'Données projet'!$E$13+1,1))-AVERAGE(OFFSET($H$3,0,0,'Données projet'!$E$13+1,1))</f>
        <v>285.77483300338548</v>
      </c>
      <c r="CZ47" s="59">
        <f t="shared" si="42"/>
        <v>320.55212417690637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6.3235576167715628</v>
      </c>
      <c r="DG47" s="21">
        <f>EXP(-LN(2)/25)*DG46+(1-EXP(-LN(2)/25))/(LN(2)/25)*Calculateur!DB47*Calculateur!DD47*VLOOKUP('Données projet'!$B$13,Paramètres!$A$1:$I$89,3,0)*0.475*44/12</f>
        <v>18.904191570294703</v>
      </c>
      <c r="DH47" s="21">
        <f>EXP(-LN(2)/2)*DH46+(1-EXP(-LN(2)/2))/(LN(2)/2)*DB47*DE47*VLOOKUP('Données projet'!$B$13,Paramètres!$A$1:$I$89,3,0)*0.475*44/12</f>
        <v>0.19063430575712406</v>
      </c>
      <c r="DI47" s="22">
        <f t="shared" si="15"/>
        <v>25.418383492823391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19.2</v>
      </c>
      <c r="N48" s="13">
        <f>IF('Données projet'!$A$36&gt;35,N47+M48-V47,IF(A48&lt;'Données projet'!$A$36,$K$205^A48,IF(A48='Données projet'!$A$36,'Données projet'!$B$36,N47+M48-V47)))</f>
        <v>412.99999999999983</v>
      </c>
      <c r="O48" s="13">
        <f>N48*VLOOKUP('Données projet'!$B$9,Paramètres!$A$1:$I$89,3,0)*VLOOKUP('Données projet'!$B$9,Paramètres!$A$1:$I$89,5,0)</f>
        <v>230.8669999999999</v>
      </c>
      <c r="P48" s="13">
        <f t="shared" si="33"/>
        <v>56.470106131334084</v>
      </c>
      <c r="Q48" s="20">
        <f t="shared" si="53"/>
        <v>500.44545984540667</v>
      </c>
      <c r="R48" s="59">
        <f t="shared" si="0"/>
        <v>793.77879317873999</v>
      </c>
      <c r="S48" s="59">
        <f ca="1">AVERAGE(OFFSET($R$3,0,0,'Données projet'!$E$9+1,1))-AVERAGE(OFFSET($H$3,0,0,'Données projet'!$E$9+1,1))</f>
        <v>356.67698551373468</v>
      </c>
      <c r="T48" s="59">
        <f t="shared" si="34"/>
        <v>353.21836615408171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3.3939701721155053</v>
      </c>
      <c r="AA48" s="21">
        <f>EXP(-LN(2)/25)*AA47+(1-EXP(-LN(2)/25))/(LN(2)/25)*Calculateur!V48*Calculateur!X48*VLOOKUP('Données projet'!$B$9,Paramètres!$A$1:$I$89,3,0)*0.475*44/12</f>
        <v>19.906721965837086</v>
      </c>
      <c r="AB48" s="21">
        <f>EXP(-LN(2)/2)*AB47+(1-EXP(-LN(2)/2))/(LN(2)/2)*V48*Y48*VLOOKUP('Données projet'!$B$9,Paramètres!$A$1:$I$89,3,0)*0.475*44/12</f>
        <v>0.17966085332096027</v>
      </c>
      <c r="AC48" s="22">
        <f t="shared" si="3"/>
        <v>23.480352991273552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268.00000000000017</v>
      </c>
      <c r="AJ48" s="13">
        <f>AI48*VLOOKUP('Données projet'!$B$10,Paramètres!$A$1:$I$89,3,0)*VLOOKUP('Données projet'!$B$10,Paramètres!$A$1:$I$89,5,0)</f>
        <v>167.23200000000011</v>
      </c>
      <c r="AK48" s="13">
        <f t="shared" si="35"/>
        <v>42.469492598516958</v>
      </c>
      <c r="AL48" s="20">
        <f t="shared" si="4"/>
        <v>365.23009960908388</v>
      </c>
      <c r="AM48" s="59">
        <f t="shared" si="5"/>
        <v>658.56343294241719</v>
      </c>
      <c r="AN48" s="59">
        <f ca="1">AVERAGE(OFFSET($AM$3,0,0,'Données projet'!$E$10+1,1))-AVERAGE(OFFSET($H$3,0,0,'Données projet'!$E$10+1,1))</f>
        <v>240.30073883588199</v>
      </c>
      <c r="AO48" s="59">
        <f t="shared" si="36"/>
        <v>263.20351282678843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5.1662970907466432</v>
      </c>
      <c r="AV48" s="21">
        <f>EXP(-LN(2)/25)*AV47+(1-EXP(-LN(2)/25))/(LN(2)/25)*Calculateur!AQ48*Calculateur!AS48*VLOOKUP('Données projet'!$B$10,Paramètres!$A$1:$I$89,3,0)*0.475*44/12</f>
        <v>13.714904829271898</v>
      </c>
      <c r="AW48" s="21">
        <f>EXP(-LN(2)/2)*AW47+(1-EXP(-LN(2)/2))/(LN(2)/2)*AQ48*AT48*VLOOKUP('Données projet'!$B$10,Paramètres!$A$1:$I$89,3,0)*0.475*44/12</f>
        <v>0.11153955125283928</v>
      </c>
      <c r="AX48" s="21">
        <f t="shared" si="6"/>
        <v>18.99274147127138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252.98248842635206</v>
      </c>
      <c r="BJ48" s="59">
        <f t="shared" si="38"/>
        <v>207.11938580878308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21</v>
      </c>
      <c r="BY48" s="12">
        <f>IF('Données projet'!$A$114&gt;35,BY47+BX48-CG47,IF(A48&lt;'Données projet'!$A$114,$BV$205^A48,IF(A48='Données projet'!$A$114,'Données projet'!$B$114,BY47+BX48-CG47)))</f>
        <v>456.00000000000006</v>
      </c>
      <c r="BZ48" s="13">
        <f>BY48*VLOOKUP('Données projet'!$B$12,Paramètres!$A$1:$I$89,3,0)*VLOOKUP('Données projet'!$B$12,Paramètres!$A$1:$I$89,5,0)</f>
        <v>254.90400000000002</v>
      </c>
      <c r="CA48" s="13">
        <f t="shared" si="39"/>
        <v>61.634868437438257</v>
      </c>
      <c r="CB48" s="20">
        <f t="shared" si="10"/>
        <v>551.30519586187165</v>
      </c>
      <c r="CC48" s="59">
        <f t="shared" si="11"/>
        <v>844.63852919520491</v>
      </c>
      <c r="CD48" s="59">
        <f ca="1">AVERAGE(OFFSET($CC$3,0,0,'Données projet'!$E$12+1,1))-AVERAGE(OFFSET($H$3,0,0,'Données projet'!$E$12+1,1))</f>
        <v>401.06118089678654</v>
      </c>
      <c r="CE48" s="59">
        <f t="shared" si="40"/>
        <v>399.58193819355591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7.6364328872598852</v>
      </c>
      <c r="CL48" s="21">
        <f>EXP(-LN(2)/25)*CL47+(1-EXP(-LN(2)/25))/(LN(2)/25)*Calculateur!CG48*Calculateur!CI48*VLOOKUP('Données projet'!$B$12,Paramètres!$A$1:$I$89,3,0)*0.475*44/12</f>
        <v>22.039515419597993</v>
      </c>
      <c r="CM48" s="21">
        <f>EXP(-LN(2)/2)*CM47+(1-EXP(-LN(2)/2))/(LN(2)/2)*CG48*CJ48*VLOOKUP('Données projet'!$B$12,Paramètres!$A$1:$I$89,3,0)*0.475*44/12</f>
        <v>0.18080811292071094</v>
      </c>
      <c r="CN48" s="22">
        <f t="shared" si="12"/>
        <v>29.856756419778591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12.4</v>
      </c>
      <c r="CT48" s="12">
        <f>IF('Données projet'!$A$140&gt;35,CT47+CS48-DB47,IF(A48&lt;'Données projet'!$A$140,$CQ$205^A48,IF(A48='Données projet'!$A$140,'Données projet'!$B$140,CT47+CS48-DB47)))</f>
        <v>310</v>
      </c>
      <c r="CU48" s="17">
        <f>CT48*VLOOKUP('Données projet'!$B$13,Paramètres!$A$1:$I$89,3,0)*VLOOKUP('Données projet'!$B$13,Paramètres!$A$1:$I$89,5,0)</f>
        <v>193.44</v>
      </c>
      <c r="CV48" s="13">
        <f t="shared" si="41"/>
        <v>48.299691961776745</v>
      </c>
      <c r="CW48" s="20">
        <f t="shared" si="13"/>
        <v>421.02996350009448</v>
      </c>
      <c r="CX48" s="59">
        <f t="shared" si="14"/>
        <v>714.36329683342774</v>
      </c>
      <c r="CY48" s="59">
        <f ca="1">AVERAGE(OFFSET($CX$3,0,0,'Données projet'!$E$13+1,1))-AVERAGE(OFFSET($H$3,0,0,'Données projet'!$E$13+1,1))</f>
        <v>285.77483300338548</v>
      </c>
      <c r="CZ48" s="59">
        <f t="shared" si="42"/>
        <v>320.55212417690637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6.1995565088959728</v>
      </c>
      <c r="DG48" s="21">
        <f>EXP(-LN(2)/25)*DG47+(1-EXP(-LN(2)/25))/(LN(2)/25)*Calculateur!DB48*Calculateur!DD48*VLOOKUP('Données projet'!$B$13,Paramètres!$A$1:$I$89,3,0)*0.475*44/12</f>
        <v>18.387255457676766</v>
      </c>
      <c r="DH48" s="21">
        <f>EXP(-LN(2)/2)*DH47+(1-EXP(-LN(2)/2))/(LN(2)/2)*DB48*DE48*VLOOKUP('Données projet'!$B$13,Paramètres!$A$1:$I$89,3,0)*0.475*44/12</f>
        <v>0.13479881032765212</v>
      </c>
      <c r="DI48" s="22">
        <f t="shared" si="15"/>
        <v>24.721610776900391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432.19999999999982</v>
      </c>
      <c r="O49" s="13">
        <f>N49*VLOOKUP('Données projet'!$B$9,Paramètres!$A$1:$I$89,3,0)*VLOOKUP('Données projet'!$B$9,Paramètres!$A$1:$I$89,5,0)</f>
        <v>241.5997999999999</v>
      </c>
      <c r="P49" s="13">
        <f t="shared" si="33"/>
        <v>58.783602040793284</v>
      </c>
      <c r="Q49" s="20">
        <f t="shared" si="53"/>
        <v>523.16775855438141</v>
      </c>
      <c r="R49" s="59">
        <f t="shared" si="0"/>
        <v>816.50109188771467</v>
      </c>
      <c r="S49" s="59">
        <f ca="1">AVERAGE(OFFSET($R$3,0,0,'Données projet'!$E$9+1,1))-AVERAGE(OFFSET($H$3,0,0,'Données projet'!$E$9+1,1))</f>
        <v>356.67698551373468</v>
      </c>
      <c r="T49" s="59">
        <f t="shared" si="34"/>
        <v>353.21836615408171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3.3274164871577181</v>
      </c>
      <c r="AA49" s="21">
        <f>EXP(-LN(2)/25)*AA48+(1-EXP(-LN(2)/25))/(LN(2)/25)*Calculateur!V49*Calculateur!X49*VLOOKUP('Données projet'!$B$9,Paramètres!$A$1:$I$89,3,0)*0.475*44/12</f>
        <v>19.362371606832259</v>
      </c>
      <c r="AB49" s="21">
        <f>EXP(-LN(2)/2)*AB48+(1-EXP(-LN(2)/2))/(LN(2)/2)*V49*Y49*VLOOKUP('Données projet'!$B$9,Paramètres!$A$1:$I$89,3,0)*0.475*44/12</f>
        <v>0.12703940769701266</v>
      </c>
      <c r="AC49" s="22">
        <f t="shared" si="3"/>
        <v>22.816827501686987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279.00000000000017</v>
      </c>
      <c r="AJ49" s="13">
        <f>AI49*VLOOKUP('Données projet'!$B$10,Paramètres!$A$1:$I$89,3,0)*VLOOKUP('Données projet'!$B$10,Paramètres!$A$1:$I$89,5,0)</f>
        <v>174.09600000000009</v>
      </c>
      <c r="AK49" s="13">
        <f t="shared" si="35"/>
        <v>44.00611631426144</v>
      </c>
      <c r="AL49" s="20">
        <f t="shared" si="4"/>
        <v>379.86118591400549</v>
      </c>
      <c r="AM49" s="59">
        <f t="shared" si="5"/>
        <v>673.1945192473388</v>
      </c>
      <c r="AN49" s="59">
        <f ca="1">AVERAGE(OFFSET($AM$3,0,0,'Données projet'!$E$10+1,1))-AVERAGE(OFFSET($H$3,0,0,'Données projet'!$E$10+1,1))</f>
        <v>240.30073883588199</v>
      </c>
      <c r="AO49" s="59">
        <f t="shared" si="36"/>
        <v>263.20351282678843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5.0649891559271785</v>
      </c>
      <c r="AV49" s="21">
        <f>EXP(-LN(2)/25)*AV48+(1-EXP(-LN(2)/25))/(LN(2)/25)*Calculateur!AQ49*Calculateur!AS49*VLOOKUP('Données projet'!$B$10,Paramètres!$A$1:$I$89,3,0)*0.475*44/12</f>
        <v>13.339870035479958</v>
      </c>
      <c r="AW49" s="21">
        <f>EXP(-LN(2)/2)*AW48+(1-EXP(-LN(2)/2))/(LN(2)/2)*AQ49*AT49*VLOOKUP('Données projet'!$B$10,Paramètres!$A$1:$I$89,3,0)*0.475*44/12</f>
        <v>7.8870373061387125E-2</v>
      </c>
      <c r="AX49" s="21">
        <f t="shared" si="6"/>
        <v>18.483729564468526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252.98248842635206</v>
      </c>
      <c r="BJ49" s="59">
        <f t="shared" si="38"/>
        <v>207.11938580878308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21</v>
      </c>
      <c r="BY49" s="12">
        <f>IF('Données projet'!$A$114&gt;35,BY48+BX49-CG48,IF(A49&lt;'Données projet'!$A$114,$BV$205^A49,IF(A49='Données projet'!$A$114,'Données projet'!$B$114,BY48+BX49-CG48)))</f>
        <v>477.00000000000006</v>
      </c>
      <c r="BZ49" s="13">
        <f>BY49*VLOOKUP('Données projet'!$B$12,Paramètres!$A$1:$I$89,3,0)*VLOOKUP('Données projet'!$B$12,Paramètres!$A$1:$I$89,5,0)</f>
        <v>266.64300000000003</v>
      </c>
      <c r="CA49" s="13">
        <f t="shared" si="39"/>
        <v>64.136311225795083</v>
      </c>
      <c r="CB49" s="20">
        <f t="shared" si="10"/>
        <v>576.10730038492648</v>
      </c>
      <c r="CC49" s="59">
        <f t="shared" si="11"/>
        <v>869.44063371825973</v>
      </c>
      <c r="CD49" s="59">
        <f ca="1">AVERAGE(OFFSET($CC$3,0,0,'Données projet'!$E$12+1,1))-AVERAGE(OFFSET($H$3,0,0,'Données projet'!$E$12+1,1))</f>
        <v>401.06118089678654</v>
      </c>
      <c r="CE49" s="59">
        <f t="shared" si="40"/>
        <v>399.58193819355591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7.4866870961048644</v>
      </c>
      <c r="CL49" s="21">
        <f>EXP(-LN(2)/25)*CL48+(1-EXP(-LN(2)/25))/(LN(2)/25)*Calculateur!CG49*Calculateur!CI49*VLOOKUP('Données projet'!$B$12,Paramètres!$A$1:$I$89,3,0)*0.475*44/12</f>
        <v>21.436843711441341</v>
      </c>
      <c r="CM49" s="21">
        <f>EXP(-LN(2)/2)*CM48+(1-EXP(-LN(2)/2))/(LN(2)/2)*CG49*CJ49*VLOOKUP('Données projet'!$B$12,Paramètres!$A$1:$I$89,3,0)*0.475*44/12</f>
        <v>0.12785064273977773</v>
      </c>
      <c r="CN49" s="22">
        <f t="shared" si="12"/>
        <v>29.051381450285984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12.4</v>
      </c>
      <c r="CT49" s="12">
        <f>IF('Données projet'!$A$140&gt;35,CT48+CS49-DB48,IF(A49&lt;'Données projet'!$A$140,$CQ$205^A49,IF(A49='Données projet'!$A$140,'Données projet'!$B$140,CT48+CS49-DB48)))</f>
        <v>322.39999999999998</v>
      </c>
      <c r="CU49" s="17">
        <f>CT49*VLOOKUP('Données projet'!$B$13,Paramètres!$A$1:$I$89,3,0)*VLOOKUP('Données projet'!$B$13,Paramètres!$A$1:$I$89,5,0)</f>
        <v>201.17759999999998</v>
      </c>
      <c r="CV49" s="13">
        <f t="shared" si="41"/>
        <v>50.002880070410733</v>
      </c>
      <c r="CW49" s="20">
        <f t="shared" si="13"/>
        <v>437.47266945596533</v>
      </c>
      <c r="CX49" s="59">
        <f t="shared" si="14"/>
        <v>730.80600278929865</v>
      </c>
      <c r="CY49" s="59">
        <f ca="1">AVERAGE(OFFSET($CX$3,0,0,'Données projet'!$E$13+1,1))-AVERAGE(OFFSET($H$3,0,0,'Données projet'!$E$13+1,1))</f>
        <v>285.77483300338548</v>
      </c>
      <c r="CZ49" s="59">
        <f t="shared" si="42"/>
        <v>320.55212417690637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6.0779869871126149</v>
      </c>
      <c r="DG49" s="21">
        <f>EXP(-LN(2)/25)*DG48+(1-EXP(-LN(2)/25))/(LN(2)/25)*Calculateur!DB49*Calculateur!DD49*VLOOKUP('Données projet'!$B$13,Paramètres!$A$1:$I$89,3,0)*0.475*44/12</f>
        <v>17.884454990242855</v>
      </c>
      <c r="DH49" s="21">
        <f>EXP(-LN(2)/2)*DH48+(1-EXP(-LN(2)/2))/(LN(2)/2)*DB49*DE49*VLOOKUP('Données projet'!$B$13,Paramètres!$A$1:$I$89,3,0)*0.475*44/12</f>
        <v>9.5317152878562031E-2</v>
      </c>
      <c r="DI49" s="22">
        <f t="shared" si="15"/>
        <v>24.057759130234029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451.39999999999981</v>
      </c>
      <c r="O50" s="13">
        <f>N50*VLOOKUP('Données projet'!$B$9,Paramètres!$A$1:$I$89,3,0)*VLOOKUP('Données projet'!$B$9,Paramètres!$A$1:$I$89,5,0)</f>
        <v>252.3325999999999</v>
      </c>
      <c r="P50" s="13">
        <f t="shared" si="33"/>
        <v>61.08516173401626</v>
      </c>
      <c r="Q50" s="20">
        <f t="shared" si="53"/>
        <v>545.86926835341148</v>
      </c>
      <c r="R50" s="59">
        <f t="shared" si="0"/>
        <v>839.20260168674486</v>
      </c>
      <c r="S50" s="59">
        <f ca="1">AVERAGE(OFFSET($R$3,0,0,'Données projet'!$E$9+1,1))-AVERAGE(OFFSET($H$3,0,0,'Données projet'!$E$9+1,1))</f>
        <v>356.67698551373468</v>
      </c>
      <c r="T50" s="59">
        <f t="shared" si="34"/>
        <v>353.21836615408171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3.2621678793682136</v>
      </c>
      <c r="AA50" s="21">
        <f>EXP(-LN(2)/25)*AA49+(1-EXP(-LN(2)/25))/(LN(2)/25)*Calculateur!V50*Calculateur!X50*VLOOKUP('Données projet'!$B$9,Paramètres!$A$1:$I$89,3,0)*0.475*44/12</f>
        <v>18.832906537020563</v>
      </c>
      <c r="AB50" s="21">
        <f>EXP(-LN(2)/2)*AB49+(1-EXP(-LN(2)/2))/(LN(2)/2)*V50*Y50*VLOOKUP('Données projet'!$B$9,Paramètres!$A$1:$I$89,3,0)*0.475*44/12</f>
        <v>8.9830426660480134E-2</v>
      </c>
      <c r="AC50" s="22">
        <f t="shared" si="3"/>
        <v>22.184904843049257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290.00000000000017</v>
      </c>
      <c r="AJ50" s="13">
        <f>AI50*VLOOKUP('Données projet'!$B$10,Paramètres!$A$1:$I$89,3,0)*VLOOKUP('Données projet'!$B$10,Paramètres!$A$1:$I$89,5,0)</f>
        <v>180.96000000000009</v>
      </c>
      <c r="AK50" s="13">
        <f t="shared" si="35"/>
        <v>45.535702314871763</v>
      </c>
      <c r="AL50" s="20">
        <f t="shared" si="4"/>
        <v>394.48001486506854</v>
      </c>
      <c r="AM50" s="59">
        <f t="shared" si="5"/>
        <v>687.81334819840185</v>
      </c>
      <c r="AN50" s="59">
        <f ca="1">AVERAGE(OFFSET($AM$3,0,0,'Données projet'!$E$10+1,1))-AVERAGE(OFFSET($H$3,0,0,'Données projet'!$E$10+1,1))</f>
        <v>240.30073883588199</v>
      </c>
      <c r="AO50" s="59">
        <f t="shared" si="36"/>
        <v>263.20351282678843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4.9656678079177849</v>
      </c>
      <c r="AV50" s="21">
        <f>EXP(-LN(2)/25)*AV49+(1-EXP(-LN(2)/25))/(LN(2)/25)*Calculateur!AQ50*Calculateur!AS50*VLOOKUP('Données projet'!$B$10,Paramètres!$A$1:$I$89,3,0)*0.475*44/12</f>
        <v>12.975090587846482</v>
      </c>
      <c r="AW50" s="21">
        <f>EXP(-LN(2)/2)*AW49+(1-EXP(-LN(2)/2))/(LN(2)/2)*AQ50*AT50*VLOOKUP('Données projet'!$B$10,Paramètres!$A$1:$I$89,3,0)*0.475*44/12</f>
        <v>5.5769775626419639E-2</v>
      </c>
      <c r="AX50" s="21">
        <f t="shared" si="6"/>
        <v>17.996528171390686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252.98248842635206</v>
      </c>
      <c r="BJ50" s="59">
        <f t="shared" si="38"/>
        <v>207.11938580878308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21</v>
      </c>
      <c r="BY50" s="12">
        <f>IF('Données projet'!$A$114&gt;35,BY49+BX50-CG49,IF(A50&lt;'Données projet'!$A$114,$BV$205^A50,IF(A50='Données projet'!$A$114,'Données projet'!$B$114,BY49+BX50-CG49)))</f>
        <v>498.00000000000006</v>
      </c>
      <c r="BZ50" s="13">
        <f>BY50*VLOOKUP('Données projet'!$B$12,Paramètres!$A$1:$I$89,3,0)*VLOOKUP('Données projet'!$B$12,Paramètres!$A$1:$I$89,5,0)</f>
        <v>278.38200000000001</v>
      </c>
      <c r="CA50" s="13">
        <f t="shared" si="39"/>
        <v>66.624963725642488</v>
      </c>
      <c r="CB50" s="20">
        <f t="shared" si="10"/>
        <v>600.88712848882722</v>
      </c>
      <c r="CC50" s="59">
        <f t="shared" si="11"/>
        <v>894.22046182216059</v>
      </c>
      <c r="CD50" s="59">
        <f ca="1">AVERAGE(OFFSET($CC$3,0,0,'Données projet'!$E$12+1,1))-AVERAGE(OFFSET($H$3,0,0,'Données projet'!$E$12+1,1))</f>
        <v>401.06118089678654</v>
      </c>
      <c r="CE50" s="59">
        <f t="shared" si="40"/>
        <v>399.58193819355591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7.3398777285784789</v>
      </c>
      <c r="CL50" s="21">
        <f>EXP(-LN(2)/25)*CL49+(1-EXP(-LN(2)/25))/(LN(2)/25)*Calculateur!CG50*Calculateur!CI50*VLOOKUP('Données projet'!$B$12,Paramètres!$A$1:$I$89,3,0)*0.475*44/12</f>
        <v>20.850652092837361</v>
      </c>
      <c r="CM50" s="21">
        <f>EXP(-LN(2)/2)*CM49+(1-EXP(-LN(2)/2))/(LN(2)/2)*CG50*CJ50*VLOOKUP('Données projet'!$B$12,Paramètres!$A$1:$I$89,3,0)*0.475*44/12</f>
        <v>9.0404056460355472E-2</v>
      </c>
      <c r="CN50" s="22">
        <f t="shared" si="12"/>
        <v>28.280933877876194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12.4</v>
      </c>
      <c r="CT50" s="12">
        <f>IF('Données projet'!$A$140&gt;35,CT49+CS50-DB49,IF(A50&lt;'Données projet'!$A$140,$CQ$205^A50,IF(A50='Données projet'!$A$140,'Données projet'!$B$140,CT49+CS50-DB49)))</f>
        <v>334.79999999999995</v>
      </c>
      <c r="CU50" s="17">
        <f>CT50*VLOOKUP('Données projet'!$B$13,Paramètres!$A$1:$I$89,3,0)*VLOOKUP('Données projet'!$B$13,Paramètres!$A$1:$I$89,5,0)</f>
        <v>208.91519999999997</v>
      </c>
      <c r="CV50" s="13">
        <f t="shared" si="41"/>
        <v>51.698458198123326</v>
      </c>
      <c r="CW50" s="20">
        <f t="shared" si="13"/>
        <v>453.90212136173136</v>
      </c>
      <c r="CX50" s="59">
        <f t="shared" si="14"/>
        <v>747.23545469506462</v>
      </c>
      <c r="CY50" s="59">
        <f ca="1">AVERAGE(OFFSET($CX$3,0,0,'Données projet'!$E$13+1,1))-AVERAGE(OFFSET($H$3,0,0,'Données projet'!$E$13+1,1))</f>
        <v>285.77483300338548</v>
      </c>
      <c r="CZ50" s="59">
        <f t="shared" si="42"/>
        <v>320.55212417690637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5.9588013695013426</v>
      </c>
      <c r="DG50" s="21">
        <f>EXP(-LN(2)/25)*DG49+(1-EXP(-LN(2)/25))/(LN(2)/25)*Calculateur!DB50*Calculateur!DD50*VLOOKUP('Données projet'!$B$13,Paramètres!$A$1:$I$89,3,0)*0.475*44/12</f>
        <v>17.395403628032053</v>
      </c>
      <c r="DH50" s="21">
        <f>EXP(-LN(2)/2)*DH49+(1-EXP(-LN(2)/2))/(LN(2)/2)*DB50*DE50*VLOOKUP('Données projet'!$B$13,Paramètres!$A$1:$I$89,3,0)*0.475*44/12</f>
        <v>6.7399405163826059E-2</v>
      </c>
      <c r="DI50" s="22">
        <f t="shared" si="15"/>
        <v>23.42160440269722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470.5999999999998</v>
      </c>
      <c r="O51" s="13">
        <f>N51*VLOOKUP('Données projet'!$B$9,Paramètres!$A$1:$I$89,3,0)*VLOOKUP('Données projet'!$B$9,Paramètres!$A$1:$I$89,5,0)</f>
        <v>263.0653999999999</v>
      </c>
      <c r="P51" s="13">
        <f t="shared" si="33"/>
        <v>63.375350953508303</v>
      </c>
      <c r="Q51" s="20">
        <f t="shared" si="53"/>
        <v>568.55097457736008</v>
      </c>
      <c r="R51" s="59">
        <f t="shared" si="0"/>
        <v>861.88430791069345</v>
      </c>
      <c r="S51" s="59">
        <f ca="1">AVERAGE(OFFSET($R$3,0,0,'Données projet'!$E$9+1,1))-AVERAGE(OFFSET($H$3,0,0,'Données projet'!$E$9+1,1))</f>
        <v>356.67698551373468</v>
      </c>
      <c r="T51" s="59">
        <f t="shared" si="34"/>
        <v>353.21836615408171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3.1981987569797403</v>
      </c>
      <c r="AA51" s="21">
        <f>EXP(-LN(2)/25)*AA50+(1-EXP(-LN(2)/25))/(LN(2)/25)*Calculateur!V51*Calculateur!X51*VLOOKUP('Données projet'!$B$9,Paramètres!$A$1:$I$89,3,0)*0.475*44/12</f>
        <v>18.317919717386225</v>
      </c>
      <c r="AB51" s="21">
        <f>EXP(-LN(2)/2)*AB50+(1-EXP(-LN(2)/2))/(LN(2)/2)*V51*Y51*VLOOKUP('Données projet'!$B$9,Paramètres!$A$1:$I$89,3,0)*0.475*44/12</f>
        <v>6.3519703848506331E-2</v>
      </c>
      <c r="AC51" s="22">
        <f t="shared" si="3"/>
        <v>21.57963817821447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301.00000000000017</v>
      </c>
      <c r="AJ51" s="13">
        <f>AI51*VLOOKUP('Données projet'!$B$10,Paramètres!$A$1:$I$89,3,0)*VLOOKUP('Données projet'!$B$10,Paramètres!$A$1:$I$89,5,0)</f>
        <v>187.8240000000001</v>
      </c>
      <c r="AK51" s="13">
        <f t="shared" si="35"/>
        <v>47.05854810918273</v>
      </c>
      <c r="AL51" s="20">
        <f t="shared" si="4"/>
        <v>409.08710462349342</v>
      </c>
      <c r="AM51" s="59">
        <f t="shared" si="5"/>
        <v>702.42043795682673</v>
      </c>
      <c r="AN51" s="59">
        <f ca="1">AVERAGE(OFFSET($AM$3,0,0,'Données projet'!$E$10+1,1))-AVERAGE(OFFSET($H$3,0,0,'Données projet'!$E$10+1,1))</f>
        <v>240.30073883588199</v>
      </c>
      <c r="AO51" s="59">
        <f t="shared" si="36"/>
        <v>263.20351282678843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4.8682940909628147</v>
      </c>
      <c r="AV51" s="21">
        <f>EXP(-LN(2)/25)*AV50+(1-EXP(-LN(2)/25))/(LN(2)/25)*Calculateur!AQ51*Calculateur!AS51*VLOOKUP('Données projet'!$B$10,Paramètres!$A$1:$I$89,3,0)*0.475*44/12</f>
        <v>12.620286053391462</v>
      </c>
      <c r="AW51" s="21">
        <f>EXP(-LN(2)/2)*AW50+(1-EXP(-LN(2)/2))/(LN(2)/2)*AQ51*AT51*VLOOKUP('Données projet'!$B$10,Paramètres!$A$1:$I$89,3,0)*0.475*44/12</f>
        <v>3.9435186530693563E-2</v>
      </c>
      <c r="AX51" s="21">
        <f t="shared" si="6"/>
        <v>17.528015330884969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252.98248842635206</v>
      </c>
      <c r="BJ51" s="59">
        <f t="shared" si="38"/>
        <v>207.11938580878308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21</v>
      </c>
      <c r="BY51" s="12">
        <f>IF('Données projet'!$A$114&gt;35,BY50+BX51-CG50,IF(A51&lt;'Données projet'!$A$114,$BV$205^A51,IF(A51='Données projet'!$A$114,'Données projet'!$B$114,BY50+BX51-CG50)))</f>
        <v>519</v>
      </c>
      <c r="BZ51" s="13">
        <f>BY51*VLOOKUP('Données projet'!$B$12,Paramètres!$A$1:$I$89,3,0)*VLOOKUP('Données projet'!$B$12,Paramètres!$A$1:$I$89,5,0)</f>
        <v>290.12099999999998</v>
      </c>
      <c r="CA51" s="13">
        <f t="shared" si="39"/>
        <v>69.101426954815722</v>
      </c>
      <c r="CB51" s="20">
        <f t="shared" si="10"/>
        <v>625.64572694630408</v>
      </c>
      <c r="CC51" s="59">
        <f t="shared" si="11"/>
        <v>918.97906027963745</v>
      </c>
      <c r="CD51" s="59">
        <f ca="1">AVERAGE(OFFSET($CC$3,0,0,'Données projet'!$E$12+1,1))-AVERAGE(OFFSET($H$3,0,0,'Données projet'!$E$12+1,1))</f>
        <v>401.06118089678654</v>
      </c>
      <c r="CE51" s="59">
        <f t="shared" si="40"/>
        <v>399.58193819355591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7.1959472032044136</v>
      </c>
      <c r="CL51" s="21">
        <f>EXP(-LN(2)/25)*CL50+(1-EXP(-LN(2)/25))/(LN(2)/25)*Calculateur!CG51*Calculateur!CI51*VLOOKUP('Données projet'!$B$12,Paramètres!$A$1:$I$89,3,0)*0.475*44/12</f>
        <v>20.280489914870586</v>
      </c>
      <c r="CM51" s="21">
        <f>EXP(-LN(2)/2)*CM50+(1-EXP(-LN(2)/2))/(LN(2)/2)*CG51*CJ51*VLOOKUP('Données projet'!$B$12,Paramètres!$A$1:$I$89,3,0)*0.475*44/12</f>
        <v>6.3925321369888863E-2</v>
      </c>
      <c r="CN51" s="22">
        <f t="shared" si="12"/>
        <v>27.540362439444888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12.4</v>
      </c>
      <c r="CT51" s="12">
        <f>IF('Données projet'!$A$140&gt;35,CT50+CS51-DB50,IF(A51&lt;'Données projet'!$A$140,$CQ$205^A51,IF(A51='Données projet'!$A$140,'Données projet'!$B$140,CT50+CS51-DB50)))</f>
        <v>347.19999999999993</v>
      </c>
      <c r="CU51" s="17">
        <f>CT51*VLOOKUP('Données projet'!$B$13,Paramètres!$A$1:$I$89,3,0)*VLOOKUP('Données projet'!$B$13,Paramètres!$A$1:$I$89,5,0)</f>
        <v>216.65279999999993</v>
      </c>
      <c r="CV51" s="13">
        <f t="shared" si="41"/>
        <v>53.38674047237982</v>
      </c>
      <c r="CW51" s="20">
        <f t="shared" si="13"/>
        <v>470.31886632272807</v>
      </c>
      <c r="CX51" s="59">
        <f t="shared" si="14"/>
        <v>763.65219965606138</v>
      </c>
      <c r="CY51" s="59">
        <f ca="1">AVERAGE(OFFSET($CX$3,0,0,'Données projet'!$E$13+1,1))-AVERAGE(OFFSET($H$3,0,0,'Données projet'!$E$13+1,1))</f>
        <v>285.77483300338548</v>
      </c>
      <c r="CZ51" s="59">
        <f t="shared" si="42"/>
        <v>320.55212417690637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5.8419529091553786</v>
      </c>
      <c r="DG51" s="21">
        <f>EXP(-LN(2)/25)*DG50+(1-EXP(-LN(2)/25))/(LN(2)/25)*Calculateur!DB51*Calculateur!DD51*VLOOKUP('Données projet'!$B$13,Paramètres!$A$1:$I$89,3,0)*0.475*44/12</f>
        <v>16.919725401038999</v>
      </c>
      <c r="DH51" s="21">
        <f>EXP(-LN(2)/2)*DH50+(1-EXP(-LN(2)/2))/(LN(2)/2)*DB51*DE51*VLOOKUP('Données projet'!$B$13,Paramètres!$A$1:$I$89,3,0)*0.475*44/12</f>
        <v>4.7658576439281015E-2</v>
      </c>
      <c r="DI51" s="22">
        <f t="shared" si="15"/>
        <v>22.809336886633659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489.79999999999978</v>
      </c>
      <c r="O52" s="13">
        <f>N52*VLOOKUP('Données projet'!$B$9,Paramètres!$A$1:$I$89,3,0)*VLOOKUP('Données projet'!$B$9,Paramètres!$A$1:$I$89,5,0)</f>
        <v>273.79819999999989</v>
      </c>
      <c r="P52" s="13">
        <f t="shared" si="33"/>
        <v>65.654686665964775</v>
      </c>
      <c r="Q52" s="20">
        <f t="shared" si="53"/>
        <v>591.21377760988844</v>
      </c>
      <c r="R52" s="59">
        <f t="shared" si="0"/>
        <v>884.5471109432217</v>
      </c>
      <c r="S52" s="59">
        <f ca="1">AVERAGE(OFFSET($R$3,0,0,'Données projet'!$E$9+1,1))-AVERAGE(OFFSET($H$3,0,0,'Données projet'!$E$9+1,1))</f>
        <v>356.67698551373468</v>
      </c>
      <c r="T52" s="59">
        <f t="shared" si="34"/>
        <v>353.21836615408171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3.135484030063993</v>
      </c>
      <c r="AA52" s="21">
        <f>EXP(-LN(2)/25)*AA51+(1-EXP(-LN(2)/25))/(LN(2)/25)*Calculateur!V52*Calculateur!X52*VLOOKUP('Données projet'!$B$9,Paramètres!$A$1:$I$89,3,0)*0.475*44/12</f>
        <v>17.817015239416765</v>
      </c>
      <c r="AB52" s="21">
        <f>EXP(-LN(2)/2)*AB51+(1-EXP(-LN(2)/2))/(LN(2)/2)*V52*Y52*VLOOKUP('Données projet'!$B$9,Paramètres!$A$1:$I$89,3,0)*0.475*44/12</f>
        <v>4.4915213330240067E-2</v>
      </c>
      <c r="AC52" s="22">
        <f t="shared" si="3"/>
        <v>20.997414482810996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312.00000000000017</v>
      </c>
      <c r="AJ52" s="13">
        <f>AI52*VLOOKUP('Données projet'!$B$10,Paramètres!$A$1:$I$89,3,0)*VLOOKUP('Données projet'!$B$10,Paramètres!$A$1:$I$89,5,0)</f>
        <v>194.6880000000001</v>
      </c>
      <c r="AK52" s="13">
        <f t="shared" si="35"/>
        <v>48.57492822891502</v>
      </c>
      <c r="AL52" s="20">
        <f t="shared" si="4"/>
        <v>423.68293333202706</v>
      </c>
      <c r="AM52" s="59">
        <f t="shared" si="5"/>
        <v>717.01626666536038</v>
      </c>
      <c r="AN52" s="59">
        <f ca="1">AVERAGE(OFFSET($AM$3,0,0,'Données projet'!$E$10+1,1))-AVERAGE(OFFSET($H$3,0,0,'Données projet'!$E$10+1,1))</f>
        <v>240.30073883588199</v>
      </c>
      <c r="AO52" s="59">
        <f t="shared" si="36"/>
        <v>263.20351282678843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4.7728298132052291</v>
      </c>
      <c r="AV52" s="21">
        <f>EXP(-LN(2)/25)*AV51+(1-EXP(-LN(2)/25))/(LN(2)/25)*Calculateur!AQ52*Calculateur!AS52*VLOOKUP('Données projet'!$B$10,Paramètres!$A$1:$I$89,3,0)*0.475*44/12</f>
        <v>12.275183667589474</v>
      </c>
      <c r="AW52" s="21">
        <f>EXP(-LN(2)/2)*AW51+(1-EXP(-LN(2)/2))/(LN(2)/2)*AQ52*AT52*VLOOKUP('Données projet'!$B$10,Paramètres!$A$1:$I$89,3,0)*0.475*44/12</f>
        <v>2.7884887813209819E-2</v>
      </c>
      <c r="AX52" s="21">
        <f t="shared" si="6"/>
        <v>17.075898368607909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252.98248842635206</v>
      </c>
      <c r="BJ52" s="59">
        <f t="shared" si="38"/>
        <v>207.11938580878308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21</v>
      </c>
      <c r="BY52" s="12">
        <f>IF('Données projet'!$A$114&gt;35,BY51+BX52-CG51,IF(A52&lt;'Données projet'!$A$114,$BV$205^A52,IF(A52='Données projet'!$A$114,'Données projet'!$B$114,BY51+BX52-CG51)))</f>
        <v>540</v>
      </c>
      <c r="BZ52" s="13">
        <f>BY52*VLOOKUP('Données projet'!$B$12,Paramètres!$A$1:$I$89,3,0)*VLOOKUP('Données projet'!$B$12,Paramètres!$A$1:$I$89,5,0)</f>
        <v>301.86</v>
      </c>
      <c r="CA52" s="13">
        <f t="shared" si="39"/>
        <v>71.566250541226992</v>
      </c>
      <c r="CB52" s="20">
        <f t="shared" si="10"/>
        <v>650.38405302597027</v>
      </c>
      <c r="CC52" s="59">
        <f t="shared" si="11"/>
        <v>943.71738635930365</v>
      </c>
      <c r="CD52" s="59">
        <f ca="1">AVERAGE(OFFSET($CC$3,0,0,'Données projet'!$E$12+1,1))-AVERAGE(OFFSET($H$3,0,0,'Données projet'!$E$12+1,1))</f>
        <v>401.06118089678654</v>
      </c>
      <c r="CE52" s="59">
        <f t="shared" si="40"/>
        <v>399.58193819355591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7.0548390676439823</v>
      </c>
      <c r="CL52" s="21">
        <f>EXP(-LN(2)/25)*CL51+(1-EXP(-LN(2)/25))/(LN(2)/25)*Calculateur!CG52*Calculateur!CI52*VLOOKUP('Données projet'!$B$12,Paramètres!$A$1:$I$89,3,0)*0.475*44/12</f>
        <v>19.725918851643836</v>
      </c>
      <c r="CM52" s="21">
        <f>EXP(-LN(2)/2)*CM51+(1-EXP(-LN(2)/2))/(LN(2)/2)*CG52*CJ52*VLOOKUP('Données projet'!$B$12,Paramètres!$A$1:$I$89,3,0)*0.475*44/12</f>
        <v>4.5202028230177736E-2</v>
      </c>
      <c r="CN52" s="22">
        <f t="shared" si="12"/>
        <v>26.825959947517998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12.4</v>
      </c>
      <c r="CT52" s="12">
        <f>IF('Données projet'!$A$140&gt;35,CT51+CS52-DB51,IF(A52&lt;'Données projet'!$A$140,$CQ$205^A52,IF(A52='Données projet'!$A$140,'Données projet'!$B$140,CT51+CS52-DB51)))</f>
        <v>359.59999999999991</v>
      </c>
      <c r="CU52" s="17">
        <f>CT52*VLOOKUP('Données projet'!$B$13,Paramètres!$A$1:$I$89,3,0)*VLOOKUP('Données projet'!$B$13,Paramètres!$A$1:$I$89,5,0)</f>
        <v>224.39039999999994</v>
      </c>
      <c r="CV52" s="13">
        <f t="shared" si="41"/>
        <v>55.068017311015858</v>
      </c>
      <c r="CW52" s="20">
        <f t="shared" si="13"/>
        <v>486.72341015001916</v>
      </c>
      <c r="CX52" s="59">
        <f t="shared" si="14"/>
        <v>780.05674348335242</v>
      </c>
      <c r="CY52" s="59">
        <f ca="1">AVERAGE(OFFSET($CX$3,0,0,'Données projet'!$E$13+1,1))-AVERAGE(OFFSET($H$3,0,0,'Données projet'!$E$13+1,1))</f>
        <v>285.77483300338548</v>
      </c>
      <c r="CZ52" s="59">
        <f t="shared" si="42"/>
        <v>320.55212417690637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5.7273957758462757</v>
      </c>
      <c r="DG52" s="21">
        <f>EXP(-LN(2)/25)*DG51+(1-EXP(-LN(2)/25))/(LN(2)/25)*Calculateur!DB52*Calculateur!DD52*VLOOKUP('Données projet'!$B$13,Paramètres!$A$1:$I$89,3,0)*0.475*44/12</f>
        <v>16.4570546201779</v>
      </c>
      <c r="DH52" s="21">
        <f>EXP(-LN(2)/2)*DH51+(1-EXP(-LN(2)/2))/(LN(2)/2)*DB52*DE52*VLOOKUP('Données projet'!$B$13,Paramètres!$A$1:$I$89,3,0)*0.475*44/12</f>
        <v>3.369970258191303E-2</v>
      </c>
      <c r="DI52" s="22">
        <f t="shared" si="15"/>
        <v>22.218150098606088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508.99999999999977</v>
      </c>
      <c r="O53" s="13">
        <f>N53*VLOOKUP('Données projet'!$B$9,Paramètres!$A$1:$I$89,3,0)*VLOOKUP('Données projet'!$B$9,Paramètres!$A$1:$I$89,5,0)</f>
        <v>284.53099999999989</v>
      </c>
      <c r="P53" s="13">
        <f t="shared" si="33"/>
        <v>67.92364301353318</v>
      </c>
      <c r="Q53" s="20">
        <f t="shared" si="53"/>
        <v>613.85850324857017</v>
      </c>
      <c r="R53" s="59">
        <f t="shared" si="0"/>
        <v>907.19183658190354</v>
      </c>
      <c r="S53" s="59">
        <f ca="1">AVERAGE(OFFSET($R$3,0,0,'Données projet'!$E$9+1,1))-AVERAGE(OFFSET($H$3,0,0,'Données projet'!$E$9+1,1))</f>
        <v>356.67698551373468</v>
      </c>
      <c r="T53" s="59">
        <f t="shared" si="34"/>
        <v>353.21836615408171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108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3.0739991006908571</v>
      </c>
      <c r="AA53" s="21">
        <f>EXP(-LN(2)/25)*AA52+(1-EXP(-LN(2)/25))/(LN(2)/25)*Calculateur!V53*Calculateur!X53*VLOOKUP('Données projet'!$B$9,Paramètres!$A$1:$I$89,3,0)*0.475*44/12</f>
        <v>17.329808020738803</v>
      </c>
      <c r="AB53" s="21">
        <f>EXP(-LN(2)/2)*AB52+(1-EXP(-LN(2)/2))/(LN(2)/2)*V53*Y53*VLOOKUP('Données projet'!$B$9,Paramètres!$A$1:$I$89,3,0)*0.475*44/12</f>
        <v>3.1759851924253166E-2</v>
      </c>
      <c r="AC53" s="22">
        <f t="shared" si="3"/>
        <v>20.435566973353911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323.00000000000017</v>
      </c>
      <c r="AJ53" s="13">
        <f>AI53*VLOOKUP('Données projet'!$B$10,Paramètres!$A$1:$I$89,3,0)*VLOOKUP('Données projet'!$B$10,Paramètres!$A$1:$I$89,5,0)</f>
        <v>201.55200000000011</v>
      </c>
      <c r="AK53" s="13">
        <f t="shared" si="35"/>
        <v>50.08509675021061</v>
      </c>
      <c r="AL53" s="20">
        <f t="shared" si="4"/>
        <v>438.26794350661703</v>
      </c>
      <c r="AM53" s="59">
        <f t="shared" si="5"/>
        <v>731.60127683995029</v>
      </c>
      <c r="AN53" s="59">
        <f ca="1">AVERAGE(OFFSET($AM$3,0,0,'Données projet'!$E$10+1,1))-AVERAGE(OFFSET($H$3,0,0,'Données projet'!$E$10+1,1))</f>
        <v>240.30073883588199</v>
      </c>
      <c r="AO53" s="59">
        <f t="shared" si="36"/>
        <v>263.20351282678843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4.6792375317070096</v>
      </c>
      <c r="AV53" s="21">
        <f>EXP(-LN(2)/25)*AV52+(1-EXP(-LN(2)/25))/(LN(2)/25)*Calculateur!AQ53*Calculateur!AS53*VLOOKUP('Données projet'!$B$10,Paramètres!$A$1:$I$89,3,0)*0.475*44/12</f>
        <v>11.939518124675386</v>
      </c>
      <c r="AW53" s="21">
        <f>EXP(-LN(2)/2)*AW52+(1-EXP(-LN(2)/2))/(LN(2)/2)*AQ53*AT53*VLOOKUP('Données projet'!$B$10,Paramètres!$A$1:$I$89,3,0)*0.475*44/12</f>
        <v>1.9717593265346781E-2</v>
      </c>
      <c r="AX53" s="21">
        <f t="shared" si="6"/>
        <v>16.638473249647745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252.98248842635206</v>
      </c>
      <c r="BJ53" s="59">
        <f t="shared" si="38"/>
        <v>207.11938580878308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561</v>
      </c>
      <c r="BW53" s="12">
        <f>VLOOKUP(A53,'Données projet'!$A$113:$I$133,9,0)</f>
        <v>21</v>
      </c>
      <c r="BX53" s="12">
        <f t="array" ref="BX53">INDEX(BW:BW,MIN(IF(ISNUMBER(BW53:BW249),ROW(BW53:BW249),"")))</f>
        <v>21</v>
      </c>
      <c r="BY53" s="12">
        <f>IF('Données projet'!$A$114&gt;35,BY52+BX53-CG52,IF(A53&lt;'Données projet'!$A$114,$BV$205^A53,IF(A53='Données projet'!$A$114,'Données projet'!$B$114,BY52+BX53-CG52)))</f>
        <v>561</v>
      </c>
      <c r="BZ53" s="13">
        <f>BY53*VLOOKUP('Données projet'!$B$12,Paramètres!$A$1:$I$89,3,0)*VLOOKUP('Données projet'!$B$12,Paramètres!$A$1:$I$89,5,0)</f>
        <v>313.59899999999999</v>
      </c>
      <c r="CA53" s="13">
        <f t="shared" si="39"/>
        <v>74.019938943375337</v>
      </c>
      <c r="CB53" s="20">
        <f t="shared" si="10"/>
        <v>675.10298532637864</v>
      </c>
      <c r="CC53" s="59">
        <f t="shared" si="11"/>
        <v>968.43631865971201</v>
      </c>
      <c r="CD53" s="59">
        <f ca="1">AVERAGE(OFFSET($CC$3,0,0,'Données projet'!$E$12+1,1))-AVERAGE(OFFSET($H$3,0,0,'Données projet'!$E$12+1,1))</f>
        <v>401.06118089678654</v>
      </c>
      <c r="CE53" s="59">
        <f t="shared" si="40"/>
        <v>399.58193819355591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119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6.9164979765544263</v>
      </c>
      <c r="CL53" s="21">
        <f>EXP(-LN(2)/25)*CL52+(1-EXP(-LN(2)/25))/(LN(2)/25)*Calculateur!CG53*Calculateur!CI53*VLOOKUP('Données projet'!$B$12,Paramètres!$A$1:$I$89,3,0)*0.475*44/12</f>
        <v>19.186512563304646</v>
      </c>
      <c r="CM53" s="21">
        <f>EXP(-LN(2)/2)*CM52+(1-EXP(-LN(2)/2))/(LN(2)/2)*CG53*CJ53*VLOOKUP('Données projet'!$B$12,Paramètres!$A$1:$I$89,3,0)*0.475*44/12</f>
        <v>3.1962660684944431E-2</v>
      </c>
      <c r="CN53" s="22">
        <f t="shared" si="12"/>
        <v>26.134973200544014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372</v>
      </c>
      <c r="CR53" s="12">
        <f>VLOOKUP(A53,'Données projet'!$A$139:$I$159,9,0)</f>
        <v>12.4</v>
      </c>
      <c r="CS53" s="12">
        <f t="array" ref="CS53">INDEX(CR:CR,MIN(IF(ISNUMBER(CR53:CR249),ROW(CR53:CR249),"")))</f>
        <v>12.4</v>
      </c>
      <c r="CT53" s="12">
        <f>IF('Données projet'!$A$140&gt;35,CT52+CS53-DB52,IF(A53&lt;'Données projet'!$A$140,$CQ$205^A53,IF(A53='Données projet'!$A$140,'Données projet'!$B$140,CT52+CS53-DB52)))</f>
        <v>371.99999999999989</v>
      </c>
      <c r="CU53" s="17">
        <f>CT53*VLOOKUP('Données projet'!$B$13,Paramètres!$A$1:$I$89,3,0)*VLOOKUP('Données projet'!$B$13,Paramètres!$A$1:$I$89,5,0)</f>
        <v>232.12799999999993</v>
      </c>
      <c r="CV53" s="13">
        <f t="shared" si="41"/>
        <v>56.742557967082398</v>
      </c>
      <c r="CW53" s="20">
        <f t="shared" si="13"/>
        <v>503.11622179266834</v>
      </c>
      <c r="CX53" s="59">
        <f t="shared" si="14"/>
        <v>796.44955512600166</v>
      </c>
      <c r="CY53" s="59">
        <f ca="1">AVERAGE(OFFSET($CX$3,0,0,'Données projet'!$E$13+1,1))-AVERAGE(OFFSET($H$3,0,0,'Données projet'!$E$13+1,1))</f>
        <v>285.77483300338548</v>
      </c>
      <c r="CZ53" s="59">
        <f t="shared" si="42"/>
        <v>320.55212417690637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68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5.6150850380484121</v>
      </c>
      <c r="DG53" s="21">
        <f>EXP(-LN(2)/25)*DG52+(1-EXP(-LN(2)/25))/(LN(2)/25)*Calculateur!DB53*Calculateur!DD53*VLOOKUP('Données projet'!$B$13,Paramètres!$A$1:$I$89,3,0)*0.475*44/12</f>
        <v>16.007035596150246</v>
      </c>
      <c r="DH53" s="21">
        <f>EXP(-LN(2)/2)*DH52+(1-EXP(-LN(2)/2))/(LN(2)/2)*DB53*DE53*VLOOKUP('Données projet'!$B$13,Paramètres!$A$1:$I$89,3,0)*0.475*44/12</f>
        <v>2.3829288219640508E-2</v>
      </c>
      <c r="DI53" s="22">
        <f t="shared" si="15"/>
        <v>21.6459499224183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</v>
      </c>
      <c r="N54" s="13">
        <f>IF('Données projet'!$A$36&gt;35,N53+M54-V53,IF(A54&lt;'Données projet'!$A$36,$K$205^A54,IF(A54='Données projet'!$A$36,'Données projet'!$B$36,N53+M54-V53)))</f>
        <v>417.19999999999982</v>
      </c>
      <c r="O54" s="13">
        <f>N54*VLOOKUP('Données projet'!$B$9,Paramètres!$A$1:$I$89,3,0)*VLOOKUP('Données projet'!$B$9,Paramètres!$A$1:$I$89,5,0)</f>
        <v>233.21479999999991</v>
      </c>
      <c r="P54" s="13">
        <f t="shared" si="33"/>
        <v>56.977233907865298</v>
      </c>
      <c r="Q54" s="20">
        <f t="shared" si="53"/>
        <v>505.41779238953194</v>
      </c>
      <c r="R54" s="59">
        <f t="shared" si="0"/>
        <v>798.75112572286525</v>
      </c>
      <c r="S54" s="59">
        <f ca="1">AVERAGE(OFFSET($R$3,0,0,'Données projet'!$E$9+1,1))-AVERAGE(OFFSET($H$3,0,0,'Données projet'!$E$9+1,1))</f>
        <v>356.67698551373468</v>
      </c>
      <c r="T54" s="59">
        <f t="shared" si="34"/>
        <v>353.21836615408171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3.0137198532806244</v>
      </c>
      <c r="AA54" s="21">
        <f>EXP(-LN(2)/25)*AA53+(1-EXP(-LN(2)/25))/(LN(2)/25)*Calculateur!V54*Calculateur!X54*VLOOKUP('Données projet'!$B$9,Paramètres!$A$1:$I$89,3,0)*0.475*44/12</f>
        <v>16.855923509076703</v>
      </c>
      <c r="AB54" s="21">
        <f>EXP(-LN(2)/2)*AB53+(1-EXP(-LN(2)/2))/(LN(2)/2)*V54*Y54*VLOOKUP('Données projet'!$B$9,Paramètres!$A$1:$I$89,3,0)*0.475*44/12</f>
        <v>2.2457606665120033E-2</v>
      </c>
      <c r="AC54" s="22">
        <f t="shared" si="3"/>
        <v>19.892100969022447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8.8000000000000007</v>
      </c>
      <c r="AI54" s="13">
        <f>IF('Données projet'!$A$62&gt;35,AI53+AH54-AQ53,IF(A54&lt;'Données projet'!$A$62,$AF$205^A54,IF(A54='Données projet'!$A$62,'Données projet'!$B$62,AI53+AH54-AQ53)))</f>
        <v>271.80000000000018</v>
      </c>
      <c r="AJ54" s="13">
        <f>AI54*VLOOKUP('Données projet'!$B$10,Paramètres!$A$1:$I$89,3,0)*VLOOKUP('Données projet'!$B$10,Paramètres!$A$1:$I$89,5,0)</f>
        <v>169.60320000000013</v>
      </c>
      <c r="AK54" s="13">
        <f t="shared" si="35"/>
        <v>43.001141502019024</v>
      </c>
      <c r="AL54" s="20">
        <f t="shared" si="4"/>
        <v>370.28589478268333</v>
      </c>
      <c r="AM54" s="59">
        <f t="shared" si="5"/>
        <v>663.61922811601664</v>
      </c>
      <c r="AN54" s="59">
        <f ca="1">AVERAGE(OFFSET($AM$3,0,0,'Données projet'!$E$10+1,1))-AVERAGE(OFFSET($H$3,0,0,'Données projet'!$E$10+1,1))</f>
        <v>240.30073883588199</v>
      </c>
      <c r="AO54" s="59">
        <f t="shared" si="36"/>
        <v>263.20351282678843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4.587480537763315</v>
      </c>
      <c r="AV54" s="21">
        <f>EXP(-LN(2)/25)*AV53+(1-EXP(-LN(2)/25))/(LN(2)/25)*Calculateur!AQ54*Calculateur!AS54*VLOOKUP('Données projet'!$B$10,Paramètres!$A$1:$I$89,3,0)*0.475*44/12</f>
        <v>11.613031373684167</v>
      </c>
      <c r="AW54" s="21">
        <f>EXP(-LN(2)/2)*AW53+(1-EXP(-LN(2)/2))/(LN(2)/2)*AQ54*AT54*VLOOKUP('Données projet'!$B$10,Paramètres!$A$1:$I$89,3,0)*0.475*44/12</f>
        <v>1.394244390660491E-2</v>
      </c>
      <c r="AX54" s="21">
        <f t="shared" si="6"/>
        <v>16.214454355354086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252.98248842635206</v>
      </c>
      <c r="BJ54" s="59">
        <f t="shared" si="38"/>
        <v>207.11938580878308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</v>
      </c>
      <c r="BY54" s="12">
        <f>IF('Données projet'!$A$114&gt;35,BY53+BX54-CG53,IF(A54&lt;'Données projet'!$A$114,$BV$205^A54,IF(A54='Données projet'!$A$114,'Données projet'!$B$114,BY53+BX54-CG53)))</f>
        <v>460</v>
      </c>
      <c r="BZ54" s="13">
        <f>BY54*VLOOKUP('Données projet'!$B$12,Paramètres!$A$1:$I$89,3,0)*VLOOKUP('Données projet'!$B$12,Paramètres!$A$1:$I$89,5,0)</f>
        <v>257.14</v>
      </c>
      <c r="CA54" s="13">
        <f t="shared" si="39"/>
        <v>62.112349635142181</v>
      </c>
      <c r="CB54" s="20">
        <f t="shared" si="10"/>
        <v>556.03117561453928</v>
      </c>
      <c r="CC54" s="59">
        <f t="shared" si="11"/>
        <v>849.36450894787254</v>
      </c>
      <c r="CD54" s="59">
        <f ca="1">AVERAGE(OFFSET($CC$3,0,0,'Données projet'!$E$12+1,1))-AVERAGE(OFFSET($H$3,0,0,'Données projet'!$E$12+1,1))</f>
        <v>401.06118089678654</v>
      </c>
      <c r="CE54" s="59">
        <f t="shared" si="40"/>
        <v>399.58193819355591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6.7808696698814028</v>
      </c>
      <c r="CL54" s="21">
        <f>EXP(-LN(2)/25)*CL53+(1-EXP(-LN(2)/25))/(LN(2)/25)*Calculateur!CG54*Calculateur!CI54*VLOOKUP('Données projet'!$B$12,Paramètres!$A$1:$I$89,3,0)*0.475*44/12</f>
        <v>18.661856368286237</v>
      </c>
      <c r="CM54" s="21">
        <f>EXP(-LN(2)/2)*CM53+(1-EXP(-LN(2)/2))/(LN(2)/2)*CG54*CJ54*VLOOKUP('Données projet'!$B$12,Paramètres!$A$1:$I$89,3,0)*0.475*44/12</f>
        <v>2.2601014115088868E-2</v>
      </c>
      <c r="CN54" s="22">
        <f t="shared" si="12"/>
        <v>25.465327052282731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</v>
      </c>
      <c r="CT54" s="12">
        <f>IF('Données projet'!$A$140&gt;35,CT53+CS54-DB53,IF(A54&lt;'Données projet'!$A$140,$CQ$205^A54,IF(A54='Données projet'!$A$140,'Données projet'!$B$140,CT53+CS54-DB53)))</f>
        <v>313.99999999999989</v>
      </c>
      <c r="CU54" s="17">
        <f>CT54*VLOOKUP('Données projet'!$B$13,Paramètres!$A$1:$I$89,3,0)*VLOOKUP('Données projet'!$B$13,Paramètres!$A$1:$I$89,5,0)</f>
        <v>195.93599999999992</v>
      </c>
      <c r="CV54" s="13">
        <f t="shared" si="41"/>
        <v>48.849959202565856</v>
      </c>
      <c r="CW54" s="20">
        <f t="shared" si="13"/>
        <v>426.33554561113533</v>
      </c>
      <c r="CX54" s="59">
        <f t="shared" si="14"/>
        <v>719.66887894446859</v>
      </c>
      <c r="CY54" s="59">
        <f ca="1">AVERAGE(OFFSET($CX$3,0,0,'Données projet'!$E$13+1,1))-AVERAGE(OFFSET($H$3,0,0,'Données projet'!$E$13+1,1))</f>
        <v>285.77483300338548</v>
      </c>
      <c r="CZ54" s="59">
        <f t="shared" si="42"/>
        <v>320.55212417690637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5.5049766453159785</v>
      </c>
      <c r="DG54" s="21">
        <f>EXP(-LN(2)/25)*DG53+(1-EXP(-LN(2)/25))/(LN(2)/25)*Calculateur!DB54*Calculateur!DD54*VLOOKUP('Données projet'!$B$13,Paramètres!$A$1:$I$89,3,0)*0.475*44/12</f>
        <v>15.569322366000099</v>
      </c>
      <c r="DH54" s="21">
        <f>EXP(-LN(2)/2)*DH53+(1-EXP(-LN(2)/2))/(LN(2)/2)*DB54*DE54*VLOOKUP('Données projet'!$B$13,Paramètres!$A$1:$I$89,3,0)*0.475*44/12</f>
        <v>1.6849851290956515E-2</v>
      </c>
      <c r="DI54" s="22">
        <f t="shared" si="15"/>
        <v>21.091148862607035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</v>
      </c>
      <c r="N55" s="13">
        <f>IF('Données projet'!$A$36&gt;35,N54+M55-V54,IF(A55&lt;'Données projet'!$A$36,$K$205^A55,IF(A55='Données projet'!$A$36,'Données projet'!$B$36,N54+M55-V54)))</f>
        <v>433.39999999999981</v>
      </c>
      <c r="O55" s="13">
        <f>N55*VLOOKUP('Données projet'!$B$9,Paramètres!$A$1:$I$89,3,0)*VLOOKUP('Données projet'!$B$9,Paramètres!$A$1:$I$89,5,0)</f>
        <v>242.27059999999989</v>
      </c>
      <c r="P55" s="13">
        <f t="shared" si="33"/>
        <v>58.927793080541385</v>
      </c>
      <c r="Q55" s="20">
        <f t="shared" si="53"/>
        <v>524.58720128194273</v>
      </c>
      <c r="R55" s="59">
        <f t="shared" si="0"/>
        <v>817.92053461527598</v>
      </c>
      <c r="S55" s="59">
        <f ca="1">AVERAGE(OFFSET($R$3,0,0,'Données projet'!$E$9+1,1))-AVERAGE(OFFSET($H$3,0,0,'Données projet'!$E$9+1,1))</f>
        <v>356.67698551373468</v>
      </c>
      <c r="T55" s="59">
        <f t="shared" si="34"/>
        <v>353.21836615408171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2.9546226451453959</v>
      </c>
      <c r="AA55" s="21">
        <f>EXP(-LN(2)/25)*AA54+(1-EXP(-LN(2)/25))/(LN(2)/25)*Calculateur!V55*Calculateur!X55*VLOOKUP('Données projet'!$B$9,Paramètres!$A$1:$I$89,3,0)*0.475*44/12</f>
        <v>16.394997394306507</v>
      </c>
      <c r="AB55" s="21">
        <f>EXP(-LN(2)/2)*AB54+(1-EXP(-LN(2)/2))/(LN(2)/2)*V55*Y55*VLOOKUP('Données projet'!$B$9,Paramètres!$A$1:$I$89,3,0)*0.475*44/12</f>
        <v>1.5879925962126583E-2</v>
      </c>
      <c r="AC55" s="22">
        <f t="shared" si="3"/>
        <v>19.365499965414031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8.8000000000000007</v>
      </c>
      <c r="AI55" s="13">
        <f>IF('Données projet'!$A$62&gt;35,AI54+AH55-AQ54,IF(A55&lt;'Données projet'!$A$62,$AF$205^A55,IF(A55='Données projet'!$A$62,'Données projet'!$B$62,AI54+AH55-AQ54)))</f>
        <v>280.60000000000019</v>
      </c>
      <c r="AJ55" s="13">
        <f>AI55*VLOOKUP('Données projet'!$B$10,Paramètres!$A$1:$I$89,3,0)*VLOOKUP('Données projet'!$B$10,Paramètres!$A$1:$I$89,5,0)</f>
        <v>175.09440000000015</v>
      </c>
      <c r="AK55" s="13">
        <f t="shared" si="35"/>
        <v>44.229031605991956</v>
      </c>
      <c r="AL55" s="20">
        <f t="shared" si="4"/>
        <v>381.98831004710291</v>
      </c>
      <c r="AM55" s="59">
        <f t="shared" si="5"/>
        <v>675.32164338043617</v>
      </c>
      <c r="AN55" s="59">
        <f ca="1">AVERAGE(OFFSET($AM$3,0,0,'Données projet'!$E$10+1,1))-AVERAGE(OFFSET($H$3,0,0,'Données projet'!$E$10+1,1))</f>
        <v>240.30073883588199</v>
      </c>
      <c r="AO55" s="59">
        <f t="shared" si="36"/>
        <v>263.20351282678843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4.4975228425046163</v>
      </c>
      <c r="AV55" s="21">
        <f>EXP(-LN(2)/25)*AV54+(1-EXP(-LN(2)/25))/(LN(2)/25)*Calculateur!AQ55*Calculateur!AS55*VLOOKUP('Données projet'!$B$10,Paramètres!$A$1:$I$89,3,0)*0.475*44/12</f>
        <v>11.295472420067997</v>
      </c>
      <c r="AW55" s="21">
        <f>EXP(-LN(2)/2)*AW54+(1-EXP(-LN(2)/2))/(LN(2)/2)*AQ55*AT55*VLOOKUP('Données projet'!$B$10,Paramètres!$A$1:$I$89,3,0)*0.475*44/12</f>
        <v>9.8587966326733906E-3</v>
      </c>
      <c r="AX55" s="21">
        <f t="shared" si="6"/>
        <v>15.802854059205288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252.98248842635206</v>
      </c>
      <c r="BJ55" s="59">
        <f t="shared" si="38"/>
        <v>207.11938580878308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18</v>
      </c>
      <c r="BY55" s="12">
        <f>IF('Données projet'!$A$114&gt;35,BY54+BX55-CG54,IF(A55&lt;'Données projet'!$A$114,$BV$205^A55,IF(A55='Données projet'!$A$114,'Données projet'!$B$114,BY54+BX55-CG54)))</f>
        <v>478</v>
      </c>
      <c r="BZ55" s="13">
        <f>BY55*VLOOKUP('Données projet'!$B$12,Paramètres!$A$1:$I$89,3,0)*VLOOKUP('Données projet'!$B$12,Paramètres!$A$1:$I$89,5,0)</f>
        <v>267.202</v>
      </c>
      <c r="CA55" s="13">
        <f t="shared" si="39"/>
        <v>64.255103543261868</v>
      </c>
      <c r="CB55" s="20">
        <f t="shared" si="10"/>
        <v>577.28778867118103</v>
      </c>
      <c r="CC55" s="59">
        <f t="shared" si="11"/>
        <v>870.62112200451429</v>
      </c>
      <c r="CD55" s="59">
        <f ca="1">AVERAGE(OFFSET($CC$3,0,0,'Données projet'!$E$12+1,1))-AVERAGE(OFFSET($H$3,0,0,'Données projet'!$E$12+1,1))</f>
        <v>401.06118089678654</v>
      </c>
      <c r="CE55" s="59">
        <f t="shared" si="40"/>
        <v>399.58193819355591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6.6479009515771388</v>
      </c>
      <c r="CL55" s="21">
        <f>EXP(-LN(2)/25)*CL54+(1-EXP(-LN(2)/25))/(LN(2)/25)*Calculateur!CG55*Calculateur!CI55*VLOOKUP('Données projet'!$B$12,Paramètres!$A$1:$I$89,3,0)*0.475*44/12</f>
        <v>18.151546924511077</v>
      </c>
      <c r="CM55" s="21">
        <f>EXP(-LN(2)/2)*CM54+(1-EXP(-LN(2)/2))/(LN(2)/2)*CG55*CJ55*VLOOKUP('Données projet'!$B$12,Paramètres!$A$1:$I$89,3,0)*0.475*44/12</f>
        <v>1.5981330342472216E-2</v>
      </c>
      <c r="CN55" s="22">
        <f t="shared" si="12"/>
        <v>24.815429206430689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</v>
      </c>
      <c r="CT55" s="12">
        <f>IF('Données projet'!$A$140&gt;35,CT54+CS55-DB54,IF(A55&lt;'Données projet'!$A$140,$CQ$205^A55,IF(A55='Données projet'!$A$140,'Données projet'!$B$140,CT54+CS55-DB54)))</f>
        <v>323.99999999999989</v>
      </c>
      <c r="CU55" s="17">
        <f>CT55*VLOOKUP('Données projet'!$B$13,Paramètres!$A$1:$I$89,3,0)*VLOOKUP('Données projet'!$B$13,Paramètres!$A$1:$I$89,5,0)</f>
        <v>202.17599999999996</v>
      </c>
      <c r="CV55" s="13">
        <f t="shared" si="41"/>
        <v>50.22208506756467</v>
      </c>
      <c r="CW55" s="20">
        <f t="shared" si="13"/>
        <v>439.59333149267508</v>
      </c>
      <c r="CX55" s="59">
        <f t="shared" si="14"/>
        <v>732.92666482600839</v>
      </c>
      <c r="CY55" s="59">
        <f ca="1">AVERAGE(OFFSET($CX$3,0,0,'Données projet'!$E$13+1,1))-AVERAGE(OFFSET($H$3,0,0,'Données projet'!$E$13+1,1))</f>
        <v>285.77483300338548</v>
      </c>
      <c r="CZ55" s="59">
        <f t="shared" si="42"/>
        <v>320.55212417690637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5.3970274110055403</v>
      </c>
      <c r="DG55" s="21">
        <f>EXP(-LN(2)/25)*DG54+(1-EXP(-LN(2)/25))/(LN(2)/25)*Calculateur!DB55*Calculateur!DD55*VLOOKUP('Données projet'!$B$13,Paramètres!$A$1:$I$89,3,0)*0.475*44/12</f>
        <v>15.143578427146748</v>
      </c>
      <c r="DH55" s="21">
        <f>EXP(-LN(2)/2)*DH54+(1-EXP(-LN(2)/2))/(LN(2)/2)*DB55*DE55*VLOOKUP('Données projet'!$B$13,Paramètres!$A$1:$I$89,3,0)*0.475*44/12</f>
        <v>1.1914644109820254E-2</v>
      </c>
      <c r="DI55" s="22">
        <f t="shared" si="15"/>
        <v>20.552520482262107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</v>
      </c>
      <c r="N56" s="13">
        <f>IF('Données projet'!$A$36&gt;35,N55+M56-V55,IF(A56&lt;'Données projet'!$A$36,$K$205^A56,IF(A56='Données projet'!$A$36,'Données projet'!$B$36,N55+M56-V55)))</f>
        <v>449.5999999999998</v>
      </c>
      <c r="O56" s="13">
        <f>N56*VLOOKUP('Données projet'!$B$9,Paramètres!$A$1:$I$89,3,0)*VLOOKUP('Données projet'!$B$9,Paramètres!$A$1:$I$89,5,0)</f>
        <v>251.32639999999989</v>
      </c>
      <c r="P56" s="13">
        <f t="shared" si="33"/>
        <v>60.869881917806573</v>
      </c>
      <c r="Q56" s="20">
        <f t="shared" si="53"/>
        <v>543.74185767351298</v>
      </c>
      <c r="R56" s="59">
        <f t="shared" si="0"/>
        <v>837.07519100684635</v>
      </c>
      <c r="S56" s="59">
        <f ca="1">AVERAGE(OFFSET($R$3,0,0,'Données projet'!$E$9+1,1))-AVERAGE(OFFSET($H$3,0,0,'Données projet'!$E$9+1,1))</f>
        <v>356.67698551373468</v>
      </c>
      <c r="T56" s="59">
        <f t="shared" si="34"/>
        <v>353.21836615408171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2.8966842972159617</v>
      </c>
      <c r="AA56" s="21">
        <f>EXP(-LN(2)/25)*AA55+(1-EXP(-LN(2)/25))/(LN(2)/25)*Calculateur!V56*Calculateur!X56*VLOOKUP('Données projet'!$B$9,Paramètres!$A$1:$I$89,3,0)*0.475*44/12</f>
        <v>15.946675328383755</v>
      </c>
      <c r="AB56" s="21">
        <f>EXP(-LN(2)/2)*AB55+(1-EXP(-LN(2)/2))/(LN(2)/2)*V56*Y56*VLOOKUP('Données projet'!$B$9,Paramètres!$A$1:$I$89,3,0)*0.475*44/12</f>
        <v>1.1228803332560017E-2</v>
      </c>
      <c r="AC56" s="22">
        <f t="shared" si="3"/>
        <v>18.854588428932278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8.8000000000000007</v>
      </c>
      <c r="AI56" s="13">
        <f>IF('Données projet'!$A$62&gt;35,AI55+AH56-AQ55,IF(A56&lt;'Données projet'!$A$62,$AF$205^A56,IF(A56='Données projet'!$A$62,'Données projet'!$B$62,AI55+AH56-AQ55)))</f>
        <v>289.4000000000002</v>
      </c>
      <c r="AJ56" s="13">
        <f>AI56*VLOOKUP('Données projet'!$B$10,Paramètres!$A$1:$I$89,3,0)*VLOOKUP('Données projet'!$B$10,Paramètres!$A$1:$I$89,5,0)</f>
        <v>180.58560000000011</v>
      </c>
      <c r="AK56" s="13">
        <f t="shared" si="35"/>
        <v>45.452446738615699</v>
      </c>
      <c r="AL56" s="20">
        <f t="shared" si="4"/>
        <v>393.68293140308919</v>
      </c>
      <c r="AM56" s="59">
        <f t="shared" si="5"/>
        <v>687.0162647364225</v>
      </c>
      <c r="AN56" s="59">
        <f ca="1">AVERAGE(OFFSET($AM$3,0,0,'Données projet'!$E$10+1,1))-AVERAGE(OFFSET($H$3,0,0,'Données projet'!$E$10+1,1))</f>
        <v>240.30073883588199</v>
      </c>
      <c r="AO56" s="59">
        <f t="shared" si="36"/>
        <v>263.20351282678843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4.4093291627811642</v>
      </c>
      <c r="AV56" s="21">
        <f>EXP(-LN(2)/25)*AV55+(1-EXP(-LN(2)/25))/(LN(2)/25)*Calculateur!AQ56*Calculateur!AS56*VLOOKUP('Données projet'!$B$10,Paramètres!$A$1:$I$89,3,0)*0.475*44/12</f>
        <v>10.986597132738158</v>
      </c>
      <c r="AW56" s="21">
        <f>EXP(-LN(2)/2)*AW55+(1-EXP(-LN(2)/2))/(LN(2)/2)*AQ56*AT56*VLOOKUP('Données projet'!$B$10,Paramètres!$A$1:$I$89,3,0)*0.475*44/12</f>
        <v>6.9712219533024549E-3</v>
      </c>
      <c r="AX56" s="21">
        <f t="shared" si="6"/>
        <v>15.402897517472624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252.98248842635206</v>
      </c>
      <c r="BJ56" s="59">
        <f t="shared" si="38"/>
        <v>207.11938580878308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</v>
      </c>
      <c r="BY56" s="12">
        <f>IF('Données projet'!$A$114&gt;35,BY55+BX56-CG55,IF(A56&lt;'Données projet'!$A$114,$BV$205^A56,IF(A56='Données projet'!$A$114,'Données projet'!$B$114,BY55+BX56-CG55)))</f>
        <v>496</v>
      </c>
      <c r="BZ56" s="13">
        <f>BY56*VLOOKUP('Données projet'!$B$12,Paramètres!$A$1:$I$89,3,0)*VLOOKUP('Données projet'!$B$12,Paramètres!$A$1:$I$89,5,0)</f>
        <v>277.26400000000001</v>
      </c>
      <c r="CA56" s="13">
        <f t="shared" si="39"/>
        <v>66.388483410423504</v>
      </c>
      <c r="CB56" s="20">
        <f t="shared" si="10"/>
        <v>598.52807527315429</v>
      </c>
      <c r="CC56" s="59">
        <f t="shared" si="11"/>
        <v>891.86140860648766</v>
      </c>
      <c r="CD56" s="59">
        <f ca="1">AVERAGE(OFFSET($CC$3,0,0,'Données projet'!$E$12+1,1))-AVERAGE(OFFSET($H$3,0,0,'Données projet'!$E$12+1,1))</f>
        <v>401.06118089678654</v>
      </c>
      <c r="CE56" s="59">
        <f t="shared" si="40"/>
        <v>399.58193819355591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6.5175396687359113</v>
      </c>
      <c r="CL56" s="21">
        <f>EXP(-LN(2)/25)*CL55+(1-EXP(-LN(2)/25))/(LN(2)/25)*Calculateur!CG56*Calculateur!CI56*VLOOKUP('Données projet'!$B$12,Paramètres!$A$1:$I$89,3,0)*0.475*44/12</f>
        <v>17.655191919311957</v>
      </c>
      <c r="CM56" s="21">
        <f>EXP(-LN(2)/2)*CM55+(1-EXP(-LN(2)/2))/(LN(2)/2)*CG56*CJ56*VLOOKUP('Données projet'!$B$12,Paramètres!$A$1:$I$89,3,0)*0.475*44/12</f>
        <v>1.1300507057544434E-2</v>
      </c>
      <c r="CN56" s="22">
        <f t="shared" si="12"/>
        <v>24.184032095105412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</v>
      </c>
      <c r="CT56" s="12">
        <f>IF('Données projet'!$A$140&gt;35,CT55+CS56-DB55,IF(A56&lt;'Données projet'!$A$140,$CQ$205^A56,IF(A56='Données projet'!$A$140,'Données projet'!$B$140,CT55+CS56-DB55)))</f>
        <v>333.99999999999989</v>
      </c>
      <c r="CU56" s="17">
        <f>CT56*VLOOKUP('Données projet'!$B$13,Paramètres!$A$1:$I$89,3,0)*VLOOKUP('Données projet'!$B$13,Paramètres!$A$1:$I$89,5,0)</f>
        <v>208.41599999999991</v>
      </c>
      <c r="CV56" s="13">
        <f t="shared" si="41"/>
        <v>51.589289462027516</v>
      </c>
      <c r="CW56" s="20">
        <f t="shared" si="13"/>
        <v>452.84254581303099</v>
      </c>
      <c r="CX56" s="59">
        <f t="shared" si="14"/>
        <v>746.17587914636431</v>
      </c>
      <c r="CY56" s="59">
        <f ca="1">AVERAGE(OFFSET($CX$3,0,0,'Données projet'!$E$13+1,1))-AVERAGE(OFFSET($H$3,0,0,'Données projet'!$E$13+1,1))</f>
        <v>285.77483300338548</v>
      </c>
      <c r="CZ56" s="59">
        <f t="shared" si="42"/>
        <v>320.55212417690637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5.2911949953373982</v>
      </c>
      <c r="DG56" s="21">
        <f>EXP(-LN(2)/25)*DG55+(1-EXP(-LN(2)/25))/(LN(2)/25)*Calculateur!DB56*Calculateur!DD56*VLOOKUP('Données projet'!$B$13,Paramètres!$A$1:$I$89,3,0)*0.475*44/12</f>
        <v>14.729476478690241</v>
      </c>
      <c r="DH56" s="21">
        <f>EXP(-LN(2)/2)*DH55+(1-EXP(-LN(2)/2))/(LN(2)/2)*DB56*DE56*VLOOKUP('Données projet'!$B$13,Paramètres!$A$1:$I$89,3,0)*0.475*44/12</f>
        <v>8.4249256454782574E-3</v>
      </c>
      <c r="DI56" s="22">
        <f t="shared" si="15"/>
        <v>20.029096399673119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</v>
      </c>
      <c r="N57" s="13">
        <f>IF('Données projet'!$A$36&gt;35,N56+M57-V56,IF(A57&lt;'Données projet'!$A$36,$K$205^A57,IF(A57='Données projet'!$A$36,'Données projet'!$B$36,N56+M57-V56)))</f>
        <v>465.79999999999978</v>
      </c>
      <c r="O57" s="13">
        <f>N57*VLOOKUP('Données projet'!$B$9,Paramètres!$A$1:$I$89,3,0)*VLOOKUP('Données projet'!$B$9,Paramètres!$A$1:$I$89,5,0)</f>
        <v>260.3821999999999</v>
      </c>
      <c r="P57" s="13">
        <f t="shared" si="33"/>
        <v>62.803840584871082</v>
      </c>
      <c r="Q57" s="20">
        <f t="shared" si="53"/>
        <v>562.88235401865029</v>
      </c>
      <c r="R57" s="59">
        <f t="shared" si="0"/>
        <v>856.21568735198366</v>
      </c>
      <c r="S57" s="59">
        <f ca="1">AVERAGE(OFFSET($R$3,0,0,'Données projet'!$E$9+1,1))-AVERAGE(OFFSET($H$3,0,0,'Données projet'!$E$9+1,1))</f>
        <v>356.67698551373468</v>
      </c>
      <c r="T57" s="59">
        <f t="shared" si="34"/>
        <v>353.21836615408171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2.8398820849505206</v>
      </c>
      <c r="AA57" s="21">
        <f>EXP(-LN(2)/25)*AA56+(1-EXP(-LN(2)/25))/(LN(2)/25)*Calculateur!V57*Calculateur!X57*VLOOKUP('Données projet'!$B$9,Paramètres!$A$1:$I$89,3,0)*0.475*44/12</f>
        <v>15.510612652929892</v>
      </c>
      <c r="AB57" s="21">
        <f>EXP(-LN(2)/2)*AB56+(1-EXP(-LN(2)/2))/(LN(2)/2)*V57*Y57*VLOOKUP('Données projet'!$B$9,Paramètres!$A$1:$I$89,3,0)*0.475*44/12</f>
        <v>7.9399629810632914E-3</v>
      </c>
      <c r="AC57" s="22">
        <f t="shared" si="3"/>
        <v>18.358434700861473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8.8000000000000007</v>
      </c>
      <c r="AI57" s="13">
        <f>IF('Données projet'!$A$62&gt;35,AI56+AH57-AQ56,IF(A57&lt;'Données projet'!$A$62,$AF$205^A57,IF(A57='Données projet'!$A$62,'Données projet'!$B$62,AI56+AH57-AQ56)))</f>
        <v>298.20000000000022</v>
      </c>
      <c r="AJ57" s="13">
        <f>AI57*VLOOKUP('Données projet'!$B$10,Paramètres!$A$1:$I$89,3,0)*VLOOKUP('Données projet'!$B$10,Paramètres!$A$1:$I$89,5,0)</f>
        <v>186.07680000000016</v>
      </c>
      <c r="AK57" s="13">
        <f t="shared" si="35"/>
        <v>46.671538591528716</v>
      </c>
      <c r="AL57" s="20">
        <f t="shared" si="4"/>
        <v>405.37002304691276</v>
      </c>
      <c r="AM57" s="59">
        <f t="shared" si="5"/>
        <v>698.70335638024608</v>
      </c>
      <c r="AN57" s="59">
        <f ca="1">AVERAGE(OFFSET($AM$3,0,0,'Données projet'!$E$10+1,1))-AVERAGE(OFFSET($H$3,0,0,'Données projet'!$E$10+1,1))</f>
        <v>240.30073883588199</v>
      </c>
      <c r="AO57" s="59">
        <f t="shared" si="36"/>
        <v>263.20351282678843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4.3228649073242558</v>
      </c>
      <c r="AV57" s="21">
        <f>EXP(-LN(2)/25)*AV56+(1-EXP(-LN(2)/25))/(LN(2)/25)*Calculateur!AQ57*Calculateur!AS57*VLOOKUP('Données projet'!$B$10,Paramètres!$A$1:$I$89,3,0)*0.475*44/12</f>
        <v>10.6861680563834</v>
      </c>
      <c r="AW57" s="21">
        <f>EXP(-LN(2)/2)*AW56+(1-EXP(-LN(2)/2))/(LN(2)/2)*AQ57*AT57*VLOOKUP('Données projet'!$B$10,Paramètres!$A$1:$I$89,3,0)*0.475*44/12</f>
        <v>4.9293983163366953E-3</v>
      </c>
      <c r="AX57" s="21">
        <f t="shared" si="6"/>
        <v>15.013962362023992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252.98248842635206</v>
      </c>
      <c r="BJ57" s="59">
        <f t="shared" si="38"/>
        <v>207.11938580878308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</v>
      </c>
      <c r="BY57" s="12">
        <f>IF('Données projet'!$A$114&gt;35,BY56+BX57-CG56,IF(A57&lt;'Données projet'!$A$114,$BV$205^A57,IF(A57='Données projet'!$A$114,'Données projet'!$B$114,BY56+BX57-CG56)))</f>
        <v>514</v>
      </c>
      <c r="BZ57" s="13">
        <f>BY57*VLOOKUP('Données projet'!$B$12,Paramètres!$A$1:$I$89,3,0)*VLOOKUP('Données projet'!$B$12,Paramètres!$A$1:$I$89,5,0)</f>
        <v>287.32600000000002</v>
      </c>
      <c r="CA57" s="13">
        <f t="shared" si="39"/>
        <v>68.512868389632061</v>
      </c>
      <c r="CB57" s="20">
        <f t="shared" si="10"/>
        <v>619.75269577860911</v>
      </c>
      <c r="CC57" s="59">
        <f t="shared" si="11"/>
        <v>913.08602911194248</v>
      </c>
      <c r="CD57" s="59">
        <f ca="1">AVERAGE(OFFSET($CC$3,0,0,'Données projet'!$E$12+1,1))-AVERAGE(OFFSET($H$3,0,0,'Données projet'!$E$12+1,1))</f>
        <v>401.06118089678654</v>
      </c>
      <c r="CE57" s="59">
        <f t="shared" si="40"/>
        <v>399.58193819355591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6.3897346911386688</v>
      </c>
      <c r="CL57" s="21">
        <f>EXP(-LN(2)/25)*CL56+(1-EXP(-LN(2)/25))/(LN(2)/25)*Calculateur!CG57*Calculateur!CI57*VLOOKUP('Données projet'!$B$12,Paramètres!$A$1:$I$89,3,0)*0.475*44/12</f>
        <v>17.172409767832178</v>
      </c>
      <c r="CM57" s="21">
        <f>EXP(-LN(2)/2)*CM56+(1-EXP(-LN(2)/2))/(LN(2)/2)*CG57*CJ57*VLOOKUP('Données projet'!$B$12,Paramètres!$A$1:$I$89,3,0)*0.475*44/12</f>
        <v>7.9906651712361079E-3</v>
      </c>
      <c r="CN57" s="22">
        <f t="shared" si="12"/>
        <v>23.570135124142084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</v>
      </c>
      <c r="CT57" s="12">
        <f>IF('Données projet'!$A$140&gt;35,CT56+CS57-DB56,IF(A57&lt;'Données projet'!$A$140,$CQ$205^A57,IF(A57='Données projet'!$A$140,'Données projet'!$B$140,CT56+CS57-DB56)))</f>
        <v>343.99999999999989</v>
      </c>
      <c r="CU57" s="17">
        <f>CT57*VLOOKUP('Données projet'!$B$13,Paramètres!$A$1:$I$89,3,0)*VLOOKUP('Données projet'!$B$13,Paramètres!$A$1:$I$89,5,0)</f>
        <v>214.65599999999995</v>
      </c>
      <c r="CV57" s="13">
        <f t="shared" si="41"/>
        <v>52.951736650296546</v>
      </c>
      <c r="CW57" s="20">
        <f t="shared" si="13"/>
        <v>466.08347466593301</v>
      </c>
      <c r="CX57" s="59">
        <f t="shared" si="14"/>
        <v>759.41680799926633</v>
      </c>
      <c r="CY57" s="59">
        <f ca="1">AVERAGE(OFFSET($CX$3,0,0,'Données projet'!$E$13+1,1))-AVERAGE(OFFSET($H$3,0,0,'Données projet'!$E$13+1,1))</f>
        <v>285.77483300338548</v>
      </c>
      <c r="CZ57" s="59">
        <f t="shared" si="42"/>
        <v>320.55212417690637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5.1874378887891082</v>
      </c>
      <c r="DG57" s="21">
        <f>EXP(-LN(2)/25)*DG56+(1-EXP(-LN(2)/25))/(LN(2)/25)*Calculateur!DB57*Calculateur!DD57*VLOOKUP('Données projet'!$B$13,Paramètres!$A$1:$I$89,3,0)*0.475*44/12</f>
        <v>14.326698169790953</v>
      </c>
      <c r="DH57" s="21">
        <f>EXP(-LN(2)/2)*DH56+(1-EXP(-LN(2)/2))/(LN(2)/2)*DB57*DE57*VLOOKUP('Données projet'!$B$13,Paramètres!$A$1:$I$89,3,0)*0.475*44/12</f>
        <v>5.9573220549101269E-3</v>
      </c>
      <c r="DI57" s="22">
        <f t="shared" si="15"/>
        <v>19.520093380634972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</v>
      </c>
      <c r="N58" s="13">
        <f>IF('Données projet'!$A$36&gt;35,N57+M58-V57,IF(A58&lt;'Données projet'!$A$36,$K$205^A58,IF(A58='Données projet'!$A$36,'Données projet'!$B$36,N57+M58-V57)))</f>
        <v>481.99999999999977</v>
      </c>
      <c r="O58" s="13">
        <f>N58*VLOOKUP('Données projet'!$B$9,Paramètres!$A$1:$I$89,3,0)*VLOOKUP('Données projet'!$B$9,Paramètres!$A$1:$I$89,5,0)</f>
        <v>269.43799999999987</v>
      </c>
      <c r="P58" s="13">
        <f t="shared" si="33"/>
        <v>64.729984244002736</v>
      </c>
      <c r="Q58" s="20">
        <f t="shared" si="53"/>
        <v>582.00923922497111</v>
      </c>
      <c r="R58" s="59">
        <f t="shared" si="0"/>
        <v>875.34257255830448</v>
      </c>
      <c r="S58" s="59">
        <f ca="1">AVERAGE(OFFSET($R$3,0,0,'Données projet'!$E$9+1,1))-AVERAGE(OFFSET($H$3,0,0,'Données projet'!$E$9+1,1))</f>
        <v>356.67698551373468</v>
      </c>
      <c r="T58" s="59">
        <f t="shared" si="34"/>
        <v>353.21836615408171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2.7841937294216765</v>
      </c>
      <c r="AA58" s="21">
        <f>EXP(-LN(2)/25)*AA57+(1-EXP(-LN(2)/25))/(LN(2)/25)*Calculateur!V58*Calculateur!X58*VLOOKUP('Données projet'!$B$9,Paramètres!$A$1:$I$89,3,0)*0.475*44/12</f>
        <v>15.086474134267855</v>
      </c>
      <c r="AB58" s="21">
        <f>EXP(-LN(2)/2)*AB57+(1-EXP(-LN(2)/2))/(LN(2)/2)*V58*Y58*VLOOKUP('Données projet'!$B$9,Paramètres!$A$1:$I$89,3,0)*0.475*44/12</f>
        <v>5.6144016662800084E-3</v>
      </c>
      <c r="AC58" s="22">
        <f t="shared" si="3"/>
        <v>17.876282265355808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8.8000000000000007</v>
      </c>
      <c r="AI58" s="13">
        <f>IF('Données projet'!$A$62&gt;35,AI57+AH58-AQ57,IF(A58&lt;'Données projet'!$A$62,$AF$205^A58,IF(A58='Données projet'!$A$62,'Données projet'!$B$62,AI57+AH58-AQ57)))</f>
        <v>307.00000000000023</v>
      </c>
      <c r="AJ58" s="13">
        <f>AI58*VLOOKUP('Données projet'!$B$10,Paramètres!$A$1:$I$89,3,0)*VLOOKUP('Données projet'!$B$10,Paramètres!$A$1:$I$89,5,0)</f>
        <v>191.56800000000013</v>
      </c>
      <c r="AK58" s="13">
        <f t="shared" si="35"/>
        <v>47.886449394440142</v>
      </c>
      <c r="AL58" s="20">
        <f t="shared" si="4"/>
        <v>417.04983269531681</v>
      </c>
      <c r="AM58" s="59">
        <f t="shared" si="5"/>
        <v>710.38316602865007</v>
      </c>
      <c r="AN58" s="59">
        <f ca="1">AVERAGE(OFFSET($AM$3,0,0,'Données projet'!$E$10+1,1))-AVERAGE(OFFSET($H$3,0,0,'Données projet'!$E$10+1,1))</f>
        <v>240.30073883588199</v>
      </c>
      <c r="AO58" s="59">
        <f t="shared" si="36"/>
        <v>263.20351282678843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4.2380961631788692</v>
      </c>
      <c r="AV58" s="21">
        <f>EXP(-LN(2)/25)*AV57+(1-EXP(-LN(2)/25))/(LN(2)/25)*Calculateur!AQ58*Calculateur!AS58*VLOOKUP('Données projet'!$B$10,Paramètres!$A$1:$I$89,3,0)*0.475*44/12</f>
        <v>10.393954228920441</v>
      </c>
      <c r="AW58" s="21">
        <f>EXP(-LN(2)/2)*AW57+(1-EXP(-LN(2)/2))/(LN(2)/2)*AQ58*AT58*VLOOKUP('Données projet'!$B$10,Paramètres!$A$1:$I$89,3,0)*0.475*44/12</f>
        <v>3.4856109766512274E-3</v>
      </c>
      <c r="AX58" s="21">
        <f t="shared" si="6"/>
        <v>14.635536003075961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252.98248842635206</v>
      </c>
      <c r="BJ58" s="59">
        <f t="shared" si="38"/>
        <v>207.11938580878308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18</v>
      </c>
      <c r="BY58" s="12">
        <f>IF('Données projet'!$A$114&gt;35,BY57+BX58-CG57,IF(A58&lt;'Données projet'!$A$114,$BV$205^A58,IF(A58='Données projet'!$A$114,'Données projet'!$B$114,BY57+BX58-CG57)))</f>
        <v>532</v>
      </c>
      <c r="BZ58" s="13">
        <f>BY58*VLOOKUP('Données projet'!$B$12,Paramètres!$A$1:$I$89,3,0)*VLOOKUP('Données projet'!$B$12,Paramètres!$A$1:$I$89,5,0)</f>
        <v>297.38799999999998</v>
      </c>
      <c r="CA58" s="13">
        <f t="shared" si="39"/>
        <v>70.628609572625066</v>
      </c>
      <c r="CB58" s="20">
        <f t="shared" si="10"/>
        <v>640.96226167232192</v>
      </c>
      <c r="CC58" s="59">
        <f t="shared" si="11"/>
        <v>934.29559500565529</v>
      </c>
      <c r="CD58" s="59">
        <f ca="1">AVERAGE(OFFSET($CC$3,0,0,'Données projet'!$E$12+1,1))-AVERAGE(OFFSET($H$3,0,0,'Données projet'!$E$12+1,1))</f>
        <v>401.06118089678654</v>
      </c>
      <c r="CE58" s="59">
        <f t="shared" si="40"/>
        <v>399.58193819355591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6.2644358911987696</v>
      </c>
      <c r="CL58" s="21">
        <f>EXP(-LN(2)/25)*CL57+(1-EXP(-LN(2)/25))/(LN(2)/25)*Calculateur!CG58*Calculateur!CI58*VLOOKUP('Données projet'!$B$12,Paramètres!$A$1:$I$89,3,0)*0.475*44/12</f>
        <v>16.702829319673025</v>
      </c>
      <c r="CM58" s="21">
        <f>EXP(-LN(2)/2)*CM57+(1-EXP(-LN(2)/2))/(LN(2)/2)*CG58*CJ58*VLOOKUP('Données projet'!$B$12,Paramètres!$A$1:$I$89,3,0)*0.475*44/12</f>
        <v>5.650253528772217E-3</v>
      </c>
      <c r="CN58" s="22">
        <f t="shared" si="12"/>
        <v>22.972915464400565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</v>
      </c>
      <c r="CT58" s="12">
        <f>IF('Données projet'!$A$140&gt;35,CT57+CS58-DB57,IF(A58&lt;'Données projet'!$A$140,$CQ$205^A58,IF(A58='Données projet'!$A$140,'Données projet'!$B$140,CT57+CS58-DB57)))</f>
        <v>353.99999999999989</v>
      </c>
      <c r="CU58" s="17">
        <f>CT58*VLOOKUP('Données projet'!$B$13,Paramètres!$A$1:$I$89,3,0)*VLOOKUP('Données projet'!$B$13,Paramètres!$A$1:$I$89,5,0)</f>
        <v>220.89599999999993</v>
      </c>
      <c r="CV58" s="13">
        <f t="shared" si="41"/>
        <v>54.309580803412238</v>
      </c>
      <c r="CW58" s="20">
        <f t="shared" si="13"/>
        <v>479.31638656594276</v>
      </c>
      <c r="CX58" s="59">
        <f t="shared" si="14"/>
        <v>772.64971989927608</v>
      </c>
      <c r="CY58" s="59">
        <f ca="1">AVERAGE(OFFSET($CX$3,0,0,'Données projet'!$E$13+1,1))-AVERAGE(OFFSET($H$3,0,0,'Données projet'!$E$13+1,1))</f>
        <v>285.77483300338548</v>
      </c>
      <c r="CZ58" s="59">
        <f t="shared" si="42"/>
        <v>320.55212417690637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5.0857153958146446</v>
      </c>
      <c r="DG58" s="21">
        <f>EXP(-LN(2)/25)*DG57+(1-EXP(-LN(2)/25))/(LN(2)/25)*Calculateur!DB58*Calculateur!DD58*VLOOKUP('Données projet'!$B$13,Paramètres!$A$1:$I$89,3,0)*0.475*44/12</f>
        <v>13.934933854929707</v>
      </c>
      <c r="DH58" s="21">
        <f>EXP(-LN(2)/2)*DH57+(1-EXP(-LN(2)/2))/(LN(2)/2)*DB58*DE58*VLOOKUP('Données projet'!$B$13,Paramètres!$A$1:$I$89,3,0)*0.475*44/12</f>
        <v>4.2124628227391287E-3</v>
      </c>
      <c r="DI58" s="22">
        <f t="shared" si="15"/>
        <v>19.024861713567091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16.2</v>
      </c>
      <c r="N59" s="13">
        <f>IF('Données projet'!$A$36&gt;35,N58+M59-V58,IF(A59&lt;'Données projet'!$A$36,$K$205^A59,IF(A59='Données projet'!$A$36,'Données projet'!$B$36,N58+M59-V58)))</f>
        <v>498.19999999999976</v>
      </c>
      <c r="O59" s="13">
        <f>N59*VLOOKUP('Données projet'!$B$9,Paramètres!$A$1:$I$89,3,0)*VLOOKUP('Données projet'!$B$9,Paramètres!$A$1:$I$89,5,0)</f>
        <v>278.49379999999985</v>
      </c>
      <c r="P59" s="13">
        <f t="shared" si="33"/>
        <v>66.648605670285122</v>
      </c>
      <c r="Q59" s="20">
        <f t="shared" si="53"/>
        <v>601.12302320907963</v>
      </c>
      <c r="R59" s="59">
        <f t="shared" si="0"/>
        <v>894.456356542413</v>
      </c>
      <c r="S59" s="59">
        <f ca="1">AVERAGE(OFFSET($R$3,0,0,'Données projet'!$E$9+1,1))-AVERAGE(OFFSET($H$3,0,0,'Données projet'!$E$9+1,1))</f>
        <v>356.67698551373468</v>
      </c>
      <c r="T59" s="59">
        <f t="shared" si="34"/>
        <v>353.21836615408171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2.7295973885782101</v>
      </c>
      <c r="AA59" s="21">
        <f>EXP(-LN(2)/25)*AA58+(1-EXP(-LN(2)/25))/(LN(2)/25)*Calculateur!V59*Calculateur!X59*VLOOKUP('Données projet'!$B$9,Paramètres!$A$1:$I$89,3,0)*0.475*44/12</f>
        <v>14.673933705703107</v>
      </c>
      <c r="AB59" s="21">
        <f>EXP(-LN(2)/2)*AB58+(1-EXP(-LN(2)/2))/(LN(2)/2)*V59*Y59*VLOOKUP('Données projet'!$B$9,Paramètres!$A$1:$I$89,3,0)*0.475*44/12</f>
        <v>3.9699814905316457E-3</v>
      </c>
      <c r="AC59" s="22">
        <f t="shared" si="3"/>
        <v>17.407501075771847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315.80000000000024</v>
      </c>
      <c r="AJ59" s="13">
        <f>AI59*VLOOKUP('Données projet'!$B$10,Paramètres!$A$1:$I$89,3,0)*VLOOKUP('Données projet'!$B$10,Paramètres!$A$1:$I$89,5,0)</f>
        <v>197.05920000000015</v>
      </c>
      <c r="AK59" s="13">
        <f t="shared" si="35"/>
        <v>49.097312759424973</v>
      </c>
      <c r="AL59" s="20">
        <f t="shared" si="4"/>
        <v>428.72259305599874</v>
      </c>
      <c r="AM59" s="59">
        <f t="shared" si="5"/>
        <v>722.05592638933206</v>
      </c>
      <c r="AN59" s="59">
        <f ca="1">AVERAGE(OFFSET($AM$3,0,0,'Données projet'!$E$10+1,1))-AVERAGE(OFFSET($H$3,0,0,'Données projet'!$E$10+1,1))</f>
        <v>240.30073883588199</v>
      </c>
      <c r="AO59" s="59">
        <f t="shared" si="36"/>
        <v>263.20351282678843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4.1549896824023449</v>
      </c>
      <c r="AV59" s="21">
        <f>EXP(-LN(2)/25)*AV58+(1-EXP(-LN(2)/25))/(LN(2)/25)*Calculateur!AQ59*Calculateur!AS59*VLOOKUP('Données projet'!$B$10,Paramètres!$A$1:$I$89,3,0)*0.475*44/12</f>
        <v>10.109731003936314</v>
      </c>
      <c r="AW59" s="21">
        <f>EXP(-LN(2)/2)*AW58+(1-EXP(-LN(2)/2))/(LN(2)/2)*AQ59*AT59*VLOOKUP('Données projet'!$B$10,Paramètres!$A$1:$I$89,3,0)*0.475*44/12</f>
        <v>2.4646991581683477E-3</v>
      </c>
      <c r="AX59" s="21">
        <f t="shared" si="6"/>
        <v>14.267185385496827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252.98248842635206</v>
      </c>
      <c r="BJ59" s="59">
        <f t="shared" si="38"/>
        <v>207.11938580878308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</v>
      </c>
      <c r="BY59" s="12">
        <f>IF('Données projet'!$A$114&gt;35,BY58+BX59-CG58,IF(A59&lt;'Données projet'!$A$114,$BV$205^A59,IF(A59='Données projet'!$A$114,'Données projet'!$B$114,BY58+BX59-CG58)))</f>
        <v>550</v>
      </c>
      <c r="BZ59" s="13">
        <f>BY59*VLOOKUP('Données projet'!$B$12,Paramètres!$A$1:$I$89,3,0)*VLOOKUP('Données projet'!$B$12,Paramètres!$A$1:$I$89,5,0)</f>
        <v>307.45</v>
      </c>
      <c r="CA59" s="13">
        <f t="shared" si="39"/>
        <v>72.736032945200179</v>
      </c>
      <c r="CB59" s="20">
        <f t="shared" si="10"/>
        <v>662.15734071289023</v>
      </c>
      <c r="CC59" s="59">
        <f t="shared" si="11"/>
        <v>955.4906740462236</v>
      </c>
      <c r="CD59" s="59">
        <f ca="1">AVERAGE(OFFSET($CC$3,0,0,'Données projet'!$E$12+1,1))-AVERAGE(OFFSET($H$3,0,0,'Données projet'!$E$12+1,1))</f>
        <v>401.06118089678654</v>
      </c>
      <c r="CE59" s="59">
        <f t="shared" si="40"/>
        <v>399.58193819355591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6.14159412430097</v>
      </c>
      <c r="CL59" s="21">
        <f>EXP(-LN(2)/25)*CL58+(1-EXP(-LN(2)/25))/(LN(2)/25)*Calculateur!CG59*Calculateur!CI59*VLOOKUP('Données projet'!$B$12,Paramètres!$A$1:$I$89,3,0)*0.475*44/12</f>
        <v>16.246089573562948</v>
      </c>
      <c r="CM59" s="21">
        <f>EXP(-LN(2)/2)*CM58+(1-EXP(-LN(2)/2))/(LN(2)/2)*CG59*CJ59*VLOOKUP('Données projet'!$B$12,Paramètres!$A$1:$I$89,3,0)*0.475*44/12</f>
        <v>3.9953325856180539E-3</v>
      </c>
      <c r="CN59" s="22">
        <f t="shared" si="12"/>
        <v>22.391679030449534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</v>
      </c>
      <c r="CT59" s="12">
        <f>IF('Données projet'!$A$140&gt;35,CT58+CS59-DB58,IF(A59&lt;'Données projet'!$A$140,$CQ$205^A59,IF(A59='Données projet'!$A$140,'Données projet'!$B$140,CT58+CS59-DB58)))</f>
        <v>363.99999999999989</v>
      </c>
      <c r="CU59" s="17">
        <f>CT59*VLOOKUP('Données projet'!$B$13,Paramètres!$A$1:$I$89,3,0)*VLOOKUP('Données projet'!$B$13,Paramètres!$A$1:$I$89,5,0)</f>
        <v>227.13599999999994</v>
      </c>
      <c r="CV59" s="13">
        <f t="shared" si="41"/>
        <v>55.662966886685133</v>
      </c>
      <c r="CW59" s="20">
        <f t="shared" si="13"/>
        <v>492.54153399430987</v>
      </c>
      <c r="CX59" s="59">
        <f t="shared" si="14"/>
        <v>785.87486732764319</v>
      </c>
      <c r="CY59" s="59">
        <f ca="1">AVERAGE(OFFSET($CX$3,0,0,'Données projet'!$E$13+1,1))-AVERAGE(OFFSET($H$3,0,0,'Données projet'!$E$13+1,1))</f>
        <v>285.77483300338548</v>
      </c>
      <c r="CZ59" s="59">
        <f t="shared" si="42"/>
        <v>320.55212417690637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4.9859876188828158</v>
      </c>
      <c r="DG59" s="21">
        <f>EXP(-LN(2)/25)*DG58+(1-EXP(-LN(2)/25))/(LN(2)/25)*Calculateur!DB59*Calculateur!DD59*VLOOKUP('Données projet'!$B$13,Paramètres!$A$1:$I$89,3,0)*0.475*44/12</f>
        <v>13.553882355860331</v>
      </c>
      <c r="DH59" s="21">
        <f>EXP(-LN(2)/2)*DH58+(1-EXP(-LN(2)/2))/(LN(2)/2)*DB59*DE59*VLOOKUP('Données projet'!$B$13,Paramètres!$A$1:$I$89,3,0)*0.475*44/12</f>
        <v>2.9786610274550635E-3</v>
      </c>
      <c r="DI59" s="22">
        <f t="shared" si="15"/>
        <v>18.542848635770603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16.2</v>
      </c>
      <c r="N60" s="13">
        <f>IF('Données projet'!$A$36&gt;35,N59+M60-V59,IF(A60&lt;'Données projet'!$A$36,$K$205^A60,IF(A60='Données projet'!$A$36,'Données projet'!$B$36,N59+M60-V59)))</f>
        <v>514.39999999999975</v>
      </c>
      <c r="O60" s="13">
        <f>N60*VLOOKUP('Données projet'!$B$9,Paramètres!$A$1:$I$89,3,0)*VLOOKUP('Données projet'!$B$9,Paramètres!$A$1:$I$89,5,0)</f>
        <v>287.54959999999988</v>
      </c>
      <c r="P60" s="13">
        <f t="shared" si="33"/>
        <v>68.559977517591122</v>
      </c>
      <c r="Q60" s="20">
        <f t="shared" si="53"/>
        <v>620.22418084313767</v>
      </c>
      <c r="R60" s="59">
        <f t="shared" si="0"/>
        <v>913.55751417647093</v>
      </c>
      <c r="S60" s="59">
        <f ca="1">AVERAGE(OFFSET($R$3,0,0,'Données projet'!$E$9+1,1))-AVERAGE(OFFSET($H$3,0,0,'Données projet'!$E$9+1,1))</f>
        <v>356.67698551373468</v>
      </c>
      <c r="T60" s="59">
        <f t="shared" si="34"/>
        <v>353.21836615408171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2.6760716486782044</v>
      </c>
      <c r="AA60" s="21">
        <f>EXP(-LN(2)/25)*AA59+(1-EXP(-LN(2)/25))/(LN(2)/25)*Calculateur!V60*Calculateur!X60*VLOOKUP('Données projet'!$B$9,Paramètres!$A$1:$I$89,3,0)*0.475*44/12</f>
        <v>14.272674216852019</v>
      </c>
      <c r="AB60" s="21">
        <f>EXP(-LN(2)/2)*AB59+(1-EXP(-LN(2)/2))/(LN(2)/2)*V60*Y60*VLOOKUP('Données projet'!$B$9,Paramètres!$A$1:$I$89,3,0)*0.475*44/12</f>
        <v>2.8072008331400042E-3</v>
      </c>
      <c r="AC60" s="22">
        <f t="shared" si="3"/>
        <v>16.951553066363363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324.60000000000025</v>
      </c>
      <c r="AJ60" s="13">
        <f>AI60*VLOOKUP('Données projet'!$B$10,Paramètres!$A$1:$I$89,3,0)*VLOOKUP('Données projet'!$B$10,Paramètres!$A$1:$I$89,5,0)</f>
        <v>202.55040000000014</v>
      </c>
      <c r="AK60" s="13">
        <f t="shared" si="35"/>
        <v>50.304254428465725</v>
      </c>
      <c r="AL60" s="20">
        <f t="shared" si="4"/>
        <v>440.38852312957806</v>
      </c>
      <c r="AM60" s="59">
        <f t="shared" si="5"/>
        <v>733.72185646291132</v>
      </c>
      <c r="AN60" s="59">
        <f ca="1">AVERAGE(OFFSET($AM$3,0,0,'Données projet'!$E$10+1,1))-AVERAGE(OFFSET($H$3,0,0,'Données projet'!$E$10+1,1))</f>
        <v>240.30073883588199</v>
      </c>
      <c r="AO60" s="59">
        <f t="shared" si="36"/>
        <v>263.20351282678843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4.0735128690239009</v>
      </c>
      <c r="AV60" s="21">
        <f>EXP(-LN(2)/25)*AV59+(1-EXP(-LN(2)/25))/(LN(2)/25)*Calculateur!AQ60*Calculateur!AS60*VLOOKUP('Données projet'!$B$10,Paramètres!$A$1:$I$89,3,0)*0.475*44/12</f>
        <v>9.833279877986028</v>
      </c>
      <c r="AW60" s="21">
        <f>EXP(-LN(2)/2)*AW59+(1-EXP(-LN(2)/2))/(LN(2)/2)*AQ60*AT60*VLOOKUP('Données projet'!$B$10,Paramètres!$A$1:$I$89,3,0)*0.475*44/12</f>
        <v>1.7428054883256137E-3</v>
      </c>
      <c r="AX60" s="21">
        <f t="shared" si="6"/>
        <v>13.908535552498254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252.98248842635206</v>
      </c>
      <c r="BJ60" s="59">
        <f t="shared" si="38"/>
        <v>207.11938580878308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</v>
      </c>
      <c r="BY60" s="12">
        <f>IF('Données projet'!$A$114&gt;35,BY59+BX60-CG59,IF(A60&lt;'Données projet'!$A$114,$BV$205^A60,IF(A60='Données projet'!$A$114,'Données projet'!$B$114,BY59+BX60-CG59)))</f>
        <v>568</v>
      </c>
      <c r="BZ60" s="13">
        <f>BY60*VLOOKUP('Données projet'!$B$12,Paramètres!$A$1:$I$89,3,0)*VLOOKUP('Données projet'!$B$12,Paramètres!$A$1:$I$89,5,0)</f>
        <v>317.512</v>
      </c>
      <c r="CA60" s="13">
        <f t="shared" si="39"/>
        <v>74.835441944795136</v>
      </c>
      <c r="CB60" s="20">
        <f t="shared" si="10"/>
        <v>683.33846138718491</v>
      </c>
      <c r="CC60" s="59">
        <f t="shared" si="11"/>
        <v>976.67179472051816</v>
      </c>
      <c r="CD60" s="59">
        <f ca="1">AVERAGE(OFFSET($CC$3,0,0,'Données projet'!$E$12+1,1))-AVERAGE(OFFSET($H$3,0,0,'Données projet'!$E$12+1,1))</f>
        <v>401.06118089678654</v>
      </c>
      <c r="CE60" s="59">
        <f t="shared" si="40"/>
        <v>399.58193819355591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6.0211612095259568</v>
      </c>
      <c r="CL60" s="21">
        <f>EXP(-LN(2)/25)*CL59+(1-EXP(-LN(2)/25))/(LN(2)/25)*Calculateur!CG60*Calculateur!CI60*VLOOKUP('Données projet'!$B$12,Paramètres!$A$1:$I$89,3,0)*0.475*44/12</f>
        <v>15.801839399829149</v>
      </c>
      <c r="CM60" s="21">
        <f>EXP(-LN(2)/2)*CM59+(1-EXP(-LN(2)/2))/(LN(2)/2)*CG60*CJ60*VLOOKUP('Données projet'!$B$12,Paramètres!$A$1:$I$89,3,0)*0.475*44/12</f>
        <v>2.8251267643861085E-3</v>
      </c>
      <c r="CN60" s="22">
        <f t="shared" si="12"/>
        <v>21.825825736119491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</v>
      </c>
      <c r="CT60" s="12">
        <f>IF('Données projet'!$A$140&gt;35,CT59+CS60-DB59,IF(A60&lt;'Données projet'!$A$140,$CQ$205^A60,IF(A60='Données projet'!$A$140,'Données projet'!$B$140,CT59+CS60-DB59)))</f>
        <v>373.99999999999989</v>
      </c>
      <c r="CU60" s="17">
        <f>CT60*VLOOKUP('Données projet'!$B$13,Paramètres!$A$1:$I$89,3,0)*VLOOKUP('Données projet'!$B$13,Paramètres!$A$1:$I$89,5,0)</f>
        <v>233.37599999999992</v>
      </c>
      <c r="CV60" s="13">
        <f t="shared" si="41"/>
        <v>57.012031446990107</v>
      </c>
      <c r="CW60" s="20">
        <f t="shared" si="13"/>
        <v>505.75915477017423</v>
      </c>
      <c r="CX60" s="59">
        <f t="shared" si="14"/>
        <v>799.09248810350755</v>
      </c>
      <c r="CY60" s="59">
        <f ca="1">AVERAGE(OFFSET($CX$3,0,0,'Données projet'!$E$13+1,1))-AVERAGE(OFFSET($H$3,0,0,'Données projet'!$E$13+1,1))</f>
        <v>285.77483300338548</v>
      </c>
      <c r="CZ60" s="59">
        <f t="shared" si="42"/>
        <v>320.55212417690637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4.8882154428286828</v>
      </c>
      <c r="DG60" s="21">
        <f>EXP(-LN(2)/25)*DG59+(1-EXP(-LN(2)/25))/(LN(2)/25)*Calculateur!DB60*Calculateur!DD60*VLOOKUP('Données projet'!$B$13,Paramètres!$A$1:$I$89,3,0)*0.475*44/12</f>
        <v>13.183250730071634</v>
      </c>
      <c r="DH60" s="21">
        <f>EXP(-LN(2)/2)*DH59+(1-EXP(-LN(2)/2))/(LN(2)/2)*DB60*DE60*VLOOKUP('Données projet'!$B$13,Paramètres!$A$1:$I$89,3,0)*0.475*44/12</f>
        <v>2.1062314113695644E-3</v>
      </c>
      <c r="DI60" s="22">
        <f t="shared" si="15"/>
        <v>18.073572404311683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16.2</v>
      </c>
      <c r="N61" s="13">
        <f>IF('Données projet'!$A$36&gt;35,N60+M61-V60,IF(A61&lt;'Données projet'!$A$36,$K$205^A61,IF(A61='Données projet'!$A$36,'Données projet'!$B$36,N60+M61-V60)))</f>
        <v>530.5999999999998</v>
      </c>
      <c r="O61" s="13">
        <f>N61*VLOOKUP('Données projet'!$B$9,Paramètres!$A$1:$I$89,3,0)*VLOOKUP('Données projet'!$B$9,Paramètres!$A$1:$I$89,5,0)</f>
        <v>296.60539999999986</v>
      </c>
      <c r="P61" s="13">
        <f t="shared" si="33"/>
        <v>70.464354291088782</v>
      </c>
      <c r="Q61" s="20">
        <f t="shared" si="53"/>
        <v>639.31315539031277</v>
      </c>
      <c r="R61" s="59">
        <f t="shared" si="0"/>
        <v>932.64648872364614</v>
      </c>
      <c r="S61" s="59">
        <f ca="1">AVERAGE(OFFSET($R$3,0,0,'Données projet'!$E$9+1,1))-AVERAGE(OFFSET($H$3,0,0,'Données projet'!$E$9+1,1))</f>
        <v>356.67698551373468</v>
      </c>
      <c r="T61" s="59">
        <f t="shared" si="34"/>
        <v>353.21836615408171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2.6235955158901598</v>
      </c>
      <c r="AA61" s="21">
        <f>EXP(-LN(2)/25)*AA60+(1-EXP(-LN(2)/25))/(LN(2)/25)*Calculateur!V61*Calculateur!X61*VLOOKUP('Données projet'!$B$9,Paramètres!$A$1:$I$89,3,0)*0.475*44/12</f>
        <v>13.882387189824884</v>
      </c>
      <c r="AB61" s="21">
        <f>EXP(-LN(2)/2)*AB60+(1-EXP(-LN(2)/2))/(LN(2)/2)*V61*Y61*VLOOKUP('Données projet'!$B$9,Paramètres!$A$1:$I$89,3,0)*0.475*44/12</f>
        <v>1.9849907452658229E-3</v>
      </c>
      <c r="AC61" s="22">
        <f t="shared" si="3"/>
        <v>16.507967696460312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333.40000000000026</v>
      </c>
      <c r="AJ61" s="13">
        <f>AI61*VLOOKUP('Données projet'!$B$10,Paramètres!$A$1:$I$89,3,0)*VLOOKUP('Données projet'!$B$10,Paramètres!$A$1:$I$89,5,0)</f>
        <v>208.04160000000016</v>
      </c>
      <c r="AK61" s="13">
        <f t="shared" si="35"/>
        <v>51.507392937650074</v>
      </c>
      <c r="AL61" s="20">
        <f t="shared" si="4"/>
        <v>452.04782936640748</v>
      </c>
      <c r="AM61" s="59">
        <f t="shared" si="5"/>
        <v>745.3811626997408</v>
      </c>
      <c r="AN61" s="59">
        <f ca="1">AVERAGE(OFFSET($AM$3,0,0,'Données projet'!$E$10+1,1))-AVERAGE(OFFSET($H$3,0,0,'Données projet'!$E$10+1,1))</f>
        <v>240.30073883588199</v>
      </c>
      <c r="AO61" s="59">
        <f t="shared" si="36"/>
        <v>263.20351282678843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3.9936337662598587</v>
      </c>
      <c r="AV61" s="21">
        <f>EXP(-LN(2)/25)*AV60+(1-EXP(-LN(2)/25))/(LN(2)/25)*Calculateur!AQ61*Calculateur!AS61*VLOOKUP('Données projet'!$B$10,Paramètres!$A$1:$I$89,3,0)*0.475*44/12</f>
        <v>9.5643883226127855</v>
      </c>
      <c r="AW61" s="21">
        <f>EXP(-LN(2)/2)*AW60+(1-EXP(-LN(2)/2))/(LN(2)/2)*AQ61*AT61*VLOOKUP('Données projet'!$B$10,Paramètres!$A$1:$I$89,3,0)*0.475*44/12</f>
        <v>1.2323495790841738E-3</v>
      </c>
      <c r="AX61" s="21">
        <f t="shared" si="6"/>
        <v>13.559254438451728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252.98248842635206</v>
      </c>
      <c r="BJ61" s="59">
        <f t="shared" si="38"/>
        <v>207.11938580878308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</v>
      </c>
      <c r="BY61" s="12">
        <f>IF('Données projet'!$A$114&gt;35,BY60+BX61-CG60,IF(A61&lt;'Données projet'!$A$114,$BV$205^A61,IF(A61='Données projet'!$A$114,'Données projet'!$B$114,BY60+BX61-CG60)))</f>
        <v>586</v>
      </c>
      <c r="BZ61" s="13">
        <f>BY61*VLOOKUP('Données projet'!$B$12,Paramètres!$A$1:$I$89,3,0)*VLOOKUP('Données projet'!$B$12,Paramètres!$A$1:$I$89,5,0)</f>
        <v>327.57400000000001</v>
      </c>
      <c r="CA61" s="13">
        <f t="shared" si="39"/>
        <v>76.927119684760811</v>
      </c>
      <c r="CB61" s="20">
        <f t="shared" si="10"/>
        <v>704.50611678429186</v>
      </c>
      <c r="CC61" s="59">
        <f t="shared" si="11"/>
        <v>997.83945011762512</v>
      </c>
      <c r="CD61" s="59">
        <f ca="1">AVERAGE(OFFSET($CC$3,0,0,'Données projet'!$E$12+1,1))-AVERAGE(OFFSET($H$3,0,0,'Données projet'!$E$12+1,1))</f>
        <v>401.06118089678654</v>
      </c>
      <c r="CE61" s="59">
        <f t="shared" si="40"/>
        <v>399.58193819355591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5.9030899107528567</v>
      </c>
      <c r="CL61" s="21">
        <f>EXP(-LN(2)/25)*CL60+(1-EXP(-LN(2)/25))/(LN(2)/25)*Calculateur!CG61*Calculateur!CI61*VLOOKUP('Données projet'!$B$12,Paramètres!$A$1:$I$89,3,0)*0.475*44/12</f>
        <v>15.369737270458202</v>
      </c>
      <c r="CM61" s="21">
        <f>EXP(-LN(2)/2)*CM60+(1-EXP(-LN(2)/2))/(LN(2)/2)*CG61*CJ61*VLOOKUP('Données projet'!$B$12,Paramètres!$A$1:$I$89,3,0)*0.475*44/12</f>
        <v>1.997666292809027E-3</v>
      </c>
      <c r="CN61" s="22">
        <f t="shared" si="12"/>
        <v>21.274824847503869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</v>
      </c>
      <c r="CT61" s="12">
        <f>IF('Données projet'!$A$140&gt;35,CT60+CS61-DB60,IF(A61&lt;'Données projet'!$A$140,$CQ$205^A61,IF(A61='Données projet'!$A$140,'Données projet'!$B$140,CT60+CS61-DB60)))</f>
        <v>383.99999999999989</v>
      </c>
      <c r="CU61" s="17">
        <f>CT61*VLOOKUP('Données projet'!$B$13,Paramètres!$A$1:$I$89,3,0)*VLOOKUP('Données projet'!$B$13,Paramètres!$A$1:$I$89,5,0)</f>
        <v>239.61599999999993</v>
      </c>
      <c r="CV61" s="13">
        <f t="shared" si="41"/>
        <v>58.356903313490157</v>
      </c>
      <c r="CW61" s="20">
        <f t="shared" si="13"/>
        <v>518.96947327099519</v>
      </c>
      <c r="CX61" s="59">
        <f t="shared" si="14"/>
        <v>812.30280660432845</v>
      </c>
      <c r="CY61" s="59">
        <f ca="1">AVERAGE(OFFSET($CX$3,0,0,'Données projet'!$E$13+1,1))-AVERAGE(OFFSET($H$3,0,0,'Données projet'!$E$13+1,1))</f>
        <v>285.77483300338548</v>
      </c>
      <c r="CZ61" s="59">
        <f t="shared" si="42"/>
        <v>320.55212417690637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4.7923605195118322</v>
      </c>
      <c r="DG61" s="21">
        <f>EXP(-LN(2)/25)*DG60+(1-EXP(-LN(2)/25))/(LN(2)/25)*Calculateur!DB61*Calculateur!DD61*VLOOKUP('Données projet'!$B$13,Paramètres!$A$1:$I$89,3,0)*0.475*44/12</f>
        <v>12.822754045580801</v>
      </c>
      <c r="DH61" s="21">
        <f>EXP(-LN(2)/2)*DH60+(1-EXP(-LN(2)/2))/(LN(2)/2)*DB61*DE61*VLOOKUP('Données projet'!$B$13,Paramètres!$A$1:$I$89,3,0)*0.475*44/12</f>
        <v>1.4893305137275317E-3</v>
      </c>
      <c r="DI61" s="22">
        <f t="shared" si="15"/>
        <v>17.61660389560636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16.2</v>
      </c>
      <c r="N62" s="13">
        <f>IF('Données projet'!$A$36&gt;35,N61+M62-V61,IF(A62&lt;'Données projet'!$A$36,$K$205^A62,IF(A62='Données projet'!$A$36,'Données projet'!$B$36,N61+M62-V61)))</f>
        <v>546.79999999999984</v>
      </c>
      <c r="O62" s="13">
        <f>N62*VLOOKUP('Données projet'!$B$9,Paramètres!$A$1:$I$89,3,0)*VLOOKUP('Données projet'!$B$9,Paramètres!$A$1:$I$89,5,0)</f>
        <v>305.66119999999995</v>
      </c>
      <c r="P62" s="13">
        <f t="shared" si="33"/>
        <v>72.361974072085076</v>
      </c>
      <c r="Q62" s="20">
        <f t="shared" si="53"/>
        <v>658.39036150888137</v>
      </c>
      <c r="R62" s="59">
        <f t="shared" si="0"/>
        <v>951.72369484221463</v>
      </c>
      <c r="S62" s="59">
        <f ca="1">AVERAGE(OFFSET($R$3,0,0,'Données projet'!$E$9+1,1))-AVERAGE(OFFSET($H$3,0,0,'Données projet'!$E$9+1,1))</f>
        <v>356.67698551373468</v>
      </c>
      <c r="T62" s="59">
        <f t="shared" si="34"/>
        <v>353.21836615408171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2.5721484080588084</v>
      </c>
      <c r="AA62" s="21">
        <f>EXP(-LN(2)/25)*AA61+(1-EXP(-LN(2)/25))/(LN(2)/25)*Calculateur!V62*Calculateur!X62*VLOOKUP('Données projet'!$B$9,Paramètres!$A$1:$I$89,3,0)*0.475*44/12</f>
        <v>13.502772582076108</v>
      </c>
      <c r="AB62" s="21">
        <f>EXP(-LN(2)/2)*AB61+(1-EXP(-LN(2)/2))/(LN(2)/2)*V62*Y62*VLOOKUP('Données projet'!$B$9,Paramètres!$A$1:$I$89,3,0)*0.475*44/12</f>
        <v>1.4036004165700021E-3</v>
      </c>
      <c r="AC62" s="22">
        <f t="shared" si="3"/>
        <v>16.076324590551486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342.20000000000027</v>
      </c>
      <c r="AJ62" s="13">
        <f>AI62*VLOOKUP('Données projet'!$B$10,Paramètres!$A$1:$I$89,3,0)*VLOOKUP('Données projet'!$B$10,Paramètres!$A$1:$I$89,5,0)</f>
        <v>213.53280000000015</v>
      </c>
      <c r="AK62" s="13">
        <f t="shared" si="35"/>
        <v>52.706840209271277</v>
      </c>
      <c r="AL62" s="20">
        <f t="shared" si="4"/>
        <v>463.70070669781438</v>
      </c>
      <c r="AM62" s="59">
        <f t="shared" si="5"/>
        <v>757.0340400311477</v>
      </c>
      <c r="AN62" s="59">
        <f ca="1">AVERAGE(OFFSET($AM$3,0,0,'Données projet'!$E$10+1,1))-AVERAGE(OFFSET($H$3,0,0,'Données projet'!$E$10+1,1))</f>
        <v>240.30073883588199</v>
      </c>
      <c r="AO62" s="59">
        <f t="shared" si="36"/>
        <v>263.20351282678843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3.9153210439795774</v>
      </c>
      <c r="AV62" s="21">
        <f>EXP(-LN(2)/25)*AV61+(1-EXP(-LN(2)/25))/(LN(2)/25)*Calculateur!AQ62*Calculateur!AS62*VLOOKUP('Données projet'!$B$10,Paramètres!$A$1:$I$89,3,0)*0.475*44/12</f>
        <v>9.3028496209616165</v>
      </c>
      <c r="AW62" s="21">
        <f>EXP(-LN(2)/2)*AW61+(1-EXP(-LN(2)/2))/(LN(2)/2)*AQ62*AT62*VLOOKUP('Données projet'!$B$10,Paramètres!$A$1:$I$89,3,0)*0.475*44/12</f>
        <v>8.7140274416280686E-4</v>
      </c>
      <c r="AX62" s="21">
        <f t="shared" si="6"/>
        <v>13.219042067685358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252.98248842635206</v>
      </c>
      <c r="BJ62" s="59">
        <f t="shared" si="38"/>
        <v>207.11938580878308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</v>
      </c>
      <c r="BY62" s="12">
        <f>IF('Données projet'!$A$114&gt;35,BY61+BX62-CG61,IF(A62&lt;'Données projet'!$A$114,$BV$205^A62,IF(A62='Données projet'!$A$114,'Données projet'!$B$114,BY61+BX62-CG61)))</f>
        <v>604</v>
      </c>
      <c r="BZ62" s="13">
        <f>BY62*VLOOKUP('Données projet'!$B$12,Paramètres!$A$1:$I$89,3,0)*VLOOKUP('Données projet'!$B$12,Paramètres!$A$1:$I$89,5,0)</f>
        <v>337.63599999999997</v>
      </c>
      <c r="CA62" s="13">
        <f t="shared" si="39"/>
        <v>79.0113308976659</v>
      </c>
      <c r="CB62" s="20">
        <f t="shared" si="10"/>
        <v>725.66076798010135</v>
      </c>
      <c r="CC62" s="59">
        <f t="shared" si="11"/>
        <v>1018.9941013134346</v>
      </c>
      <c r="CD62" s="59">
        <f ca="1">AVERAGE(OFFSET($CC$3,0,0,'Données projet'!$E$12+1,1))-AVERAGE(OFFSET($H$3,0,0,'Données projet'!$E$12+1,1))</f>
        <v>401.06118089678654</v>
      </c>
      <c r="CE62" s="59">
        <f t="shared" si="40"/>
        <v>399.58193819355591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5.7873339181323162</v>
      </c>
      <c r="CL62" s="21">
        <f>EXP(-LN(2)/25)*CL61+(1-EXP(-LN(2)/25))/(LN(2)/25)*Calculateur!CG62*Calculateur!CI62*VLOOKUP('Données projet'!$B$12,Paramètres!$A$1:$I$89,3,0)*0.475*44/12</f>
        <v>14.949450996538168</v>
      </c>
      <c r="CM62" s="21">
        <f>EXP(-LN(2)/2)*CM61+(1-EXP(-LN(2)/2))/(LN(2)/2)*CG62*CJ62*VLOOKUP('Données projet'!$B$12,Paramètres!$A$1:$I$89,3,0)*0.475*44/12</f>
        <v>1.4125633821930543E-3</v>
      </c>
      <c r="CN62" s="22">
        <f t="shared" si="12"/>
        <v>20.738197478052676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</v>
      </c>
      <c r="CT62" s="12">
        <f>IF('Données projet'!$A$140&gt;35,CT61+CS62-DB61,IF(A62&lt;'Données projet'!$A$140,$CQ$205^A62,IF(A62='Données projet'!$A$140,'Données projet'!$B$140,CT61+CS62-DB61)))</f>
        <v>393.99999999999989</v>
      </c>
      <c r="CU62" s="17">
        <f>CT62*VLOOKUP('Données projet'!$B$13,Paramètres!$A$1:$I$89,3,0)*VLOOKUP('Données projet'!$B$13,Paramètres!$A$1:$I$89,5,0)</f>
        <v>245.85599999999994</v>
      </c>
      <c r="CV62" s="13">
        <f t="shared" si="41"/>
        <v>59.697704223313963</v>
      </c>
      <c r="CW62" s="20">
        <f t="shared" si="13"/>
        <v>532.17270152227172</v>
      </c>
      <c r="CX62" s="59">
        <f t="shared" si="14"/>
        <v>825.50603485560509</v>
      </c>
      <c r="CY62" s="59">
        <f ca="1">AVERAGE(OFFSET($CX$3,0,0,'Données projet'!$E$13+1,1))-AVERAGE(OFFSET($H$3,0,0,'Données projet'!$E$13+1,1))</f>
        <v>285.77483300338548</v>
      </c>
      <c r="CZ62" s="59">
        <f t="shared" si="42"/>
        <v>320.55212417690637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4.6983852527754948</v>
      </c>
      <c r="DG62" s="21">
        <f>EXP(-LN(2)/25)*DG61+(1-EXP(-LN(2)/25))/(LN(2)/25)*Calculateur!DB62*Calculateur!DD62*VLOOKUP('Données projet'!$B$13,Paramètres!$A$1:$I$89,3,0)*0.475*44/12</f>
        <v>12.472115161885066</v>
      </c>
      <c r="DH62" s="21">
        <f>EXP(-LN(2)/2)*DH61+(1-EXP(-LN(2)/2))/(LN(2)/2)*DB62*DE62*VLOOKUP('Données projet'!$B$13,Paramètres!$A$1:$I$89,3,0)*0.475*44/12</f>
        <v>1.0531157056847822E-3</v>
      </c>
      <c r="DI62" s="22">
        <f t="shared" si="15"/>
        <v>17.171553530366243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563</v>
      </c>
      <c r="L63" s="12">
        <f>VLOOKUP(A63,'Données projet'!$A$35:$I$55,9,0)</f>
        <v>16.2</v>
      </c>
      <c r="M63" s="12">
        <f t="array" ref="M63">INDEX(L:L,MIN(IF(ISNUMBER(L63:L259),ROW(L63:L259),"")))</f>
        <v>16.2</v>
      </c>
      <c r="N63" s="13">
        <f>IF('Données projet'!$A$36&gt;35,N62+M63-V62,IF(A63&lt;'Données projet'!$A$36,$K$205^A63,IF(A63='Données projet'!$A$36,'Données projet'!$B$36,N62+M63-V62)))</f>
        <v>562.99999999999989</v>
      </c>
      <c r="O63" s="13">
        <f>N63*VLOOKUP('Données projet'!$B$9,Paramètres!$A$1:$I$89,3,0)*VLOOKUP('Données projet'!$B$9,Paramètres!$A$1:$I$89,5,0)</f>
        <v>314.71699999999993</v>
      </c>
      <c r="P63" s="13">
        <f t="shared" si="33"/>
        <v>74.253060032718466</v>
      </c>
      <c r="Q63" s="20">
        <f t="shared" si="53"/>
        <v>677.45618789031789</v>
      </c>
      <c r="R63" s="59">
        <f t="shared" si="0"/>
        <v>970.78952122365126</v>
      </c>
      <c r="S63" s="59">
        <f ca="1">AVERAGE(OFFSET($R$3,0,0,'Données projet'!$E$9+1,1))-AVERAGE(OFFSET($H$3,0,0,'Données projet'!$E$9+1,1))</f>
        <v>356.67698551373468</v>
      </c>
      <c r="T63" s="59">
        <f t="shared" si="34"/>
        <v>353.21836615408171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2.5217101466323926</v>
      </c>
      <c r="AA63" s="21">
        <f>EXP(-LN(2)/25)*AA62+(1-EXP(-LN(2)/25))/(LN(2)/25)*Calculateur!V63*Calculateur!X63*VLOOKUP('Données projet'!$B$9,Paramètres!$A$1:$I$89,3,0)*0.475*44/12</f>
        <v>13.133538555739289</v>
      </c>
      <c r="AB63" s="21">
        <f>EXP(-LN(2)/2)*AB62+(1-EXP(-LN(2)/2))/(LN(2)/2)*V63*Y63*VLOOKUP('Données projet'!$B$9,Paramètres!$A$1:$I$89,3,0)*0.475*44/12</f>
        <v>9.9249537263291143E-4</v>
      </c>
      <c r="AC63" s="22">
        <f t="shared" si="3"/>
        <v>15.656241197744315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351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351.00000000000028</v>
      </c>
      <c r="AJ63" s="13">
        <f>AI63*VLOOKUP('Données projet'!$B$10,Paramètres!$A$1:$I$89,3,0)*VLOOKUP('Données projet'!$B$10,Paramètres!$A$1:$I$89,5,0)</f>
        <v>219.02400000000017</v>
      </c>
      <c r="AK63" s="13">
        <f t="shared" si="35"/>
        <v>53.902702081308355</v>
      </c>
      <c r="AL63" s="20">
        <f t="shared" si="4"/>
        <v>475.34733945827901</v>
      </c>
      <c r="AM63" s="59">
        <f t="shared" si="5"/>
        <v>768.68067279161232</v>
      </c>
      <c r="AN63" s="59">
        <f ca="1">AVERAGE(OFFSET($AM$3,0,0,'Données projet'!$E$10+1,1))-AVERAGE(OFFSET($H$3,0,0,'Données projet'!$E$10+1,1))</f>
        <v>240.30073883588199</v>
      </c>
      <c r="AO63" s="59">
        <f t="shared" si="36"/>
        <v>263.20351282678843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3.8385439864171684</v>
      </c>
      <c r="AV63" s="21">
        <f>EXP(-LN(2)/25)*AV62+(1-EXP(-LN(2)/25))/(LN(2)/25)*Calculateur!AQ63*Calculateur!AS63*VLOOKUP('Données projet'!$B$10,Paramètres!$A$1:$I$89,3,0)*0.475*44/12</f>
        <v>9.0484627088608214</v>
      </c>
      <c r="AW63" s="21">
        <f>EXP(-LN(2)/2)*AW62+(1-EXP(-LN(2)/2))/(LN(2)/2)*AQ63*AT63*VLOOKUP('Données projet'!$B$10,Paramètres!$A$1:$I$89,3,0)*0.475*44/12</f>
        <v>6.1617478954208691E-4</v>
      </c>
      <c r="AX63" s="21">
        <f t="shared" si="6"/>
        <v>12.887622870067531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252.98248842635206</v>
      </c>
      <c r="BJ63" s="59">
        <f t="shared" si="38"/>
        <v>207.11938580878308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622</v>
      </c>
      <c r="BW63" s="12">
        <f>VLOOKUP(A63,'Données projet'!$A$113:$I$133,9,0)</f>
        <v>18</v>
      </c>
      <c r="BX63" s="12">
        <f t="array" ref="BX63">INDEX(BW:BW,MIN(IF(ISNUMBER(BW63:BW259),ROW(BW63:BW259),"")))</f>
        <v>18</v>
      </c>
      <c r="BY63" s="12">
        <f>IF('Données projet'!$A$114&gt;35,BY62+BX63-CG62,IF(A63&lt;'Données projet'!$A$114,$BV$205^A63,IF(A63='Données projet'!$A$114,'Données projet'!$B$114,BY62+BX63-CG62)))</f>
        <v>622</v>
      </c>
      <c r="BZ63" s="13">
        <f>BY63*VLOOKUP('Données projet'!$B$12,Paramètres!$A$1:$I$89,3,0)*VLOOKUP('Données projet'!$B$12,Paramètres!$A$1:$I$89,5,0)</f>
        <v>347.69799999999998</v>
      </c>
      <c r="CA63" s="13">
        <f t="shared" si="39"/>
        <v>81.088323640441374</v>
      </c>
      <c r="CB63" s="20">
        <f t="shared" si="10"/>
        <v>746.80284700710206</v>
      </c>
      <c r="CC63" s="59">
        <f t="shared" si="11"/>
        <v>1040.1361803404354</v>
      </c>
      <c r="CD63" s="59">
        <f ca="1">AVERAGE(OFFSET($CC$3,0,0,'Données projet'!$E$12+1,1))-AVERAGE(OFFSET($H$3,0,0,'Données projet'!$E$12+1,1))</f>
        <v>401.06118089678654</v>
      </c>
      <c r="CE63" s="59">
        <f t="shared" si="40"/>
        <v>399.58193819355591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90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5.6738478299228801</v>
      </c>
      <c r="CL63" s="21">
        <f>EXP(-LN(2)/25)*CL62+(1-EXP(-LN(2)/25))/(LN(2)/25)*Calculateur!CG63*Calculateur!CI63*VLOOKUP('Données projet'!$B$12,Paramètres!$A$1:$I$89,3,0)*0.475*44/12</f>
        <v>14.540657472880371</v>
      </c>
      <c r="CM63" s="21">
        <f>EXP(-LN(2)/2)*CM62+(1-EXP(-LN(2)/2))/(LN(2)/2)*CG63*CJ63*VLOOKUP('Données projet'!$B$12,Paramètres!$A$1:$I$89,3,0)*0.475*44/12</f>
        <v>9.9883314640451348E-4</v>
      </c>
      <c r="CN63" s="22">
        <f t="shared" si="12"/>
        <v>20.215504135949654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404</v>
      </c>
      <c r="CR63" s="12">
        <f>VLOOKUP(A63,'Données projet'!$A$139:$I$159,9,0)</f>
        <v>10</v>
      </c>
      <c r="CS63" s="12">
        <f t="array" ref="CS63">INDEX(CR:CR,MIN(IF(ISNUMBER(CR63:CR259),ROW(CR63:CR259),"")))</f>
        <v>10</v>
      </c>
      <c r="CT63" s="12">
        <f>IF('Données projet'!$A$140&gt;35,CT62+CS63-DB62,IF(A63&lt;'Données projet'!$A$140,$CQ$205^A63,IF(A63='Données projet'!$A$140,'Données projet'!$B$140,CT62+CS63-DB62)))</f>
        <v>403.99999999999989</v>
      </c>
      <c r="CU63" s="17">
        <f>CT63*VLOOKUP('Données projet'!$B$13,Paramètres!$A$1:$I$89,3,0)*VLOOKUP('Données projet'!$B$13,Paramètres!$A$1:$I$89,5,0)</f>
        <v>252.09599999999992</v>
      </c>
      <c r="CV63" s="13">
        <f t="shared" si="41"/>
        <v>61.034549381925906</v>
      </c>
      <c r="CW63" s="20">
        <f t="shared" si="13"/>
        <v>545.36904017352083</v>
      </c>
      <c r="CX63" s="59">
        <f t="shared" si="14"/>
        <v>838.7023735068542</v>
      </c>
      <c r="CY63" s="59">
        <f ca="1">AVERAGE(OFFSET($CX$3,0,0,'Données projet'!$E$13+1,1))-AVERAGE(OFFSET($H$3,0,0,'Données projet'!$E$13+1,1))</f>
        <v>285.77483300338548</v>
      </c>
      <c r="CZ63" s="59">
        <f t="shared" si="42"/>
        <v>320.55212417690637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55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4.6062527837006044</v>
      </c>
      <c r="DG63" s="21">
        <f>EXP(-LN(2)/25)*DG62+(1-EXP(-LN(2)/25))/(LN(2)/25)*Calculateur!DB63*Calculateur!DD63*VLOOKUP('Données projet'!$B$13,Paramètres!$A$1:$I$89,3,0)*0.475*44/12</f>
        <v>12.131064516903288</v>
      </c>
      <c r="DH63" s="21">
        <f>EXP(-LN(2)/2)*DH62+(1-EXP(-LN(2)/2))/(LN(2)/2)*DB63*DE63*VLOOKUP('Données projet'!$B$13,Paramètres!$A$1:$I$89,3,0)*0.475*44/12</f>
        <v>7.4466525686376587E-4</v>
      </c>
      <c r="DI63" s="22">
        <f t="shared" si="15"/>
        <v>16.738061965860755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13.4</v>
      </c>
      <c r="N64" s="13">
        <f>IF('Données projet'!$A$36&gt;35,N63+M64-V63,IF(A64&lt;'Données projet'!$A$36,$K$205^A64,IF(A64='Données projet'!$A$36,'Données projet'!$B$36,N63+M64-V63)))</f>
        <v>493.39999999999986</v>
      </c>
      <c r="O64" s="13">
        <f>N64*VLOOKUP('Données projet'!$B$9,Paramètres!$A$1:$I$89,3,0)*VLOOKUP('Données projet'!$B$9,Paramètres!$A$1:$I$89,5,0)</f>
        <v>275.81059999999997</v>
      </c>
      <c r="P64" s="13">
        <f t="shared" si="33"/>
        <v>66.080892951487996</v>
      </c>
      <c r="Q64" s="20">
        <f t="shared" si="53"/>
        <v>595.46101689050818</v>
      </c>
      <c r="R64" s="59">
        <f t="shared" si="0"/>
        <v>888.79435022384155</v>
      </c>
      <c r="S64" s="59">
        <f ca="1">AVERAGE(OFFSET($R$3,0,0,'Données projet'!$E$9+1,1))-AVERAGE(OFFSET($H$3,0,0,'Données projet'!$E$9+1,1))</f>
        <v>356.67698551373468</v>
      </c>
      <c r="T64" s="59">
        <f t="shared" si="34"/>
        <v>353.21836615408171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2.472260948748247</v>
      </c>
      <c r="AA64" s="21">
        <f>EXP(-LN(2)/25)*AA63+(1-EXP(-LN(2)/25))/(LN(2)/25)*Calculateur!V64*Calculateur!X64*VLOOKUP('Données projet'!$B$9,Paramètres!$A$1:$I$89,3,0)*0.475*44/12</f>
        <v>12.774401253269822</v>
      </c>
      <c r="AB64" s="21">
        <f>EXP(-LN(2)/2)*AB63+(1-EXP(-LN(2)/2))/(LN(2)/2)*V64*Y64*VLOOKUP('Données projet'!$B$9,Paramètres!$A$1:$I$89,3,0)*0.475*44/12</f>
        <v>7.0180020828500105E-4</v>
      </c>
      <c r="AC64" s="22">
        <f t="shared" si="3"/>
        <v>15.247364002226353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310.8000000000003</v>
      </c>
      <c r="AJ64" s="13">
        <f>AI64*VLOOKUP('Données projet'!$B$10,Paramètres!$A$1:$I$89,3,0)*VLOOKUP('Données projet'!$B$10,Paramètres!$A$1:$I$89,5,0)</f>
        <v>193.9392000000002</v>
      </c>
      <c r="AK64" s="13">
        <f t="shared" si="35"/>
        <v>48.409811198069427</v>
      </c>
      <c r="AL64" s="20">
        <f t="shared" si="4"/>
        <v>422.09119450330462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240.30073883588199</v>
      </c>
      <c r="AO64" s="59">
        <f t="shared" si="36"/>
        <v>263.20351282678843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3.763272480124177</v>
      </c>
      <c r="AV64" s="21">
        <f>EXP(-LN(2)/25)*AV63+(1-EXP(-LN(2)/25))/(LN(2)/25)*Calculateur!AQ64*Calculateur!AS64*VLOOKUP('Données projet'!$B$10,Paramètres!$A$1:$I$89,3,0)*0.475*44/12</f>
        <v>8.8010320202490497</v>
      </c>
      <c r="AW64" s="21">
        <f>EXP(-LN(2)/2)*AW63+(1-EXP(-LN(2)/2))/(LN(2)/2)*AQ64*AT64*VLOOKUP('Données projet'!$B$10,Paramètres!$A$1:$I$89,3,0)*0.475*44/12</f>
        <v>4.3570137208140343E-4</v>
      </c>
      <c r="AX64" s="21">
        <f t="shared" si="6"/>
        <v>12.564740201745309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252.98248842635206</v>
      </c>
      <c r="BJ64" s="59">
        <f t="shared" si="38"/>
        <v>207.11938580878308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14.5</v>
      </c>
      <c r="BY64" s="12">
        <f>IF('Données projet'!$A$114&gt;35,BY63+BX64-CG63,IF(A64&lt;'Données projet'!$A$114,$BV$205^A64,IF(A64='Données projet'!$A$114,'Données projet'!$B$114,BY63+BX64-CG63)))</f>
        <v>546.5</v>
      </c>
      <c r="BZ64" s="13">
        <f>BY64*VLOOKUP('Données projet'!$B$12,Paramètres!$A$1:$I$89,3,0)*VLOOKUP('Données projet'!$B$12,Paramètres!$A$1:$I$89,5,0)</f>
        <v>305.49350000000004</v>
      </c>
      <c r="CA64" s="13">
        <f t="shared" si="39"/>
        <v>72.326893010073533</v>
      </c>
      <c r="CB64" s="20">
        <f t="shared" si="10"/>
        <v>658.03718449254472</v>
      </c>
      <c r="CC64" s="59">
        <f t="shared" si="11"/>
        <v>951.3705178258781</v>
      </c>
      <c r="CD64" s="59">
        <f ca="1">AVERAGE(OFFSET($CC$3,0,0,'Données projet'!$E$12+1,1))-AVERAGE(OFFSET($H$3,0,0,'Données projet'!$E$12+1,1))</f>
        <v>401.06118089678654</v>
      </c>
      <c r="CE64" s="59">
        <f t="shared" si="40"/>
        <v>399.58193819355591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5.562587134683552</v>
      </c>
      <c r="CL64" s="21">
        <f>EXP(-LN(2)/25)*CL63+(1-EXP(-LN(2)/25))/(LN(2)/25)*Calculateur!CG64*Calculateur!CI64*VLOOKUP('Données projet'!$B$12,Paramètres!$A$1:$I$89,3,0)*0.475*44/12</f>
        <v>14.143042429624513</v>
      </c>
      <c r="CM64" s="21">
        <f>EXP(-LN(2)/2)*CM63+(1-EXP(-LN(2)/2))/(LN(2)/2)*CG64*CJ64*VLOOKUP('Données projet'!$B$12,Paramètres!$A$1:$I$89,3,0)*0.475*44/12</f>
        <v>7.0628169109652713E-4</v>
      </c>
      <c r="CN64" s="22">
        <f t="shared" si="12"/>
        <v>19.706335845999163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7.8</v>
      </c>
      <c r="CT64" s="12">
        <f>IF('Données projet'!$A$140&gt;35,CT63+CS64-DB63,IF(A64&lt;'Données projet'!$A$140,$CQ$205^A64,IF(A64='Données projet'!$A$140,'Données projet'!$B$140,CT63+CS64-DB63)))</f>
        <v>356.7999999999999</v>
      </c>
      <c r="CU64" s="17">
        <f>CT64*VLOOKUP('Données projet'!$B$13,Paramètres!$A$1:$I$89,3,0)*VLOOKUP('Données projet'!$B$13,Paramètres!$A$1:$I$89,5,0)</f>
        <v>222.64319999999995</v>
      </c>
      <c r="CV64" s="13">
        <f t="shared" si="41"/>
        <v>54.688972258092875</v>
      </c>
      <c r="CW64" s="20">
        <f t="shared" si="13"/>
        <v>483.02020001617831</v>
      </c>
      <c r="CX64" s="59">
        <f t="shared" si="14"/>
        <v>776.35353334951162</v>
      </c>
      <c r="CY64" s="59">
        <f ca="1">AVERAGE(OFFSET($CX$3,0,0,'Données projet'!$E$13+1,1))-AVERAGE(OFFSET($H$3,0,0,'Données projet'!$E$13+1,1))</f>
        <v>285.77483300338548</v>
      </c>
      <c r="CZ64" s="59">
        <f t="shared" si="42"/>
        <v>320.55212417690637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4.5159269761490153</v>
      </c>
      <c r="DG64" s="21">
        <f>EXP(-LN(2)/25)*DG63+(1-EXP(-LN(2)/25))/(LN(2)/25)*Calculateur!DB64*Calculateur!DD64*VLOOKUP('Données projet'!$B$13,Paramètres!$A$1:$I$89,3,0)*0.475*44/12</f>
        <v>11.799339919743611</v>
      </c>
      <c r="DH64" s="21">
        <f>EXP(-LN(2)/2)*DH63+(1-EXP(-LN(2)/2))/(LN(2)/2)*DB64*DE64*VLOOKUP('Données projet'!$B$13,Paramètres!$A$1:$I$89,3,0)*0.475*44/12</f>
        <v>5.2655785284239109E-4</v>
      </c>
      <c r="DI64" s="22">
        <f t="shared" si="15"/>
        <v>16.315793453745471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13.4</v>
      </c>
      <c r="N65" s="13">
        <f>IF('Données projet'!$A$36&gt;35,N64+M65-V64,IF(A65&lt;'Données projet'!$A$36,$K$205^A65,IF(A65='Données projet'!$A$36,'Données projet'!$B$36,N64+M65-V64)))</f>
        <v>506.79999999999984</v>
      </c>
      <c r="O65" s="13">
        <f>N65*VLOOKUP('Données projet'!$B$9,Paramètres!$A$1:$I$89,3,0)*VLOOKUP('Données projet'!$B$9,Paramètres!$A$1:$I$89,5,0)</f>
        <v>283.30119999999988</v>
      </c>
      <c r="P65" s="13">
        <f t="shared" si="33"/>
        <v>67.664170722499449</v>
      </c>
      <c r="Q65" s="20">
        <f t="shared" si="53"/>
        <v>611.26468734168623</v>
      </c>
      <c r="R65" s="59">
        <f t="shared" si="0"/>
        <v>904.5980206750196</v>
      </c>
      <c r="S65" s="59">
        <f ca="1">AVERAGE(OFFSET($R$3,0,0,'Données projet'!$E$9+1,1))-AVERAGE(OFFSET($H$3,0,0,'Données projet'!$E$9+1,1))</f>
        <v>356.67698551373468</v>
      </c>
      <c r="T65" s="59">
        <f t="shared" si="34"/>
        <v>353.21836615408171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2.4237814194735767</v>
      </c>
      <c r="AA65" s="21">
        <f>EXP(-LN(2)/25)*AA64+(1-EXP(-LN(2)/25))/(LN(2)/25)*Calculateur!V65*Calculateur!X65*VLOOKUP('Données projet'!$B$9,Paramètres!$A$1:$I$89,3,0)*0.475*44/12</f>
        <v>12.425084579222593</v>
      </c>
      <c r="AB65" s="21">
        <f>EXP(-LN(2)/2)*AB64+(1-EXP(-LN(2)/2))/(LN(2)/2)*V65*Y65*VLOOKUP('Données projet'!$B$9,Paramètres!$A$1:$I$89,3,0)*0.475*44/12</f>
        <v>4.9624768631645571E-4</v>
      </c>
      <c r="AC65" s="22">
        <f t="shared" si="3"/>
        <v>14.849362246382485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317.60000000000031</v>
      </c>
      <c r="AJ65" s="13">
        <f>AI65*VLOOKUP('Données projet'!$B$10,Paramètres!$A$1:$I$89,3,0)*VLOOKUP('Données projet'!$B$10,Paramètres!$A$1:$I$89,5,0)</f>
        <v>198.1824000000002</v>
      </c>
      <c r="AK65" s="13">
        <f t="shared" si="35"/>
        <v>49.344502261104303</v>
      </c>
      <c r="AL65" s="20">
        <f t="shared" si="4"/>
        <v>431.10935477142363</v>
      </c>
      <c r="AM65" s="59">
        <f t="shared" si="5"/>
        <v>724.44268810475694</v>
      </c>
      <c r="AN65" s="59">
        <f ca="1">AVERAGE(OFFSET($AM$3,0,0,'Données projet'!$E$10+1,1))-AVERAGE(OFFSET($H$3,0,0,'Données projet'!$E$10+1,1))</f>
        <v>240.30073883588199</v>
      </c>
      <c r="AO65" s="59">
        <f t="shared" si="36"/>
        <v>263.20351282678843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3.6894770021585059</v>
      </c>
      <c r="AV65" s="21">
        <f>EXP(-LN(2)/25)*AV64+(1-EXP(-LN(2)/25))/(LN(2)/25)*Calculateur!AQ65*Calculateur!AS65*VLOOKUP('Données projet'!$B$10,Paramètres!$A$1:$I$89,3,0)*0.475*44/12</f>
        <v>8.5603673368291808</v>
      </c>
      <c r="AW65" s="21">
        <f>EXP(-LN(2)/2)*AW64+(1-EXP(-LN(2)/2))/(LN(2)/2)*AQ65*AT65*VLOOKUP('Données projet'!$B$10,Paramètres!$A$1:$I$89,3,0)*0.475*44/12</f>
        <v>3.0808739477104346E-4</v>
      </c>
      <c r="AX65" s="21">
        <f t="shared" si="6"/>
        <v>12.250152426382458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252.98248842635206</v>
      </c>
      <c r="BJ65" s="59">
        <f t="shared" si="38"/>
        <v>207.11938580878308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14.5</v>
      </c>
      <c r="BY65" s="12">
        <f>IF('Données projet'!$A$114&gt;35,BY64+BX65-CG64,IF(A65&lt;'Données projet'!$A$114,$BV$205^A65,IF(A65='Données projet'!$A$114,'Données projet'!$B$114,BY64+BX65-CG64)))</f>
        <v>561</v>
      </c>
      <c r="BZ65" s="13">
        <f>BY65*VLOOKUP('Données projet'!$B$12,Paramètres!$A$1:$I$89,3,0)*VLOOKUP('Données projet'!$B$12,Paramètres!$A$1:$I$89,5,0)</f>
        <v>313.59899999999999</v>
      </c>
      <c r="CA65" s="13">
        <f t="shared" si="39"/>
        <v>74.019938943375337</v>
      </c>
      <c r="CB65" s="20">
        <f t="shared" si="10"/>
        <v>675.10298532637864</v>
      </c>
      <c r="CC65" s="59">
        <f t="shared" si="11"/>
        <v>968.43631865971201</v>
      </c>
      <c r="CD65" s="59">
        <f ca="1">AVERAGE(OFFSET($CC$3,0,0,'Données projet'!$E$12+1,1))-AVERAGE(OFFSET($H$3,0,0,'Données projet'!$E$12+1,1))</f>
        <v>401.06118089678654</v>
      </c>
      <c r="CE65" s="59">
        <f t="shared" si="40"/>
        <v>399.58193819355591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5.4535081938155443</v>
      </c>
      <c r="CL65" s="21">
        <f>EXP(-LN(2)/25)*CL64+(1-EXP(-LN(2)/25))/(LN(2)/25)*Calculateur!CG65*Calculateur!CI65*VLOOKUP('Données projet'!$B$12,Paramètres!$A$1:$I$89,3,0)*0.475*44/12</f>
        <v>13.756300190636154</v>
      </c>
      <c r="CM65" s="21">
        <f>EXP(-LN(2)/2)*CM64+(1-EXP(-LN(2)/2))/(LN(2)/2)*CG65*CJ65*VLOOKUP('Données projet'!$B$12,Paramètres!$A$1:$I$89,3,0)*0.475*44/12</f>
        <v>4.9941657320225674E-4</v>
      </c>
      <c r="CN65" s="22">
        <f t="shared" si="12"/>
        <v>19.2103078010249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7.8</v>
      </c>
      <c r="CT65" s="12">
        <f>IF('Données projet'!$A$140&gt;35,CT64+CS65-DB64,IF(A65&lt;'Données projet'!$A$140,$CQ$205^A65,IF(A65='Données projet'!$A$140,'Données projet'!$B$140,CT64+CS65-DB64)))</f>
        <v>364.59999999999991</v>
      </c>
      <c r="CU65" s="17">
        <f>CT65*VLOOKUP('Données projet'!$B$13,Paramètres!$A$1:$I$89,3,0)*VLOOKUP('Données projet'!$B$13,Paramètres!$A$1:$I$89,5,0)</f>
        <v>227.51039999999995</v>
      </c>
      <c r="CV65" s="13">
        <f t="shared" si="41"/>
        <v>55.7440313076156</v>
      </c>
      <c r="CW65" s="20">
        <f t="shared" si="13"/>
        <v>493.33480119409711</v>
      </c>
      <c r="CX65" s="59">
        <f t="shared" si="14"/>
        <v>786.66813452743042</v>
      </c>
      <c r="CY65" s="59">
        <f ca="1">AVERAGE(OFFSET($CX$3,0,0,'Données projet'!$E$13+1,1))-AVERAGE(OFFSET($H$3,0,0,'Données projet'!$E$13+1,1))</f>
        <v>285.77483300338548</v>
      </c>
      <c r="CZ65" s="59">
        <f t="shared" si="42"/>
        <v>320.55212417690637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4.4273724025902101</v>
      </c>
      <c r="DG65" s="21">
        <f>EXP(-LN(2)/25)*DG64+(1-EXP(-LN(2)/25))/(LN(2)/25)*Calculateur!DB65*Calculateur!DD65*VLOOKUP('Données projet'!$B$13,Paramètres!$A$1:$I$89,3,0)*0.475*44/12</f>
        <v>11.476686349137903</v>
      </c>
      <c r="DH65" s="21">
        <f>EXP(-LN(2)/2)*DH64+(1-EXP(-LN(2)/2))/(LN(2)/2)*DB65*DE65*VLOOKUP('Données projet'!$B$13,Paramètres!$A$1:$I$89,3,0)*0.475*44/12</f>
        <v>3.7233262843188293E-4</v>
      </c>
      <c r="DI65" s="22">
        <f t="shared" si="15"/>
        <v>15.904431084356546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13.4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290.79179999999991</v>
      </c>
      <c r="P66" s="13">
        <f t="shared" si="33"/>
        <v>69.242582588470327</v>
      </c>
      <c r="Q66" s="20">
        <f t="shared" si="53"/>
        <v>627.05988300825231</v>
      </c>
      <c r="R66" s="59">
        <f t="shared" si="0"/>
        <v>920.39321634158568</v>
      </c>
      <c r="S66" s="59">
        <f ca="1">AVERAGE(OFFSET($R$3,0,0,'Données projet'!$E$9+1,1))-AVERAGE(OFFSET($H$3,0,0,'Données projet'!$E$9+1,1))</f>
        <v>356.67698551373468</v>
      </c>
      <c r="T66" s="59">
        <f t="shared" si="34"/>
        <v>353.21836615408171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2.3762525441983899</v>
      </c>
      <c r="AA66" s="21">
        <f>EXP(-LN(2)/25)*AA65+(1-EXP(-LN(2)/25))/(LN(2)/25)*Calculateur!V66*Calculateur!X66*VLOOKUP('Données projet'!$B$9,Paramètres!$A$1:$I$89,3,0)*0.475*44/12</f>
        <v>12.085319987996952</v>
      </c>
      <c r="AB66" s="21">
        <f>EXP(-LN(2)/2)*AB65+(1-EXP(-LN(2)/2))/(LN(2)/2)*V66*Y66*VLOOKUP('Données projet'!$B$9,Paramètres!$A$1:$I$89,3,0)*0.475*44/12</f>
        <v>3.5090010414250052E-4</v>
      </c>
      <c r="AC66" s="22">
        <f t="shared" si="3"/>
        <v>14.461923432299486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324.40000000000032</v>
      </c>
      <c r="AJ66" s="13">
        <f>AI66*VLOOKUP('Données projet'!$B$10,Paramètres!$A$1:$I$89,3,0)*VLOOKUP('Données projet'!$B$10,Paramètres!$A$1:$I$89,5,0)</f>
        <v>202.4256000000002</v>
      </c>
      <c r="AK66" s="13">
        <f t="shared" si="35"/>
        <v>50.276866607459766</v>
      </c>
      <c r="AL66" s="20">
        <f t="shared" si="4"/>
        <v>440.12346267465938</v>
      </c>
      <c r="AM66" s="59">
        <f t="shared" si="5"/>
        <v>733.45679600799269</v>
      </c>
      <c r="AN66" s="59">
        <f ca="1">AVERAGE(OFFSET($AM$3,0,0,'Données projet'!$E$10+1,1))-AVERAGE(OFFSET($H$3,0,0,'Données projet'!$E$10+1,1))</f>
        <v>240.30073883588199</v>
      </c>
      <c r="AO66" s="59">
        <f t="shared" si="36"/>
        <v>263.20351282678843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3.6171286085049443</v>
      </c>
      <c r="AV66" s="21">
        <f>EXP(-LN(2)/25)*AV65+(1-EXP(-LN(2)/25))/(LN(2)/25)*Calculateur!AQ66*Calculateur!AS66*VLOOKUP('Données projet'!$B$10,Paramètres!$A$1:$I$89,3,0)*0.475*44/12</f>
        <v>8.3262836418334345</v>
      </c>
      <c r="AW66" s="21">
        <f>EXP(-LN(2)/2)*AW65+(1-EXP(-LN(2)/2))/(LN(2)/2)*AQ66*AT66*VLOOKUP('Données projet'!$B$10,Paramètres!$A$1:$I$89,3,0)*0.475*44/12</f>
        <v>2.1785068604070171E-4</v>
      </c>
      <c r="AX66" s="21">
        <f t="shared" si="6"/>
        <v>11.94363010102442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252.98248842635206</v>
      </c>
      <c r="BJ66" s="59">
        <f t="shared" si="38"/>
        <v>207.11938580878308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14.5</v>
      </c>
      <c r="BY66" s="12">
        <f>IF('Données projet'!$A$114&gt;35,BY65+BX66-CG65,IF(A66&lt;'Données projet'!$A$114,$BV$205^A66,IF(A66='Données projet'!$A$114,'Données projet'!$B$114,BY65+BX66-CG65)))</f>
        <v>575.5</v>
      </c>
      <c r="BZ66" s="13">
        <f>BY66*VLOOKUP('Données projet'!$B$12,Paramètres!$A$1:$I$89,3,0)*VLOOKUP('Données projet'!$B$12,Paramètres!$A$1:$I$89,5,0)</f>
        <v>321.7045</v>
      </c>
      <c r="CA66" s="13">
        <f t="shared" si="39"/>
        <v>75.707898308964985</v>
      </c>
      <c r="CB66" s="20">
        <f t="shared" si="10"/>
        <v>692.1599270547805</v>
      </c>
      <c r="CC66" s="59">
        <f t="shared" si="11"/>
        <v>985.49326038811387</v>
      </c>
      <c r="CD66" s="59">
        <f ca="1">AVERAGE(OFFSET($CC$3,0,0,'Données projet'!$E$12+1,1))-AVERAGE(OFFSET($H$3,0,0,'Données projet'!$E$12+1,1))</f>
        <v>401.06118089678654</v>
      </c>
      <c r="CE66" s="59">
        <f t="shared" si="40"/>
        <v>399.58193819355591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5.3465682244463739</v>
      </c>
      <c r="CL66" s="21">
        <f>EXP(-LN(2)/25)*CL65+(1-EXP(-LN(2)/25))/(LN(2)/25)*Calculateur!CG66*Calculateur!CI66*VLOOKUP('Données projet'!$B$12,Paramètres!$A$1:$I$89,3,0)*0.475*44/12</f>
        <v>13.380133438510821</v>
      </c>
      <c r="CM66" s="21">
        <f>EXP(-LN(2)/2)*CM65+(1-EXP(-LN(2)/2))/(LN(2)/2)*CG66*CJ66*VLOOKUP('Données projet'!$B$12,Paramètres!$A$1:$I$89,3,0)*0.475*44/12</f>
        <v>3.5314084554826356E-4</v>
      </c>
      <c r="CN66" s="22">
        <f t="shared" si="12"/>
        <v>18.727054803802744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7.8</v>
      </c>
      <c r="CT66" s="12">
        <f>IF('Données projet'!$A$140&gt;35,CT65+CS66-DB65,IF(A66&lt;'Données projet'!$A$140,$CQ$205^A66,IF(A66='Données projet'!$A$140,'Données projet'!$B$140,CT65+CS66-DB65)))</f>
        <v>372.39999999999992</v>
      </c>
      <c r="CU66" s="17">
        <f>CT66*VLOOKUP('Données projet'!$B$13,Paramètres!$A$1:$I$89,3,0)*VLOOKUP('Données projet'!$B$13,Paramètres!$A$1:$I$89,5,0)</f>
        <v>232.37759999999994</v>
      </c>
      <c r="CV66" s="13">
        <f t="shared" si="41"/>
        <v>56.79646612603225</v>
      </c>
      <c r="CW66" s="20">
        <f t="shared" si="13"/>
        <v>503.64483183617267</v>
      </c>
      <c r="CX66" s="59">
        <f t="shared" si="14"/>
        <v>796.97816516950593</v>
      </c>
      <c r="CY66" s="59">
        <f ca="1">AVERAGE(OFFSET($CX$3,0,0,'Données projet'!$E$13+1,1))-AVERAGE(OFFSET($H$3,0,0,'Données projet'!$E$13+1,1))</f>
        <v>285.77483300338548</v>
      </c>
      <c r="CZ66" s="59">
        <f t="shared" si="42"/>
        <v>320.55212417690637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4.3405543302059364</v>
      </c>
      <c r="DG66" s="21">
        <f>EXP(-LN(2)/25)*DG65+(1-EXP(-LN(2)/25))/(LN(2)/25)*Calculateur!DB66*Calculateur!DD66*VLOOKUP('Données projet'!$B$13,Paramètres!$A$1:$I$89,3,0)*0.475*44/12</f>
        <v>11.162855757388023</v>
      </c>
      <c r="DH66" s="21">
        <f>EXP(-LN(2)/2)*DH65+(1-EXP(-LN(2)/2))/(LN(2)/2)*DB66*DE66*VLOOKUP('Données projet'!$B$13,Paramètres!$A$1:$I$89,3,0)*0.475*44/12</f>
        <v>2.6327892642119554E-4</v>
      </c>
      <c r="DI66" s="22">
        <f t="shared" si="15"/>
        <v>15.503673366520381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13.4</v>
      </c>
      <c r="N67" s="13">
        <f>IF('Données projet'!$A$36&gt;35,N66+M67-V66,IF(A67&lt;'Données projet'!$A$36,$K$205^A67,IF(A67='Données projet'!$A$36,'Données projet'!$B$36,N66+M67-V66)))</f>
        <v>533.5999999999998</v>
      </c>
      <c r="O67" s="13">
        <f>N67*VLOOKUP('Données projet'!$B$9,Paramètres!$A$1:$I$89,3,0)*VLOOKUP('Données projet'!$B$9,Paramètres!$A$1:$I$89,5,0)</f>
        <v>298.28239999999988</v>
      </c>
      <c r="P67" s="13">
        <f t="shared" si="33"/>
        <v>70.816268303381889</v>
      </c>
      <c r="Q67" s="20">
        <f t="shared" ref="Q67:Q98" si="54">(O67+P67)*0.475*44/12</f>
        <v>642.84684729505659</v>
      </c>
      <c r="R67" s="59">
        <f t="shared" ref="R67:R130" si="55">Q67+(I67+J67)*44/12</f>
        <v>936.18018062838996</v>
      </c>
      <c r="S67" s="59">
        <f ca="1">AVERAGE(OFFSET($R$3,0,0,'Données projet'!$E$9+1,1))-AVERAGE(OFFSET($H$3,0,0,'Données projet'!$E$9+1,1))</f>
        <v>356.67698551373468</v>
      </c>
      <c r="T67" s="59">
        <f t="shared" si="34"/>
        <v>353.21836615408171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2.3296556811775981</v>
      </c>
      <c r="AA67" s="21">
        <f>EXP(-LN(2)/25)*AA66+(1-EXP(-LN(2)/25))/(LN(2)/25)*Calculateur!V67*Calculateur!X67*VLOOKUP('Données projet'!$B$9,Paramètres!$A$1:$I$89,3,0)*0.475*44/12</f>
        <v>11.754846277385818</v>
      </c>
      <c r="AB67" s="21">
        <f>EXP(-LN(2)/2)*AB66+(1-EXP(-LN(2)/2))/(LN(2)/2)*V67*Y67*VLOOKUP('Données projet'!$B$9,Paramètres!$A$1:$I$89,3,0)*0.475*44/12</f>
        <v>2.4812384315822786E-4</v>
      </c>
      <c r="AC67" s="22">
        <f t="shared" si="3"/>
        <v>14.084750082406575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331.20000000000033</v>
      </c>
      <c r="AJ67" s="13">
        <f>AI67*VLOOKUP('Données projet'!$B$10,Paramètres!$A$1:$I$89,3,0)*VLOOKUP('Données projet'!$B$10,Paramètres!$A$1:$I$89,5,0)</f>
        <v>206.6688000000002</v>
      </c>
      <c r="AK67" s="13">
        <f t="shared" si="35"/>
        <v>51.206958627992798</v>
      </c>
      <c r="AL67" s="20">
        <f t="shared" si="4"/>
        <v>449.13361294375437</v>
      </c>
      <c r="AM67" s="59">
        <f t="shared" si="5"/>
        <v>742.46694627708769</v>
      </c>
      <c r="AN67" s="59">
        <f ca="1">AVERAGE(OFFSET($AM$3,0,0,'Données projet'!$E$10+1,1))-AVERAGE(OFFSET($H$3,0,0,'Données projet'!$E$10+1,1))</f>
        <v>240.30073883588199</v>
      </c>
      <c r="AO67" s="59">
        <f t="shared" si="36"/>
        <v>263.20351282678843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3.5461989227227666</v>
      </c>
      <c r="AV67" s="21">
        <f>EXP(-LN(2)/25)*AV66+(1-EXP(-LN(2)/25))/(LN(2)/25)*Calculateur!AQ67*Calculateur!AS67*VLOOKUP('Données projet'!$B$10,Paramètres!$A$1:$I$89,3,0)*0.475*44/12</f>
        <v>8.0986009777872727</v>
      </c>
      <c r="AW67" s="21">
        <f>EXP(-LN(2)/2)*AW66+(1-EXP(-LN(2)/2))/(LN(2)/2)*AQ67*AT67*VLOOKUP('Données projet'!$B$10,Paramètres!$A$1:$I$89,3,0)*0.475*44/12</f>
        <v>1.5404369738552173E-4</v>
      </c>
      <c r="AX67" s="21">
        <f t="shared" si="6"/>
        <v>11.644953944207424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252.98248842635206</v>
      </c>
      <c r="BJ67" s="59">
        <f t="shared" si="38"/>
        <v>207.11938580878308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14.5</v>
      </c>
      <c r="BY67" s="12">
        <f>IF('Données projet'!$A$114&gt;35,BY66+BX67-CG66,IF(A67&lt;'Données projet'!$A$114,$BV$205^A67,IF(A67='Données projet'!$A$114,'Données projet'!$B$114,BY66+BX67-CG66)))</f>
        <v>590</v>
      </c>
      <c r="BZ67" s="13">
        <f>BY67*VLOOKUP('Données projet'!$B$12,Paramètres!$A$1:$I$89,3,0)*VLOOKUP('Données projet'!$B$12,Paramètres!$A$1:$I$89,5,0)</f>
        <v>329.81</v>
      </c>
      <c r="CA67" s="13">
        <f t="shared" si="39"/>
        <v>77.390914004010796</v>
      </c>
      <c r="CB67" s="20">
        <f t="shared" si="10"/>
        <v>709.20825855698547</v>
      </c>
      <c r="CC67" s="59">
        <f t="shared" si="11"/>
        <v>1002.5415918903188</v>
      </c>
      <c r="CD67" s="59">
        <f ca="1">AVERAGE(OFFSET($CC$3,0,0,'Données projet'!$E$12+1,1))-AVERAGE(OFFSET($H$3,0,0,'Données projet'!$E$12+1,1))</f>
        <v>401.06118089678654</v>
      </c>
      <c r="CE67" s="59">
        <f t="shared" si="40"/>
        <v>399.58193819355591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5.2417252826495924</v>
      </c>
      <c r="CL67" s="21">
        <f>EXP(-LN(2)/25)*CL66+(1-EXP(-LN(2)/25))/(LN(2)/25)*Calculateur!CG67*Calculateur!CI67*VLOOKUP('Données projet'!$B$12,Paramètres!$A$1:$I$89,3,0)*0.475*44/12</f>
        <v>13.014252986004106</v>
      </c>
      <c r="CM67" s="21">
        <f>EXP(-LN(2)/2)*CM66+(1-EXP(-LN(2)/2))/(LN(2)/2)*CG67*CJ67*VLOOKUP('Données projet'!$B$12,Paramètres!$A$1:$I$89,3,0)*0.475*44/12</f>
        <v>2.4970828660112837E-4</v>
      </c>
      <c r="CN67" s="22">
        <f t="shared" si="12"/>
        <v>18.256227976940302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7.8</v>
      </c>
      <c r="CT67" s="12">
        <f>IF('Données projet'!$A$140&gt;35,CT66+CS67-DB66,IF(A67&lt;'Données projet'!$A$140,$CQ$205^A67,IF(A67='Données projet'!$A$140,'Données projet'!$B$140,CT66+CS67-DB66)))</f>
        <v>380.19999999999993</v>
      </c>
      <c r="CU67" s="17">
        <f>CT67*VLOOKUP('Données projet'!$B$13,Paramètres!$A$1:$I$89,3,0)*VLOOKUP('Données projet'!$B$13,Paramètres!$A$1:$I$89,5,0)</f>
        <v>237.24479999999994</v>
      </c>
      <c r="CV67" s="13">
        <f t="shared" si="41"/>
        <v>57.846338010686594</v>
      </c>
      <c r="CW67" s="20">
        <f t="shared" si="13"/>
        <v>513.9503987019458</v>
      </c>
      <c r="CX67" s="59">
        <f t="shared" si="14"/>
        <v>807.28373203527917</v>
      </c>
      <c r="CY67" s="59">
        <f ca="1">AVERAGE(OFFSET($CX$3,0,0,'Données projet'!$E$13+1,1))-AVERAGE(OFFSET($H$3,0,0,'Données projet'!$E$13+1,1))</f>
        <v>285.77483300338548</v>
      </c>
      <c r="CZ67" s="59">
        <f t="shared" si="42"/>
        <v>320.55212417690637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4.2554387072673228</v>
      </c>
      <c r="DG67" s="21">
        <f>EXP(-LN(2)/25)*DG66+(1-EXP(-LN(2)/25))/(LN(2)/25)*Calculateur!DB67*Calculateur!DD67*VLOOKUP('Données projet'!$B$13,Paramètres!$A$1:$I$89,3,0)*0.475*44/12</f>
        <v>10.857606879673176</v>
      </c>
      <c r="DH67" s="21">
        <f>EXP(-LN(2)/2)*DH66+(1-EXP(-LN(2)/2))/(LN(2)/2)*DB67*DE67*VLOOKUP('Données projet'!$B$13,Paramètres!$A$1:$I$89,3,0)*0.475*44/12</f>
        <v>1.8616631421594147E-4</v>
      </c>
      <c r="DI67" s="22">
        <f t="shared" si="15"/>
        <v>15.113231753254713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13.4</v>
      </c>
      <c r="N68" s="13">
        <f>IF('Données projet'!$A$36&gt;35,N67+M68-V67,IF(A68&lt;'Données projet'!$A$36,$K$205^A68,IF(A68='Données projet'!$A$36,'Données projet'!$B$36,N67+M68-V67)))</f>
        <v>546.99999999999977</v>
      </c>
      <c r="O68" s="13">
        <f>N68*VLOOKUP('Données projet'!$B$9,Paramètres!$A$1:$I$89,3,0)*VLOOKUP('Données projet'!$B$9,Paramètres!$A$1:$I$89,5,0)</f>
        <v>305.77299999999985</v>
      </c>
      <c r="P68" s="13">
        <f t="shared" si="33"/>
        <v>72.385360202068057</v>
      </c>
      <c r="Q68" s="20">
        <f t="shared" si="54"/>
        <v>658.62581068526822</v>
      </c>
      <c r="R68" s="59">
        <f t="shared" si="55"/>
        <v>951.95914401860159</v>
      </c>
      <c r="S68" s="59">
        <f ca="1">AVERAGE(OFFSET($R$3,0,0,'Données projet'!$E$9+1,1))-AVERAGE(OFFSET($H$3,0,0,'Données projet'!$E$9+1,1))</f>
        <v>356.67698551373468</v>
      </c>
      <c r="T68" s="59">
        <f t="shared" si="34"/>
        <v>353.21836615408171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2.2839725542193636</v>
      </c>
      <c r="AA68" s="21">
        <f>EXP(-LN(2)/25)*AA67+(1-EXP(-LN(2)/25))/(LN(2)/25)*Calculateur!V68*Calculateur!X68*VLOOKUP('Données projet'!$B$9,Paramètres!$A$1:$I$89,3,0)*0.475*44/12</f>
        <v>11.433409387770203</v>
      </c>
      <c r="AB68" s="21">
        <f>EXP(-LN(2)/2)*AB67+(1-EXP(-LN(2)/2))/(LN(2)/2)*V68*Y68*VLOOKUP('Données projet'!$B$9,Paramètres!$A$1:$I$89,3,0)*0.475*44/12</f>
        <v>1.7545005207125026E-4</v>
      </c>
      <c r="AC68" s="22">
        <f t="shared" ref="AC68:AC131" si="57">SUM(Z68:AB68)</f>
        <v>13.717557392041638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338.00000000000034</v>
      </c>
      <c r="AJ68" s="13">
        <f>AI68*VLOOKUP('Données projet'!$B$10,Paramètres!$A$1:$I$89,3,0)*VLOOKUP('Données projet'!$B$10,Paramètres!$A$1:$I$89,5,0)</f>
        <v>210.91200000000021</v>
      </c>
      <c r="AK68" s="13">
        <f t="shared" si="35"/>
        <v>52.134830352456831</v>
      </c>
      <c r="AL68" s="20">
        <f t="shared" ref="AL68:AL131" si="58">(AJ68+AK68)*0.475*44/12</f>
        <v>458.13989619719604</v>
      </c>
      <c r="AM68" s="59">
        <f t="shared" ref="AM68:AM131" si="59">AL68+(AD68+AE68)*44/12</f>
        <v>751.47322953052935</v>
      </c>
      <c r="AN68" s="59">
        <f ca="1">AVERAGE(OFFSET($AM$3,0,0,'Données projet'!$E$10+1,1))-AVERAGE(OFFSET($H$3,0,0,'Données projet'!$E$10+1,1))</f>
        <v>240.30073883588199</v>
      </c>
      <c r="AO68" s="59">
        <f t="shared" si="36"/>
        <v>263.20351282678843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3.4766601248159406</v>
      </c>
      <c r="AV68" s="21">
        <f>EXP(-LN(2)/25)*AV67+(1-EXP(-LN(2)/25))/(LN(2)/25)*Calculateur!AQ68*Calculateur!AS68*VLOOKUP('Données projet'!$B$10,Paramètres!$A$1:$I$89,3,0)*0.475*44/12</f>
        <v>7.8771443081627641</v>
      </c>
      <c r="AW68" s="21">
        <f>EXP(-LN(2)/2)*AW67+(1-EXP(-LN(2)/2))/(LN(2)/2)*AQ68*AT68*VLOOKUP('Données projet'!$B$10,Paramètres!$A$1:$I$89,3,0)*0.475*44/12</f>
        <v>1.0892534302035086E-4</v>
      </c>
      <c r="AX68" s="21">
        <f t="shared" ref="AX68:AX131" si="60">SUM(AU68:AW68)</f>
        <v>11.353913358321726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252.98248842635206</v>
      </c>
      <c r="BJ68" s="59">
        <f t="shared" si="38"/>
        <v>207.11938580878308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14.5</v>
      </c>
      <c r="BY68" s="12">
        <f>IF('Données projet'!$A$114&gt;35,BY67+BX68-CG67,IF(A68&lt;'Données projet'!$A$114,$BV$205^A68,IF(A68='Données projet'!$A$114,'Données projet'!$B$114,BY67+BX68-CG67)))</f>
        <v>604.5</v>
      </c>
      <c r="BZ68" s="13">
        <f>BY68*VLOOKUP('Données projet'!$B$12,Paramètres!$A$1:$I$89,3,0)*VLOOKUP('Données projet'!$B$12,Paramètres!$A$1:$I$89,5,0)</f>
        <v>337.91550000000001</v>
      </c>
      <c r="CA68" s="13">
        <f t="shared" si="39"/>
        <v>79.069121501508363</v>
      </c>
      <c r="CB68" s="20">
        <f t="shared" ref="CB68:CB131" si="64">(BZ68+CA68)*0.475*44/12</f>
        <v>726.24821578179365</v>
      </c>
      <c r="CC68" s="59">
        <f t="shared" ref="CC68:CC131" si="65">CB68+(BT68+BU68)*44/12</f>
        <v>1019.581549115127</v>
      </c>
      <c r="CD68" s="59">
        <f ca="1">AVERAGE(OFFSET($CC$3,0,0,'Données projet'!$E$12+1,1))-AVERAGE(OFFSET($H$3,0,0,'Données projet'!$E$12+1,1))</f>
        <v>401.06118089678654</v>
      </c>
      <c r="CE68" s="59">
        <f t="shared" si="40"/>
        <v>399.58193819355591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5.1389382469935656</v>
      </c>
      <c r="CL68" s="21">
        <f>EXP(-LN(2)/25)*CL67+(1-EXP(-LN(2)/25))/(LN(2)/25)*Calculateur!CG68*Calculateur!CI68*VLOOKUP('Données projet'!$B$12,Paramètres!$A$1:$I$89,3,0)*0.475*44/12</f>
        <v>12.658377553712004</v>
      </c>
      <c r="CM68" s="21">
        <f>EXP(-LN(2)/2)*CM67+(1-EXP(-LN(2)/2))/(LN(2)/2)*CG68*CJ68*VLOOKUP('Données projet'!$B$12,Paramètres!$A$1:$I$89,3,0)*0.475*44/12</f>
        <v>1.7657042277413178E-4</v>
      </c>
      <c r="CN68" s="22">
        <f t="shared" ref="CN68:CN131" si="66">SUM(CK68:CM68)</f>
        <v>17.797492371128342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7.8</v>
      </c>
      <c r="CT68" s="12">
        <f>IF('Données projet'!$A$140&gt;35,CT67+CS68-DB67,IF(A68&lt;'Données projet'!$A$140,$CQ$205^A68,IF(A68='Données projet'!$A$140,'Données projet'!$B$140,CT67+CS68-DB67)))</f>
        <v>387.99999999999994</v>
      </c>
      <c r="CU68" s="17">
        <f>CT68*VLOOKUP('Données projet'!$B$13,Paramètres!$A$1:$I$89,3,0)*VLOOKUP('Données projet'!$B$13,Paramètres!$A$1:$I$89,5,0)</f>
        <v>242.11199999999994</v>
      </c>
      <c r="CV68" s="13">
        <f t="shared" si="41"/>
        <v>58.893705600066006</v>
      </c>
      <c r="CW68" s="20">
        <f t="shared" ref="CW68:CW131" si="67">(CU68+CV68)*0.475*44/12</f>
        <v>524.2516039201148</v>
      </c>
      <c r="CX68" s="59">
        <f t="shared" ref="CX68:CX131" si="68">CW68+(CO68+CP68)*44/12</f>
        <v>817.58493725344806</v>
      </c>
      <c r="CY68" s="59">
        <f ca="1">AVERAGE(OFFSET($CX$3,0,0,'Données projet'!$E$13+1,1))-AVERAGE(OFFSET($H$3,0,0,'Données projet'!$E$13+1,1))</f>
        <v>285.77483300338548</v>
      </c>
      <c r="CZ68" s="59">
        <f t="shared" si="42"/>
        <v>320.55212417690637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4.1719921497791317</v>
      </c>
      <c r="DG68" s="21">
        <f>EXP(-LN(2)/25)*DG67+(1-EXP(-LN(2)/25))/(LN(2)/25)*Calculateur!DB68*Calculateur!DD68*VLOOKUP('Données projet'!$B$13,Paramètres!$A$1:$I$89,3,0)*0.475*44/12</f>
        <v>10.560705048571782</v>
      </c>
      <c r="DH68" s="21">
        <f>EXP(-LN(2)/2)*DH67+(1-EXP(-LN(2)/2))/(LN(2)/2)*DB68*DE68*VLOOKUP('Données projet'!$B$13,Paramètres!$A$1:$I$89,3,0)*0.475*44/12</f>
        <v>1.3163946321059777E-4</v>
      </c>
      <c r="DI68" s="22">
        <f t="shared" ref="DI68:DI131" si="69">SUM(DF68:DH68)</f>
        <v>14.732828837814123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13.4</v>
      </c>
      <c r="N69" s="13">
        <f>IF('Données projet'!$A$36&gt;35,N68+M69-V68,IF(A69&lt;'Données projet'!$A$36,$K$205^A69,IF(A69='Données projet'!$A$36,'Données projet'!$B$36,N68+M69-V68)))</f>
        <v>560.39999999999975</v>
      </c>
      <c r="O69" s="13">
        <f>N69*VLOOKUP('Données projet'!$B$9,Paramètres!$A$1:$I$89,3,0)*VLOOKUP('Données projet'!$B$9,Paramètres!$A$1:$I$89,5,0)</f>
        <v>313.26359999999988</v>
      </c>
      <c r="P69" s="13">
        <f t="shared" ref="P69:P132" si="87">EXP(-1.0587+0.8836*LN(O69)+0.284)</f>
        <v>73.949983766039026</v>
      </c>
      <c r="Q69" s="20">
        <f t="shared" si="54"/>
        <v>674.39699172585108</v>
      </c>
      <c r="R69" s="59">
        <f t="shared" si="55"/>
        <v>967.73032505918445</v>
      </c>
      <c r="S69" s="59">
        <f ca="1">AVERAGE(OFFSET($R$3,0,0,'Données projet'!$E$9+1,1))-AVERAGE(OFFSET($H$3,0,0,'Données projet'!$E$9+1,1))</f>
        <v>356.67698551373468</v>
      </c>
      <c r="T69" s="59">
        <f t="shared" ref="T69:T132" si="88">$T$3</f>
        <v>353.21836615408171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2.2391852455168242</v>
      </c>
      <c r="AA69" s="21">
        <f>EXP(-LN(2)/25)*AA68+(1-EXP(-LN(2)/25))/(LN(2)/25)*Calculateur!V69*Calculateur!X69*VLOOKUP('Données projet'!$B$9,Paramètres!$A$1:$I$89,3,0)*0.475*44/12</f>
        <v>11.120762206804759</v>
      </c>
      <c r="AB69" s="21">
        <f>EXP(-LN(2)/2)*AB68+(1-EXP(-LN(2)/2))/(LN(2)/2)*V69*Y69*VLOOKUP('Données projet'!$B$9,Paramètres!$A$1:$I$89,3,0)*0.475*44/12</f>
        <v>1.2406192157911393E-4</v>
      </c>
      <c r="AC69" s="22">
        <f t="shared" si="57"/>
        <v>13.360071514243161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344.80000000000035</v>
      </c>
      <c r="AJ69" s="13">
        <f>AI69*VLOOKUP('Données projet'!$B$10,Paramètres!$A$1:$I$89,3,0)*VLOOKUP('Données projet'!$B$10,Paramètres!$A$1:$I$89,5,0)</f>
        <v>215.15520000000021</v>
      </c>
      <c r="AK69" s="13">
        <f t="shared" ref="AK69:AK132" si="89">EXP(-1.0587+0.8836*LN(AJ69)+0.284)</f>
        <v>53.060531597402857</v>
      </c>
      <c r="AL69" s="20">
        <f t="shared" si="58"/>
        <v>467.14239919881032</v>
      </c>
      <c r="AM69" s="59">
        <f t="shared" si="59"/>
        <v>760.47573253214364</v>
      </c>
      <c r="AN69" s="59">
        <f ca="1">AVERAGE(OFFSET($AM$3,0,0,'Données projet'!$E$10+1,1))-AVERAGE(OFFSET($H$3,0,0,'Données projet'!$E$10+1,1))</f>
        <v>240.30073883588199</v>
      </c>
      <c r="AO69" s="59">
        <f t="shared" ref="AO69:AO132" si="90">$AO$3</f>
        <v>263.20351282678843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3.4084849403215887</v>
      </c>
      <c r="AV69" s="21">
        <f>EXP(-LN(2)/25)*AV68+(1-EXP(-LN(2)/25))/(LN(2)/25)*Calculateur!AQ69*Calculateur!AS69*VLOOKUP('Données projet'!$B$10,Paramètres!$A$1:$I$89,3,0)*0.475*44/12</f>
        <v>7.6617433828150379</v>
      </c>
      <c r="AW69" s="21">
        <f>EXP(-LN(2)/2)*AW68+(1-EXP(-LN(2)/2))/(LN(2)/2)*AQ69*AT69*VLOOKUP('Données projet'!$B$10,Paramètres!$A$1:$I$89,3,0)*0.475*44/12</f>
        <v>7.7021848692760864E-5</v>
      </c>
      <c r="AX69" s="21">
        <f t="shared" si="60"/>
        <v>11.07030534498532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252.98248842635206</v>
      </c>
      <c r="BJ69" s="59">
        <f t="shared" ref="BJ69:BJ132" si="92">$BJ$3</f>
        <v>207.11938580878308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14.5</v>
      </c>
      <c r="BY69" s="12">
        <f>IF('Données projet'!$A$114&gt;35,BY68+BX69-CG68,IF(A69&lt;'Données projet'!$A$114,$BV$205^A69,IF(A69='Données projet'!$A$114,'Données projet'!$B$114,BY68+BX69-CG68)))</f>
        <v>619</v>
      </c>
      <c r="BZ69" s="13">
        <f>BY69*VLOOKUP('Données projet'!$B$12,Paramètres!$A$1:$I$89,3,0)*VLOOKUP('Données projet'!$B$12,Paramètres!$A$1:$I$89,5,0)</f>
        <v>346.02100000000002</v>
      </c>
      <c r="CA69" s="13">
        <f t="shared" ref="CA69:CA132" si="93">EXP(-1.0587+0.8836*LN(BZ69)+0.284)</f>
        <v>80.742649404694433</v>
      </c>
      <c r="CB69" s="20">
        <f t="shared" si="64"/>
        <v>743.28002271317609</v>
      </c>
      <c r="CC69" s="59">
        <f t="shared" si="65"/>
        <v>1036.6133560465094</v>
      </c>
      <c r="CD69" s="59">
        <f ca="1">AVERAGE(OFFSET($CC$3,0,0,'Données projet'!$E$12+1,1))-AVERAGE(OFFSET($H$3,0,0,'Données projet'!$E$12+1,1))</f>
        <v>401.06118089678654</v>
      </c>
      <c r="CE69" s="59">
        <f t="shared" ref="CE69:CE132" si="94">$CE$3</f>
        <v>399.58193819355591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5.0381668024128521</v>
      </c>
      <c r="CL69" s="21">
        <f>EXP(-LN(2)/25)*CL68+(1-EXP(-LN(2)/25))/(LN(2)/25)*Calculateur!CG69*Calculateur!CI69*VLOOKUP('Données projet'!$B$12,Paramètres!$A$1:$I$89,3,0)*0.475*44/12</f>
        <v>12.312233553830605</v>
      </c>
      <c r="CM69" s="21">
        <f>EXP(-LN(2)/2)*CM68+(1-EXP(-LN(2)/2))/(LN(2)/2)*CG69*CJ69*VLOOKUP('Données projet'!$B$12,Paramètres!$A$1:$I$89,3,0)*0.475*44/12</f>
        <v>1.2485414330056419E-4</v>
      </c>
      <c r="CN69" s="22">
        <f t="shared" si="66"/>
        <v>17.35052521038676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7.8</v>
      </c>
      <c r="CT69" s="12">
        <f>IF('Données projet'!$A$140&gt;35,CT68+CS69-DB68,IF(A69&lt;'Données projet'!$A$140,$CQ$205^A69,IF(A69='Données projet'!$A$140,'Données projet'!$B$140,CT68+CS69-DB68)))</f>
        <v>395.79999999999995</v>
      </c>
      <c r="CU69" s="17">
        <f>CT69*VLOOKUP('Données projet'!$B$13,Paramètres!$A$1:$I$89,3,0)*VLOOKUP('Données projet'!$B$13,Paramètres!$A$1:$I$89,5,0)</f>
        <v>246.97919999999999</v>
      </c>
      <c r="CV69" s="13">
        <f t="shared" ref="CV69:CV132" si="95">EXP(-1.0587+0.8836*LN(CU69)+0.284)</f>
        <v>59.938625040227144</v>
      </c>
      <c r="CW69" s="20">
        <f t="shared" si="67"/>
        <v>534.54854527839552</v>
      </c>
      <c r="CX69" s="59">
        <f t="shared" si="68"/>
        <v>827.88187861172878</v>
      </c>
      <c r="CY69" s="59">
        <f ca="1">AVERAGE(OFFSET($CX$3,0,0,'Données projet'!$E$13+1,1))-AVERAGE(OFFSET($H$3,0,0,'Données projet'!$E$13+1,1))</f>
        <v>285.77483300338548</v>
      </c>
      <c r="CZ69" s="59">
        <f t="shared" ref="CZ69:CZ132" si="96">$CZ$3</f>
        <v>320.55212417690637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4.0901819283859098</v>
      </c>
      <c r="DG69" s="21">
        <f>EXP(-LN(2)/25)*DG68+(1-EXP(-LN(2)/25))/(LN(2)/25)*Calculateur!DB69*Calculateur!DD69*VLOOKUP('Données projet'!$B$13,Paramètres!$A$1:$I$89,3,0)*0.475*44/12</f>
        <v>10.271922013655244</v>
      </c>
      <c r="DH69" s="21">
        <f>EXP(-LN(2)/2)*DH68+(1-EXP(-LN(2)/2))/(LN(2)/2)*DB69*DE69*VLOOKUP('Données projet'!$B$13,Paramètres!$A$1:$I$89,3,0)*0.475*44/12</f>
        <v>9.3083157107970733E-5</v>
      </c>
      <c r="DI69" s="22">
        <f t="shared" si="69"/>
        <v>14.362197025198261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13.4</v>
      </c>
      <c r="N70" s="13">
        <f>IF('Données projet'!$A$36&gt;35,N69+M70-V69,IF(A70&lt;'Données projet'!$A$36,$K$205^A70,IF(A70='Données projet'!$A$36,'Données projet'!$B$36,N69+M70-V69)))</f>
        <v>573.79999999999973</v>
      </c>
      <c r="O70" s="13">
        <f>N70*VLOOKUP('Données projet'!$B$9,Paramètres!$A$1:$I$89,3,0)*VLOOKUP('Données projet'!$B$9,Paramètres!$A$1:$I$89,5,0)</f>
        <v>320.75419999999986</v>
      </c>
      <c r="P70" s="13">
        <f t="shared" si="87"/>
        <v>75.510258133660997</v>
      </c>
      <c r="Q70" s="20">
        <f t="shared" si="54"/>
        <v>690.16059791612599</v>
      </c>
      <c r="R70" s="59">
        <f t="shared" si="55"/>
        <v>983.49393124945937</v>
      </c>
      <c r="S70" s="59">
        <f ca="1">AVERAGE(OFFSET($R$3,0,0,'Données projet'!$E$9+1,1))-AVERAGE(OFFSET($H$3,0,0,'Données projet'!$E$9+1,1))</f>
        <v>356.67698551373468</v>
      </c>
      <c r="T70" s="59">
        <f t="shared" si="88"/>
        <v>353.21836615408171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2.1952761886203804</v>
      </c>
      <c r="AA70" s="21">
        <f>EXP(-LN(2)/25)*AA69+(1-EXP(-LN(2)/25))/(LN(2)/25)*Calculateur!V70*Calculateur!X70*VLOOKUP('Données projet'!$B$9,Paramètres!$A$1:$I$89,3,0)*0.475*44/12</f>
        <v>10.816664379444216</v>
      </c>
      <c r="AB70" s="21">
        <f>EXP(-LN(2)/2)*AB69+(1-EXP(-LN(2)/2))/(LN(2)/2)*V70*Y70*VLOOKUP('Données projet'!$B$9,Paramètres!$A$1:$I$89,3,0)*0.475*44/12</f>
        <v>8.7725026035625131E-5</v>
      </c>
      <c r="AC70" s="22">
        <f t="shared" si="57"/>
        <v>13.012028293090632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351.60000000000036</v>
      </c>
      <c r="AJ70" s="13">
        <f>AI70*VLOOKUP('Données projet'!$B$10,Paramètres!$A$1:$I$89,3,0)*VLOOKUP('Données projet'!$B$10,Paramètres!$A$1:$I$89,5,0)</f>
        <v>219.39840000000024</v>
      </c>
      <c r="AK70" s="13">
        <f t="shared" si="89"/>
        <v>53.984110102082091</v>
      </c>
      <c r="AL70" s="20">
        <f t="shared" si="58"/>
        <v>476.14120509446002</v>
      </c>
      <c r="AM70" s="59">
        <f t="shared" si="59"/>
        <v>769.47453842779328</v>
      </c>
      <c r="AN70" s="59">
        <f ca="1">AVERAGE(OFFSET($AM$3,0,0,'Données projet'!$E$10+1,1))-AVERAGE(OFFSET($H$3,0,0,'Données projet'!$E$10+1,1))</f>
        <v>240.30073883588199</v>
      </c>
      <c r="AO70" s="59">
        <f t="shared" si="90"/>
        <v>263.20351282678843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3.3416466296124145</v>
      </c>
      <c r="AV70" s="21">
        <f>EXP(-LN(2)/25)*AV69+(1-EXP(-LN(2)/25))/(LN(2)/25)*Calculateur!AQ70*Calculateur!AS70*VLOOKUP('Données projet'!$B$10,Paramètres!$A$1:$I$89,3,0)*0.475*44/12</f>
        <v>7.4522326070983871</v>
      </c>
      <c r="AW70" s="21">
        <f>EXP(-LN(2)/2)*AW69+(1-EXP(-LN(2)/2))/(LN(2)/2)*AQ70*AT70*VLOOKUP('Données projet'!$B$10,Paramètres!$A$1:$I$89,3,0)*0.475*44/12</f>
        <v>5.4462671510175429E-5</v>
      </c>
      <c r="AX70" s="21">
        <f t="shared" si="60"/>
        <v>10.793933699382311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252.98248842635206</v>
      </c>
      <c r="BJ70" s="59">
        <f t="shared" si="92"/>
        <v>207.11938580878308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14.5</v>
      </c>
      <c r="BY70" s="12">
        <f>IF('Données projet'!$A$114&gt;35,BY69+BX70-CG69,IF(A70&lt;'Données projet'!$A$114,$BV$205^A70,IF(A70='Données projet'!$A$114,'Données projet'!$B$114,BY69+BX70-CG69)))</f>
        <v>633.5</v>
      </c>
      <c r="BZ70" s="13">
        <f>BY70*VLOOKUP('Données projet'!$B$12,Paramètres!$A$1:$I$89,3,0)*VLOOKUP('Données projet'!$B$12,Paramètres!$A$1:$I$89,5,0)</f>
        <v>354.12649999999996</v>
      </c>
      <c r="CA70" s="13">
        <f t="shared" si="93"/>
        <v>82.411619948049463</v>
      </c>
      <c r="CB70" s="20">
        <f t="shared" si="64"/>
        <v>760.30389224285273</v>
      </c>
      <c r="CC70" s="59">
        <f t="shared" si="65"/>
        <v>1053.637225576186</v>
      </c>
      <c r="CD70" s="59">
        <f ca="1">AVERAGE(OFFSET($CC$3,0,0,'Données projet'!$E$12+1,1))-AVERAGE(OFFSET($H$3,0,0,'Données projet'!$E$12+1,1))</f>
        <v>401.06118089678654</v>
      </c>
      <c r="CE70" s="59">
        <f t="shared" si="94"/>
        <v>399.58193819355591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4.939371424395854</v>
      </c>
      <c r="CL70" s="21">
        <f>EXP(-LN(2)/25)*CL69+(1-EXP(-LN(2)/25))/(LN(2)/25)*Calculateur!CG70*Calculateur!CI70*VLOOKUP('Données projet'!$B$12,Paramètres!$A$1:$I$89,3,0)*0.475*44/12</f>
        <v>11.975554879828884</v>
      </c>
      <c r="CM70" s="21">
        <f>EXP(-LN(2)/2)*CM69+(1-EXP(-LN(2)/2))/(LN(2)/2)*CG70*CJ70*VLOOKUP('Données projet'!$B$12,Paramètres!$A$1:$I$89,3,0)*0.475*44/12</f>
        <v>8.8285211387065891E-5</v>
      </c>
      <c r="CN70" s="22">
        <f t="shared" si="66"/>
        <v>16.915014589436126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7.8</v>
      </c>
      <c r="CT70" s="12">
        <f>IF('Données projet'!$A$140&gt;35,CT69+CS70-DB69,IF(A70&lt;'Données projet'!$A$140,$CQ$205^A70,IF(A70='Données projet'!$A$140,'Données projet'!$B$140,CT69+CS70-DB69)))</f>
        <v>403.59999999999997</v>
      </c>
      <c r="CU70" s="17">
        <f>CT70*VLOOKUP('Données projet'!$B$13,Paramètres!$A$1:$I$89,3,0)*VLOOKUP('Données projet'!$B$13,Paramètres!$A$1:$I$89,5,0)</f>
        <v>251.84639999999999</v>
      </c>
      <c r="CV70" s="13">
        <f t="shared" si="95"/>
        <v>60.981150137731454</v>
      </c>
      <c r="CW70" s="20">
        <f t="shared" si="67"/>
        <v>544.84131648988216</v>
      </c>
      <c r="CX70" s="59">
        <f t="shared" si="68"/>
        <v>838.17464982321553</v>
      </c>
      <c r="CY70" s="59">
        <f ca="1">AVERAGE(OFFSET($CX$3,0,0,'Données projet'!$E$13+1,1))-AVERAGE(OFFSET($H$3,0,0,'Données projet'!$E$13+1,1))</f>
        <v>285.77483300338548</v>
      </c>
      <c r="CZ70" s="59">
        <f t="shared" si="96"/>
        <v>320.55212417690637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4.0099759555349008</v>
      </c>
      <c r="DG70" s="21">
        <f>EXP(-LN(2)/25)*DG69+(1-EXP(-LN(2)/25))/(LN(2)/25)*Calculateur!DB70*Calculateur!DD70*VLOOKUP('Données projet'!$B$13,Paramètres!$A$1:$I$89,3,0)*0.475*44/12</f>
        <v>9.9910357660149387</v>
      </c>
      <c r="DH70" s="21">
        <f>EXP(-LN(2)/2)*DH69+(1-EXP(-LN(2)/2))/(LN(2)/2)*DB70*DE70*VLOOKUP('Données projet'!$B$13,Paramètres!$A$1:$I$89,3,0)*0.475*44/12</f>
        <v>6.5819731605298886E-5</v>
      </c>
      <c r="DI70" s="22">
        <f t="shared" si="69"/>
        <v>14.001077541281445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13.4</v>
      </c>
      <c r="N71" s="13">
        <f>IF('Données projet'!$A$36&gt;35,N70+M71-V70,IF(A71&lt;'Données projet'!$A$36,$K$205^A71,IF(A71='Données projet'!$A$36,'Données projet'!$B$36,N70+M71-V70)))</f>
        <v>587.1999999999997</v>
      </c>
      <c r="O71" s="13">
        <f>N71*VLOOKUP('Données projet'!$B$9,Paramètres!$A$1:$I$89,3,0)*VLOOKUP('Données projet'!$B$9,Paramètres!$A$1:$I$89,5,0)</f>
        <v>328.24479999999983</v>
      </c>
      <c r="P71" s="13">
        <f t="shared" si="87"/>
        <v>77.066296561336628</v>
      </c>
      <c r="Q71" s="20">
        <f t="shared" si="54"/>
        <v>705.91682651099427</v>
      </c>
      <c r="R71" s="59">
        <f t="shared" si="55"/>
        <v>999.25015984432753</v>
      </c>
      <c r="S71" s="59">
        <f ca="1">AVERAGE(OFFSET($R$3,0,0,'Données projet'!$E$9+1,1))-AVERAGE(OFFSET($H$3,0,0,'Données projet'!$E$9+1,1))</f>
        <v>356.67698551373468</v>
      </c>
      <c r="T71" s="59">
        <f t="shared" si="88"/>
        <v>353.21836615408171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2.1522281615477961</v>
      </c>
      <c r="AA71" s="21">
        <f>EXP(-LN(2)/25)*AA70+(1-EXP(-LN(2)/25))/(LN(2)/25)*Calculateur!V71*Calculateur!X71*VLOOKUP('Données projet'!$B$9,Paramètres!$A$1:$I$89,3,0)*0.475*44/12</f>
        <v>10.520882123164656</v>
      </c>
      <c r="AB71" s="21">
        <f>EXP(-LN(2)/2)*AB70+(1-EXP(-LN(2)/2))/(LN(2)/2)*V71*Y71*VLOOKUP('Données projet'!$B$9,Paramètres!$A$1:$I$89,3,0)*0.475*44/12</f>
        <v>6.2030960789556964E-5</v>
      </c>
      <c r="AC71" s="22">
        <f t="shared" si="57"/>
        <v>12.673172315673241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358.40000000000038</v>
      </c>
      <c r="AJ71" s="13">
        <f>AI71*VLOOKUP('Données projet'!$B$10,Paramètres!$A$1:$I$89,3,0)*VLOOKUP('Données projet'!$B$10,Paramètres!$A$1:$I$89,5,0)</f>
        <v>223.64160000000024</v>
      </c>
      <c r="AK71" s="13">
        <f t="shared" si="89"/>
        <v>54.905611653539268</v>
      </c>
      <c r="AL71" s="20">
        <f t="shared" si="58"/>
        <v>485.13639362991461</v>
      </c>
      <c r="AM71" s="59">
        <f t="shared" si="59"/>
        <v>778.46972696324792</v>
      </c>
      <c r="AN71" s="59">
        <f ca="1">AVERAGE(OFFSET($AM$3,0,0,'Données projet'!$E$10+1,1))-AVERAGE(OFFSET($H$3,0,0,'Données projet'!$E$10+1,1))</f>
        <v>240.30073883588199</v>
      </c>
      <c r="AO71" s="59">
        <f t="shared" si="90"/>
        <v>263.20351282678843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3.2761189774089035</v>
      </c>
      <c r="AV71" s="21">
        <f>EXP(-LN(2)/25)*AV70+(1-EXP(-LN(2)/25))/(LN(2)/25)*Calculateur!AQ71*Calculateur!AS71*VLOOKUP('Données projet'!$B$10,Paramètres!$A$1:$I$89,3,0)*0.475*44/12</f>
        <v>7.2484509145614009</v>
      </c>
      <c r="AW71" s="21">
        <f>EXP(-LN(2)/2)*AW70+(1-EXP(-LN(2)/2))/(LN(2)/2)*AQ71*AT71*VLOOKUP('Données projet'!$B$10,Paramètres!$A$1:$I$89,3,0)*0.475*44/12</f>
        <v>3.8510924346380432E-5</v>
      </c>
      <c r="AX71" s="21">
        <f t="shared" si="60"/>
        <v>10.524608402894652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252.98248842635206</v>
      </c>
      <c r="BJ71" s="59">
        <f t="shared" si="92"/>
        <v>207.11938580878308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14.5</v>
      </c>
      <c r="BY71" s="12">
        <f>IF('Données projet'!$A$114&gt;35,BY70+BX71-CG70,IF(A71&lt;'Données projet'!$A$114,$BV$205^A71,IF(A71='Données projet'!$A$114,'Données projet'!$B$114,BY70+BX71-CG70)))</f>
        <v>648</v>
      </c>
      <c r="BZ71" s="13">
        <f>BY71*VLOOKUP('Données projet'!$B$12,Paramètres!$A$1:$I$89,3,0)*VLOOKUP('Données projet'!$B$12,Paramètres!$A$1:$I$89,5,0)</f>
        <v>362.23199999999997</v>
      </c>
      <c r="CA71" s="13">
        <f t="shared" si="93"/>
        <v>84.076149451138917</v>
      </c>
      <c r="CB71" s="20">
        <f t="shared" si="64"/>
        <v>777.32002696073357</v>
      </c>
      <c r="CC71" s="59">
        <f t="shared" si="65"/>
        <v>1070.6533602940669</v>
      </c>
      <c r="CD71" s="59">
        <f ca="1">AVERAGE(OFFSET($CC$3,0,0,'Données projet'!$E$12+1,1))-AVERAGE(OFFSET($H$3,0,0,'Données projet'!$E$12+1,1))</f>
        <v>401.06118089678654</v>
      </c>
      <c r="CE71" s="59">
        <f t="shared" si="94"/>
        <v>399.58193819355591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4.8425133634825386</v>
      </c>
      <c r="CL71" s="21">
        <f>EXP(-LN(2)/25)*CL70+(1-EXP(-LN(2)/25))/(LN(2)/25)*Calculateur!CG71*Calculateur!CI71*VLOOKUP('Données projet'!$B$12,Paramètres!$A$1:$I$89,3,0)*0.475*44/12</f>
        <v>11.648082701872903</v>
      </c>
      <c r="CM71" s="21">
        <f>EXP(-LN(2)/2)*CM70+(1-EXP(-LN(2)/2))/(LN(2)/2)*CG71*CJ71*VLOOKUP('Données projet'!$B$12,Paramètres!$A$1:$I$89,3,0)*0.475*44/12</f>
        <v>6.2427071650282093E-5</v>
      </c>
      <c r="CN71" s="22">
        <f t="shared" si="66"/>
        <v>16.490658492427091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7.8</v>
      </c>
      <c r="CT71" s="12">
        <f>IF('Données projet'!$A$140&gt;35,CT70+CS71-DB70,IF(A71&lt;'Données projet'!$A$140,$CQ$205^A71,IF(A71='Données projet'!$A$140,'Données projet'!$B$140,CT70+CS71-DB70)))</f>
        <v>411.4</v>
      </c>
      <c r="CU71" s="17">
        <f>CT71*VLOOKUP('Données projet'!$B$13,Paramètres!$A$1:$I$89,3,0)*VLOOKUP('Données projet'!$B$13,Paramètres!$A$1:$I$89,5,0)</f>
        <v>256.71359999999999</v>
      </c>
      <c r="CV71" s="13">
        <f t="shared" si="95"/>
        <v>62.021332500424947</v>
      </c>
      <c r="CW71" s="20">
        <f t="shared" si="67"/>
        <v>555.13000743824</v>
      </c>
      <c r="CX71" s="59">
        <f t="shared" si="68"/>
        <v>848.46334077157326</v>
      </c>
      <c r="CY71" s="59">
        <f ca="1">AVERAGE(OFFSET($CX$3,0,0,'Données projet'!$E$13+1,1))-AVERAGE(OFFSET($H$3,0,0,'Données projet'!$E$13+1,1))</f>
        <v>285.77483300338548</v>
      </c>
      <c r="CZ71" s="59">
        <f t="shared" si="96"/>
        <v>320.55212417690637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3.9313427728906873</v>
      </c>
      <c r="DG71" s="21">
        <f>EXP(-LN(2)/25)*DG70+(1-EXP(-LN(2)/25))/(LN(2)/25)*Calculateur!DB71*Calculateur!DD71*VLOOKUP('Données projet'!$B$13,Paramètres!$A$1:$I$89,3,0)*0.475*44/12</f>
        <v>9.7178303675875242</v>
      </c>
      <c r="DH71" s="21">
        <f>EXP(-LN(2)/2)*DH70+(1-EXP(-LN(2)/2))/(LN(2)/2)*DB71*DE71*VLOOKUP('Données projet'!$B$13,Paramètres!$A$1:$I$89,3,0)*0.475*44/12</f>
        <v>4.6541578553985367E-5</v>
      </c>
      <c r="DI71" s="22">
        <f t="shared" si="69"/>
        <v>13.649219682056765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13.4</v>
      </c>
      <c r="N72" s="13">
        <f>IF('Données projet'!$A$36&gt;35,N71+M72-V71,IF(A72&lt;'Données projet'!$A$36,$K$205^A72,IF(A72='Données projet'!$A$36,'Données projet'!$B$36,N71+M72-V71)))</f>
        <v>600.59999999999968</v>
      </c>
      <c r="O72" s="13">
        <f>N72*VLOOKUP('Données projet'!$B$9,Paramètres!$A$1:$I$89,3,0)*VLOOKUP('Données projet'!$B$9,Paramètres!$A$1:$I$89,5,0)</f>
        <v>335.73539999999986</v>
      </c>
      <c r="P72" s="13">
        <f t="shared" si="87"/>
        <v>78.618206841401843</v>
      </c>
      <c r="Q72" s="20">
        <f t="shared" si="54"/>
        <v>721.66586524877459</v>
      </c>
      <c r="R72" s="59">
        <f t="shared" si="55"/>
        <v>1014.999198582108</v>
      </c>
      <c r="S72" s="59">
        <f ca="1">AVERAGE(OFFSET($R$3,0,0,'Données projet'!$E$9+1,1))-AVERAGE(OFFSET($H$3,0,0,'Données projet'!$E$9+1,1))</f>
        <v>356.67698551373468</v>
      </c>
      <c r="T72" s="59">
        <f t="shared" si="88"/>
        <v>353.21836615408171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2.1100242800294011</v>
      </c>
      <c r="AA72" s="21">
        <f>EXP(-LN(2)/25)*AA71+(1-EXP(-LN(2)/25))/(LN(2)/25)*Calculateur!V72*Calculateur!X72*VLOOKUP('Données projet'!$B$9,Paramètres!$A$1:$I$89,3,0)*0.475*44/12</f>
        <v>10.233188048237572</v>
      </c>
      <c r="AB72" s="21">
        <f>EXP(-LN(2)/2)*AB71+(1-EXP(-LN(2)/2))/(LN(2)/2)*V72*Y72*VLOOKUP('Données projet'!$B$9,Paramètres!$A$1:$I$89,3,0)*0.475*44/12</f>
        <v>4.3862513017812565E-5</v>
      </c>
      <c r="AC72" s="22">
        <f t="shared" si="57"/>
        <v>12.343256190779991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365.20000000000039</v>
      </c>
      <c r="AJ72" s="13">
        <f>AI72*VLOOKUP('Données projet'!$B$10,Paramètres!$A$1:$I$89,3,0)*VLOOKUP('Données projet'!$B$10,Paramètres!$A$1:$I$89,5,0)</f>
        <v>227.88480000000027</v>
      </c>
      <c r="AK72" s="13">
        <f t="shared" si="89"/>
        <v>55.825080201942662</v>
      </c>
      <c r="AL72" s="20">
        <f t="shared" si="58"/>
        <v>494.12804135171729</v>
      </c>
      <c r="AM72" s="59">
        <f t="shared" si="59"/>
        <v>787.4613746850506</v>
      </c>
      <c r="AN72" s="59">
        <f ca="1">AVERAGE(OFFSET($AM$3,0,0,'Données projet'!$E$10+1,1))-AVERAGE(OFFSET($H$3,0,0,'Données projet'!$E$10+1,1))</f>
        <v>240.30073883588199</v>
      </c>
      <c r="AO72" s="59">
        <f t="shared" si="90"/>
        <v>263.20351282678843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3.2118762824971818</v>
      </c>
      <c r="AV72" s="21">
        <f>EXP(-LN(2)/25)*AV71+(1-EXP(-LN(2)/25))/(LN(2)/25)*Calculateur!AQ72*Calculateur!AS72*VLOOKUP('Données projet'!$B$10,Paramètres!$A$1:$I$89,3,0)*0.475*44/12</f>
        <v>7.0502416431232522</v>
      </c>
      <c r="AW72" s="21">
        <f>EXP(-LN(2)/2)*AW71+(1-EXP(-LN(2)/2))/(LN(2)/2)*AQ72*AT72*VLOOKUP('Données projet'!$B$10,Paramètres!$A$1:$I$89,3,0)*0.475*44/12</f>
        <v>2.7231335755087714E-5</v>
      </c>
      <c r="AX72" s="21">
        <f t="shared" si="60"/>
        <v>10.262145156956189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252.98248842635206</v>
      </c>
      <c r="BJ72" s="59">
        <f t="shared" si="92"/>
        <v>207.11938580878308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14.5</v>
      </c>
      <c r="BY72" s="12">
        <f>IF('Données projet'!$A$114&gt;35,BY71+BX72-CG71,IF(A72&lt;'Données projet'!$A$114,$BV$205^A72,IF(A72='Données projet'!$A$114,'Données projet'!$B$114,BY71+BX72-CG71)))</f>
        <v>662.5</v>
      </c>
      <c r="BZ72" s="13">
        <f>BY72*VLOOKUP('Données projet'!$B$12,Paramètres!$A$1:$I$89,3,0)*VLOOKUP('Données projet'!$B$12,Paramètres!$A$1:$I$89,5,0)</f>
        <v>370.33750000000003</v>
      </c>
      <c r="CA72" s="13">
        <f t="shared" si="93"/>
        <v>85.736348730685762</v>
      </c>
      <c r="CB72" s="20">
        <f t="shared" si="64"/>
        <v>794.32861987261094</v>
      </c>
      <c r="CC72" s="59">
        <f t="shared" si="65"/>
        <v>1087.6619532059442</v>
      </c>
      <c r="CD72" s="59">
        <f ca="1">AVERAGE(OFFSET($CC$3,0,0,'Données projet'!$E$12+1,1))-AVERAGE(OFFSET($H$3,0,0,'Données projet'!$E$12+1,1))</f>
        <v>401.06118089678654</v>
      </c>
      <c r="CE72" s="59">
        <f t="shared" si="94"/>
        <v>399.58193819355591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4.7475546300661495</v>
      </c>
      <c r="CL72" s="21">
        <f>EXP(-LN(2)/25)*CL71+(1-EXP(-LN(2)/25))/(LN(2)/25)*Calculateur!CG72*Calculateur!CI72*VLOOKUP('Données projet'!$B$12,Paramètres!$A$1:$I$89,3,0)*0.475*44/12</f>
        <v>11.329565267844142</v>
      </c>
      <c r="CM72" s="21">
        <f>EXP(-LN(2)/2)*CM71+(1-EXP(-LN(2)/2))/(LN(2)/2)*CG72*CJ72*VLOOKUP('Données projet'!$B$12,Paramètres!$A$1:$I$89,3,0)*0.475*44/12</f>
        <v>4.4142605693532946E-5</v>
      </c>
      <c r="CN72" s="22">
        <f t="shared" si="66"/>
        <v>16.077164040515989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7.8</v>
      </c>
      <c r="CT72" s="12">
        <f>IF('Données projet'!$A$140&gt;35,CT71+CS72-DB71,IF(A72&lt;'Données projet'!$A$140,$CQ$205^A72,IF(A72='Données projet'!$A$140,'Données projet'!$B$140,CT71+CS72-DB71)))</f>
        <v>419.2</v>
      </c>
      <c r="CU72" s="17">
        <f>CT72*VLOOKUP('Données projet'!$B$13,Paramètres!$A$1:$I$89,3,0)*VLOOKUP('Données projet'!$B$13,Paramètres!$A$1:$I$89,5,0)</f>
        <v>261.58080000000001</v>
      </c>
      <c r="CV72" s="13">
        <f t="shared" si="95"/>
        <v>63.05922166723839</v>
      </c>
      <c r="CW72" s="20">
        <f t="shared" si="67"/>
        <v>565.4147044037735</v>
      </c>
      <c r="CX72" s="59">
        <f t="shared" si="68"/>
        <v>858.74803773710687</v>
      </c>
      <c r="CY72" s="59">
        <f ca="1">AVERAGE(OFFSET($CX$3,0,0,'Données projet'!$E$13+1,1))-AVERAGE(OFFSET($H$3,0,0,'Données projet'!$E$13+1,1))</f>
        <v>285.77483300338548</v>
      </c>
      <c r="CZ72" s="59">
        <f t="shared" si="96"/>
        <v>320.55212417690637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3.8542515389966212</v>
      </c>
      <c r="DG72" s="21">
        <f>EXP(-LN(2)/25)*DG71+(1-EXP(-LN(2)/25))/(LN(2)/25)*Calculateur!DB72*Calculateur!DD72*VLOOKUP('Données projet'!$B$13,Paramètres!$A$1:$I$89,3,0)*0.475*44/12</f>
        <v>9.452095785147355</v>
      </c>
      <c r="DH72" s="21">
        <f>EXP(-LN(2)/2)*DH71+(1-EXP(-LN(2)/2))/(LN(2)/2)*DB72*DE72*VLOOKUP('Données projet'!$B$13,Paramètres!$A$1:$I$89,3,0)*0.475*44/12</f>
        <v>3.2909865802649443E-5</v>
      </c>
      <c r="DI72" s="22">
        <f t="shared" si="69"/>
        <v>13.306380234009779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614</v>
      </c>
      <c r="L73" s="12">
        <f>VLOOKUP(A73,'Données projet'!$A$35:$I$55,9,0)</f>
        <v>13.4</v>
      </c>
      <c r="M73" s="12">
        <f t="array" ref="M73">INDEX(L:L,MIN(IF(ISNUMBER(L73:L269),ROW(L73:L269),"")))</f>
        <v>13.4</v>
      </c>
      <c r="N73" s="13">
        <f>IF('Données projet'!$A$36&gt;35,N72+M73-V72,IF(A73&lt;'Données projet'!$A$36,$K$205^A73,IF(A73='Données projet'!$A$36,'Données projet'!$B$36,N72+M73-V72)))</f>
        <v>613.99999999999966</v>
      </c>
      <c r="O73" s="13">
        <f>N73*VLOOKUP('Données projet'!$B$9,Paramètres!$A$1:$I$89,3,0)*VLOOKUP('Données projet'!$B$9,Paramètres!$A$1:$I$89,5,0)</f>
        <v>343.22599999999983</v>
      </c>
      <c r="P73" s="13">
        <f t="shared" si="87"/>
        <v>80.166091681676377</v>
      </c>
      <c r="Q73" s="20">
        <f t="shared" si="54"/>
        <v>737.40789301225266</v>
      </c>
      <c r="R73" s="59">
        <f t="shared" si="55"/>
        <v>1030.741226345586</v>
      </c>
      <c r="S73" s="59">
        <f ca="1">AVERAGE(OFFSET($R$3,0,0,'Données projet'!$E$9+1,1))-AVERAGE(OFFSET($H$3,0,0,'Données projet'!$E$9+1,1))</f>
        <v>356.67698551373468</v>
      </c>
      <c r="T73" s="59">
        <f t="shared" si="88"/>
        <v>353.21836615408171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2.068647990885756</v>
      </c>
      <c r="AA73" s="21">
        <f>EXP(-LN(2)/25)*AA72+(1-EXP(-LN(2)/25))/(LN(2)/25)*Calculateur!V73*Calculateur!X73*VLOOKUP('Données projet'!$B$9,Paramètres!$A$1:$I$89,3,0)*0.475*44/12</f>
        <v>9.9533609829185448</v>
      </c>
      <c r="AB73" s="21">
        <f>EXP(-LN(2)/2)*AB72+(1-EXP(-LN(2)/2))/(LN(2)/2)*V73*Y73*VLOOKUP('Données projet'!$B$9,Paramètres!$A$1:$I$89,3,0)*0.475*44/12</f>
        <v>3.1015480394778482E-5</v>
      </c>
      <c r="AC73" s="22">
        <f t="shared" si="57"/>
        <v>12.022039989284696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372.0000000000004</v>
      </c>
      <c r="AJ73" s="13">
        <f>AI73*VLOOKUP('Données projet'!$B$10,Paramètres!$A$1:$I$89,3,0)*VLOOKUP('Données projet'!$B$10,Paramètres!$A$1:$I$89,5,0)</f>
        <v>232.12800000000024</v>
      </c>
      <c r="AK73" s="13">
        <f t="shared" si="89"/>
        <v>56.742557967082448</v>
      </c>
      <c r="AL73" s="20">
        <f t="shared" si="58"/>
        <v>503.11622179266897</v>
      </c>
      <c r="AM73" s="59">
        <f t="shared" si="59"/>
        <v>796.44955512600222</v>
      </c>
      <c r="AN73" s="59">
        <f ca="1">AVERAGE(OFFSET($AM$3,0,0,'Données projet'!$E$10+1,1))-AVERAGE(OFFSET($H$3,0,0,'Données projet'!$E$10+1,1))</f>
        <v>240.30073883588199</v>
      </c>
      <c r="AO73" s="59">
        <f t="shared" si="90"/>
        <v>263.20351282678843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3.1488933476485044</v>
      </c>
      <c r="AV73" s="21">
        <f>EXP(-LN(2)/25)*AV72+(1-EXP(-LN(2)/25))/(LN(2)/25)*Calculateur!AQ73*Calculateur!AS73*VLOOKUP('Données projet'!$B$10,Paramètres!$A$1:$I$89,3,0)*0.475*44/12</f>
        <v>6.8574524146359526</v>
      </c>
      <c r="AW73" s="21">
        <f>EXP(-LN(2)/2)*AW72+(1-EXP(-LN(2)/2))/(LN(2)/2)*AQ73*AT73*VLOOKUP('Données projet'!$B$10,Paramètres!$A$1:$I$89,3,0)*0.475*44/12</f>
        <v>1.9255462173190216E-5</v>
      </c>
      <c r="AX73" s="21">
        <f t="shared" si="60"/>
        <v>10.006365017746631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252.98248842635206</v>
      </c>
      <c r="BJ73" s="59">
        <f t="shared" si="92"/>
        <v>207.11938580878308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677</v>
      </c>
      <c r="BW73" s="12">
        <f>VLOOKUP(A73,'Données projet'!$A$113:$I$133,9,0)</f>
        <v>14.5</v>
      </c>
      <c r="BX73" s="12">
        <f t="array" ref="BX73">INDEX(BW:BW,MIN(IF(ISNUMBER(BW73:BW269),ROW(BW73:BW269),"")))</f>
        <v>14.5</v>
      </c>
      <c r="BY73" s="12">
        <f>IF('Données projet'!$A$114&gt;35,BY72+BX73-CG72,IF(A73&lt;'Données projet'!$A$114,$BV$205^A73,IF(A73='Données projet'!$A$114,'Données projet'!$B$114,BY72+BX73-CG72)))</f>
        <v>677</v>
      </c>
      <c r="BZ73" s="13">
        <f>BY73*VLOOKUP('Données projet'!$B$12,Paramètres!$A$1:$I$89,3,0)*VLOOKUP('Données projet'!$B$12,Paramètres!$A$1:$I$89,5,0)</f>
        <v>378.44300000000004</v>
      </c>
      <c r="CA73" s="13">
        <f t="shared" si="93"/>
        <v>87.392323475551621</v>
      </c>
      <c r="CB73" s="20">
        <f t="shared" si="64"/>
        <v>811.32985505325234</v>
      </c>
      <c r="CC73" s="59">
        <f t="shared" si="65"/>
        <v>1104.6631883865857</v>
      </c>
      <c r="CD73" s="59">
        <f ca="1">AVERAGE(OFFSET($CC$3,0,0,'Données projet'!$E$12+1,1))-AVERAGE(OFFSET($H$3,0,0,'Données projet'!$E$12+1,1))</f>
        <v>401.06118089678654</v>
      </c>
      <c r="CE73" s="59">
        <f t="shared" si="94"/>
        <v>399.58193819355591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75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4.6544579794929479</v>
      </c>
      <c r="CL73" s="21">
        <f>EXP(-LN(2)/25)*CL72+(1-EXP(-LN(2)/25))/(LN(2)/25)*Calculateur!CG73*Calculateur!CI73*VLOOKUP('Données projet'!$B$12,Paramètres!$A$1:$I$89,3,0)*0.475*44/12</f>
        <v>11.019757709799</v>
      </c>
      <c r="CM73" s="21">
        <f>EXP(-LN(2)/2)*CM72+(1-EXP(-LN(2)/2))/(LN(2)/2)*CG73*CJ73*VLOOKUP('Données projet'!$B$12,Paramètres!$A$1:$I$89,3,0)*0.475*44/12</f>
        <v>3.1213535825141046E-5</v>
      </c>
      <c r="CN73" s="22">
        <f t="shared" si="66"/>
        <v>15.674246902827774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427</v>
      </c>
      <c r="CR73" s="12">
        <f>VLOOKUP(A73,'Données projet'!$A$139:$I$159,9,0)</f>
        <v>7.8</v>
      </c>
      <c r="CS73" s="12">
        <f t="array" ref="CS73">INDEX(CR:CR,MIN(IF(ISNUMBER(CR73:CR269),ROW(CR73:CR269),"")))</f>
        <v>7.8</v>
      </c>
      <c r="CT73" s="12">
        <f>IF('Données projet'!$A$140&gt;35,CT72+CS73-DB72,IF(A73&lt;'Données projet'!$A$140,$CQ$205^A73,IF(A73='Données projet'!$A$140,'Données projet'!$B$140,CT72+CS73-DB72)))</f>
        <v>427</v>
      </c>
      <c r="CU73" s="17">
        <f>CT73*VLOOKUP('Données projet'!$B$13,Paramètres!$A$1:$I$89,3,0)*VLOOKUP('Données projet'!$B$13,Paramètres!$A$1:$I$89,5,0)</f>
        <v>266.44799999999998</v>
      </c>
      <c r="CV73" s="13">
        <f t="shared" si="95"/>
        <v>64.094865228054687</v>
      </c>
      <c r="CW73" s="20">
        <f t="shared" si="67"/>
        <v>575.69549027219523</v>
      </c>
      <c r="CX73" s="59">
        <f t="shared" si="68"/>
        <v>869.02882360552849</v>
      </c>
      <c r="CY73" s="59">
        <f ca="1">AVERAGE(OFFSET($CX$3,0,0,'Données projet'!$E$13+1,1))-AVERAGE(OFFSET($H$3,0,0,'Données projet'!$E$13+1,1))</f>
        <v>285.77483300338548</v>
      </c>
      <c r="CZ73" s="59">
        <f t="shared" si="96"/>
        <v>320.55212417690637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45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3.778672017178208</v>
      </c>
      <c r="DG73" s="21">
        <f>EXP(-LN(2)/25)*DG72+(1-EXP(-LN(2)/25))/(LN(2)/25)*Calculateur!DB73*Calculateur!DD73*VLOOKUP('Données projet'!$B$13,Paramètres!$A$1:$I$89,3,0)*0.475*44/12</f>
        <v>9.1936277288383863</v>
      </c>
      <c r="DH73" s="21">
        <f>EXP(-LN(2)/2)*DH72+(1-EXP(-LN(2)/2))/(LN(2)/2)*DB73*DE73*VLOOKUP('Données projet'!$B$13,Paramètres!$A$1:$I$89,3,0)*0.475*44/12</f>
        <v>2.3270789276992683E-5</v>
      </c>
      <c r="DI73" s="22">
        <f t="shared" si="69"/>
        <v>12.972323016805872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10.4</v>
      </c>
      <c r="N74" s="13">
        <f>IF('Données projet'!$A$36&gt;35,N73+M74-V73,IF(A74&lt;'Données projet'!$A$36,$K$205^A74,IF(A74='Données projet'!$A$36,'Données projet'!$B$36,N73+M74-V73)))</f>
        <v>557.39999999999964</v>
      </c>
      <c r="O74" s="13">
        <f>N74*VLOOKUP('Données projet'!$B$9,Paramètres!$A$1:$I$89,3,0)*VLOOKUP('Données projet'!$B$9,Paramètres!$A$1:$I$89,5,0)</f>
        <v>311.58659999999981</v>
      </c>
      <c r="P74" s="13">
        <f t="shared" si="87"/>
        <v>73.60007688942116</v>
      </c>
      <c r="Q74" s="20">
        <f t="shared" si="54"/>
        <v>670.86679558240803</v>
      </c>
      <c r="R74" s="59">
        <f t="shared" si="55"/>
        <v>964.20012891574129</v>
      </c>
      <c r="S74" s="59">
        <f ca="1">AVERAGE(OFFSET($R$3,0,0,'Données projet'!$E$9+1,1))-AVERAGE(OFFSET($H$3,0,0,'Données projet'!$E$9+1,1))</f>
        <v>356.67698551373468</v>
      </c>
      <c r="T74" s="59">
        <f t="shared" si="88"/>
        <v>353.21836615408171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2.0280830655351734</v>
      </c>
      <c r="AA74" s="21">
        <f>EXP(-LN(2)/25)*AA73+(1-EXP(-LN(2)/25))/(LN(2)/25)*Calculateur!V74*Calculateur!X74*VLOOKUP('Données projet'!$B$9,Paramètres!$A$1:$I$89,3,0)*0.475*44/12</f>
        <v>9.6811858034161311</v>
      </c>
      <c r="AB74" s="21">
        <f>EXP(-LN(2)/2)*AB73+(1-EXP(-LN(2)/2))/(LN(2)/2)*V74*Y74*VLOOKUP('Données projet'!$B$9,Paramètres!$A$1:$I$89,3,0)*0.475*44/12</f>
        <v>2.1931256508906283E-5</v>
      </c>
      <c r="AC74" s="22">
        <f t="shared" si="57"/>
        <v>11.709290800207814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5.0999999999999996</v>
      </c>
      <c r="AI74" s="13">
        <f>IF('Données projet'!$A$62&gt;35,AI73+AH74-AQ73,IF(A74&lt;'Données projet'!$A$62,$AF$205^A74,IF(A74='Données projet'!$A$62,'Données projet'!$B$62,AI73+AH74-AQ73)))</f>
        <v>341.10000000000042</v>
      </c>
      <c r="AJ74" s="13">
        <f>AI74*VLOOKUP('Données projet'!$B$10,Paramètres!$A$1:$I$89,3,0)*VLOOKUP('Données projet'!$B$10,Paramètres!$A$1:$I$89,5,0)</f>
        <v>212.84640000000027</v>
      </c>
      <c r="AK74" s="13">
        <f t="shared" si="89"/>
        <v>52.557107491599041</v>
      </c>
      <c r="AL74" s="20">
        <f t="shared" si="58"/>
        <v>462.24444221453541</v>
      </c>
      <c r="AM74" s="59">
        <f t="shared" si="59"/>
        <v>755.57777554786867</v>
      </c>
      <c r="AN74" s="59">
        <f ca="1">AVERAGE(OFFSET($AM$3,0,0,'Données projet'!$E$10+1,1))-AVERAGE(OFFSET($H$3,0,0,'Données projet'!$E$10+1,1))</f>
        <v>240.30073883588199</v>
      </c>
      <c r="AO74" s="59">
        <f t="shared" si="90"/>
        <v>263.20351282678843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3.0871454697364125</v>
      </c>
      <c r="AV74" s="21">
        <f>EXP(-LN(2)/25)*AV73+(1-EXP(-LN(2)/25))/(LN(2)/25)*Calculateur!AQ74*Calculateur!AS74*VLOOKUP('Données projet'!$B$10,Paramètres!$A$1:$I$89,3,0)*0.475*44/12</f>
        <v>6.6699350177399825</v>
      </c>
      <c r="AW74" s="21">
        <f>EXP(-LN(2)/2)*AW73+(1-EXP(-LN(2)/2))/(LN(2)/2)*AQ74*AT74*VLOOKUP('Données projet'!$B$10,Paramètres!$A$1:$I$89,3,0)*0.475*44/12</f>
        <v>1.3615667877543857E-5</v>
      </c>
      <c r="AX74" s="21">
        <f t="shared" si="60"/>
        <v>9.7570941031442722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252.98248842635206</v>
      </c>
      <c r="BJ74" s="59">
        <f t="shared" si="92"/>
        <v>207.11938580878308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11.7</v>
      </c>
      <c r="BY74" s="12">
        <f>IF('Données projet'!$A$114&gt;35,BY73+BX74-CG73,IF(A74&lt;'Données projet'!$A$114,$BV$205^A74,IF(A74='Données projet'!$A$114,'Données projet'!$B$114,BY73+BX74-CG73)))</f>
        <v>613.70000000000005</v>
      </c>
      <c r="BZ74" s="13">
        <f>BY74*VLOOKUP('Données projet'!$B$12,Paramètres!$A$1:$I$89,3,0)*VLOOKUP('Données projet'!$B$12,Paramètres!$A$1:$I$89,5,0)</f>
        <v>343.05830000000003</v>
      </c>
      <c r="CA74" s="13">
        <f t="shared" si="93"/>
        <v>80.131480880405647</v>
      </c>
      <c r="CB74" s="20">
        <f t="shared" si="64"/>
        <v>737.0555350333733</v>
      </c>
      <c r="CC74" s="59">
        <f t="shared" si="65"/>
        <v>1030.3888683667067</v>
      </c>
      <c r="CD74" s="59">
        <f ca="1">AVERAGE(OFFSET($CC$3,0,0,'Données projet'!$E$12+1,1))-AVERAGE(OFFSET($H$3,0,0,'Données projet'!$E$12+1,1))</f>
        <v>401.06118089678654</v>
      </c>
      <c r="CE74" s="59">
        <f t="shared" si="94"/>
        <v>399.58193819355591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4.5631868974541367</v>
      </c>
      <c r="CL74" s="21">
        <f>EXP(-LN(2)/25)*CL73+(1-EXP(-LN(2)/25))/(LN(2)/25)*Calculateur!CG74*Calculateur!CI74*VLOOKUP('Données projet'!$B$12,Paramètres!$A$1:$I$89,3,0)*0.475*44/12</f>
        <v>10.718421855720674</v>
      </c>
      <c r="CM74" s="21">
        <f>EXP(-LN(2)/2)*CM73+(1-EXP(-LN(2)/2))/(LN(2)/2)*CG74*CJ74*VLOOKUP('Données projet'!$B$12,Paramètres!$A$1:$I$89,3,0)*0.475*44/12</f>
        <v>2.2071302846766473E-5</v>
      </c>
      <c r="CN74" s="22">
        <f t="shared" si="66"/>
        <v>15.281630824477659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</v>
      </c>
      <c r="CT74" s="12">
        <f>IF('Données projet'!$A$140&gt;35,CT73+CS74-DB73,IF(A74&lt;'Données projet'!$A$140,$CQ$205^A74,IF(A74='Données projet'!$A$140,'Données projet'!$B$140,CT73+CS74-DB73)))</f>
        <v>388</v>
      </c>
      <c r="CU74" s="17">
        <f>CT74*VLOOKUP('Données projet'!$B$13,Paramètres!$A$1:$I$89,3,0)*VLOOKUP('Données projet'!$B$13,Paramètres!$A$1:$I$89,5,0)</f>
        <v>242.11199999999999</v>
      </c>
      <c r="CV74" s="13">
        <f t="shared" si="95"/>
        <v>58.893705600066006</v>
      </c>
      <c r="CW74" s="20">
        <f t="shared" si="67"/>
        <v>524.25160392011492</v>
      </c>
      <c r="CX74" s="59">
        <f t="shared" si="68"/>
        <v>817.58493725344829</v>
      </c>
      <c r="CY74" s="59">
        <f ca="1">AVERAGE(OFFSET($CX$3,0,0,'Données projet'!$E$13+1,1))-AVERAGE(OFFSET($H$3,0,0,'Données projet'!$E$13+1,1))</f>
        <v>285.77483300338548</v>
      </c>
      <c r="CZ74" s="59">
        <f t="shared" si="96"/>
        <v>320.55212417690637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3.7045745636836975</v>
      </c>
      <c r="DG74" s="21">
        <f>EXP(-LN(2)/25)*DG73+(1-EXP(-LN(2)/25))/(LN(2)/25)*Calculateur!DB74*Calculateur!DD74*VLOOKUP('Données projet'!$B$13,Paramètres!$A$1:$I$89,3,0)*0.475*44/12</f>
        <v>8.9422274951214309</v>
      </c>
      <c r="DH74" s="21">
        <f>EXP(-LN(2)/2)*DH73+(1-EXP(-LN(2)/2))/(LN(2)/2)*DB74*DE74*VLOOKUP('Données projet'!$B$13,Paramètres!$A$1:$I$89,3,0)*0.475*44/12</f>
        <v>1.6454932901324722E-5</v>
      </c>
      <c r="DI74" s="22">
        <f t="shared" si="69"/>
        <v>12.64681851373803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10.4</v>
      </c>
      <c r="N75" s="13">
        <f>IF('Données projet'!$A$36&gt;35,N74+M75-V74,IF(A75&lt;'Données projet'!$A$36,$K$205^A75,IF(A75='Données projet'!$A$36,'Données projet'!$B$36,N74+M75-V74)))</f>
        <v>567.79999999999961</v>
      </c>
      <c r="O75" s="13">
        <f>N75*VLOOKUP('Données projet'!$B$9,Paramètres!$A$1:$I$89,3,0)*VLOOKUP('Données projet'!$B$9,Paramètres!$A$1:$I$89,5,0)</f>
        <v>317.40019999999976</v>
      </c>
      <c r="P75" s="13">
        <f t="shared" si="87"/>
        <v>74.812158158961168</v>
      </c>
      <c r="Q75" s="20">
        <f t="shared" si="54"/>
        <v>683.10319046019015</v>
      </c>
      <c r="R75" s="59">
        <f t="shared" si="55"/>
        <v>976.43652379352352</v>
      </c>
      <c r="S75" s="59">
        <f ca="1">AVERAGE(OFFSET($R$3,0,0,'Données projet'!$E$9+1,1))-AVERAGE(OFFSET($H$3,0,0,'Données projet'!$E$9+1,1))</f>
        <v>356.67698551373468</v>
      </c>
      <c r="T75" s="59">
        <f t="shared" si="88"/>
        <v>353.21836615408171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1.9883135936285541</v>
      </c>
      <c r="AA75" s="21">
        <f>EXP(-LN(2)/25)*AA74+(1-EXP(-LN(2)/25))/(LN(2)/25)*Calculateur!V75*Calculateur!X75*VLOOKUP('Données projet'!$B$9,Paramètres!$A$1:$I$89,3,0)*0.475*44/12</f>
        <v>9.4164532685102831</v>
      </c>
      <c r="AB75" s="21">
        <f>EXP(-LN(2)/2)*AB74+(1-EXP(-LN(2)/2))/(LN(2)/2)*V75*Y75*VLOOKUP('Données projet'!$B$9,Paramètres!$A$1:$I$89,3,0)*0.475*44/12</f>
        <v>1.5507740197389241E-5</v>
      </c>
      <c r="AC75" s="22">
        <f t="shared" si="57"/>
        <v>11.404782369879035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5.0999999999999996</v>
      </c>
      <c r="AI75" s="13">
        <f>IF('Données projet'!$A$62&gt;35,AI74+AH75-AQ74,IF(A75&lt;'Données projet'!$A$62,$AF$205^A75,IF(A75='Données projet'!$A$62,'Données projet'!$B$62,AI74+AH75-AQ74)))</f>
        <v>346.20000000000044</v>
      </c>
      <c r="AJ75" s="13">
        <f>AI75*VLOOKUP('Données projet'!$B$10,Paramètres!$A$1:$I$89,3,0)*VLOOKUP('Données projet'!$B$10,Paramètres!$A$1:$I$89,5,0)</f>
        <v>216.02880000000027</v>
      </c>
      <c r="AK75" s="13">
        <f t="shared" si="89"/>
        <v>53.25085210905786</v>
      </c>
      <c r="AL75" s="20">
        <f t="shared" si="58"/>
        <v>468.99539408994292</v>
      </c>
      <c r="AM75" s="59">
        <f t="shared" si="59"/>
        <v>762.32872742327618</v>
      </c>
      <c r="AN75" s="59">
        <f ca="1">AVERAGE(OFFSET($AM$3,0,0,'Données projet'!$E$10+1,1))-AVERAGE(OFFSET($H$3,0,0,'Données projet'!$E$10+1,1))</f>
        <v>240.30073883588199</v>
      </c>
      <c r="AO75" s="59">
        <f t="shared" si="90"/>
        <v>263.20351282678843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3.0266084300476899</v>
      </c>
      <c r="AV75" s="21">
        <f>EXP(-LN(2)/25)*AV74+(1-EXP(-LN(2)/25))/(LN(2)/25)*Calculateur!AQ75*Calculateur!AS75*VLOOKUP('Données projet'!$B$10,Paramètres!$A$1:$I$89,3,0)*0.475*44/12</f>
        <v>6.4875452939232447</v>
      </c>
      <c r="AW75" s="21">
        <f>EXP(-LN(2)/2)*AW74+(1-EXP(-LN(2)/2))/(LN(2)/2)*AQ75*AT75*VLOOKUP('Données projet'!$B$10,Paramètres!$A$1:$I$89,3,0)*0.475*44/12</f>
        <v>9.627731086595108E-6</v>
      </c>
      <c r="AX75" s="21">
        <f t="shared" si="60"/>
        <v>9.5141633517020221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252.98248842635206</v>
      </c>
      <c r="BJ75" s="59">
        <f t="shared" si="92"/>
        <v>207.11938580878308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11.7</v>
      </c>
      <c r="BY75" s="12">
        <f>IF('Données projet'!$A$114&gt;35,BY74+BX75-CG74,IF(A75&lt;'Données projet'!$A$114,$BV$205^A75,IF(A75='Données projet'!$A$114,'Données projet'!$B$114,BY74+BX75-CG74)))</f>
        <v>625.40000000000009</v>
      </c>
      <c r="BZ75" s="13">
        <f>BY75*VLOOKUP('Données projet'!$B$12,Paramètres!$A$1:$I$89,3,0)*VLOOKUP('Données projet'!$B$12,Paramètres!$A$1:$I$89,5,0)</f>
        <v>349.59860000000003</v>
      </c>
      <c r="CA75" s="13">
        <f t="shared" si="93"/>
        <v>81.479853290144945</v>
      </c>
      <c r="CB75" s="20">
        <f t="shared" si="64"/>
        <v>750.79497281366912</v>
      </c>
      <c r="CC75" s="59">
        <f t="shared" si="65"/>
        <v>1044.1283061470024</v>
      </c>
      <c r="CD75" s="59">
        <f ca="1">AVERAGE(OFFSET($CC$3,0,0,'Données projet'!$E$12+1,1))-AVERAGE(OFFSET($H$3,0,0,'Données projet'!$E$12+1,1))</f>
        <v>401.06118089678654</v>
      </c>
      <c r="CE75" s="59">
        <f t="shared" si="94"/>
        <v>399.58193819355591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4.4737055856642431</v>
      </c>
      <c r="CL75" s="21">
        <f>EXP(-LN(2)/25)*CL74+(1-EXP(-LN(2)/25))/(LN(2)/25)*Calculateur!CG75*Calculateur!CI75*VLOOKUP('Données projet'!$B$12,Paramètres!$A$1:$I$89,3,0)*0.475*44/12</f>
        <v>10.425326046418684</v>
      </c>
      <c r="CM75" s="21">
        <f>EXP(-LN(2)/2)*CM74+(1-EXP(-LN(2)/2))/(LN(2)/2)*CG75*CJ75*VLOOKUP('Données projet'!$B$12,Paramètres!$A$1:$I$89,3,0)*0.475*44/12</f>
        <v>1.5606767912570523E-5</v>
      </c>
      <c r="CN75" s="22">
        <f t="shared" si="66"/>
        <v>14.899047238850839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</v>
      </c>
      <c r="CT75" s="12">
        <f>IF('Données projet'!$A$140&gt;35,CT74+CS75-DB74,IF(A75&lt;'Données projet'!$A$140,$CQ$205^A75,IF(A75='Données projet'!$A$140,'Données projet'!$B$140,CT74+CS75-DB74)))</f>
        <v>394</v>
      </c>
      <c r="CU75" s="17">
        <f>CT75*VLOOKUP('Données projet'!$B$13,Paramètres!$A$1:$I$89,3,0)*VLOOKUP('Données projet'!$B$13,Paramètres!$A$1:$I$89,5,0)</f>
        <v>245.85600000000002</v>
      </c>
      <c r="CV75" s="13">
        <f t="shared" si="95"/>
        <v>59.697704223314012</v>
      </c>
      <c r="CW75" s="20">
        <f t="shared" si="67"/>
        <v>532.17270152227195</v>
      </c>
      <c r="CX75" s="59">
        <f t="shared" si="68"/>
        <v>825.50603485560532</v>
      </c>
      <c r="CY75" s="59">
        <f ca="1">AVERAGE(OFFSET($CX$3,0,0,'Données projet'!$E$13+1,1))-AVERAGE(OFFSET($H$3,0,0,'Données projet'!$E$13+1,1))</f>
        <v>285.77483300338548</v>
      </c>
      <c r="CZ75" s="59">
        <f t="shared" si="96"/>
        <v>320.55212417690637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3.6319301160572302</v>
      </c>
      <c r="DG75" s="21">
        <f>EXP(-LN(2)/25)*DG74+(1-EXP(-LN(2)/25))/(LN(2)/25)*Calculateur!DB75*Calculateur!DD75*VLOOKUP('Données projet'!$B$13,Paramètres!$A$1:$I$89,3,0)*0.475*44/12</f>
        <v>8.6977018140160283</v>
      </c>
      <c r="DH75" s="21">
        <f>EXP(-LN(2)/2)*DH74+(1-EXP(-LN(2)/2))/(LN(2)/2)*DB75*DE75*VLOOKUP('Données projet'!$B$13,Paramètres!$A$1:$I$89,3,0)*0.475*44/12</f>
        <v>1.1635394638496342E-5</v>
      </c>
      <c r="DI75" s="22">
        <f t="shared" si="69"/>
        <v>12.329643565467897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10.4</v>
      </c>
      <c r="N76" s="13">
        <f>IF('Données projet'!$A$36&gt;35,N75+M76-V75,IF(A76&lt;'Données projet'!$A$36,$K$205^A76,IF(A76='Données projet'!$A$36,'Données projet'!$B$36,N75+M76-V75)))</f>
        <v>578.19999999999959</v>
      </c>
      <c r="O76" s="13">
        <f>N76*VLOOKUP('Données projet'!$B$9,Paramètres!$A$1:$I$89,3,0)*VLOOKUP('Données projet'!$B$9,Paramètres!$A$1:$I$89,5,0)</f>
        <v>323.21379999999982</v>
      </c>
      <c r="P76" s="13">
        <f t="shared" si="87"/>
        <v>76.021657849237485</v>
      </c>
      <c r="Q76" s="20">
        <f t="shared" si="54"/>
        <v>695.33508908742158</v>
      </c>
      <c r="R76" s="59">
        <f t="shared" si="55"/>
        <v>988.66842242075495</v>
      </c>
      <c r="S76" s="59">
        <f ca="1">AVERAGE(OFFSET($R$3,0,0,'Données projet'!$E$9+1,1))-AVERAGE(OFFSET($H$3,0,0,'Données projet'!$E$9+1,1))</f>
        <v>356.67698551373468</v>
      </c>
      <c r="T76" s="59">
        <f t="shared" si="88"/>
        <v>353.21836615408171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1.9493239768090409</v>
      </c>
      <c r="AA76" s="21">
        <f>EXP(-LN(2)/25)*AA75+(1-EXP(-LN(2)/25))/(LN(2)/25)*Calculateur!V76*Calculateur!X76*VLOOKUP('Données projet'!$B$9,Paramètres!$A$1:$I$89,3,0)*0.475*44/12</f>
        <v>9.1589598586931142</v>
      </c>
      <c r="AB76" s="21">
        <f>EXP(-LN(2)/2)*AB75+(1-EXP(-LN(2)/2))/(LN(2)/2)*V76*Y76*VLOOKUP('Données projet'!$B$9,Paramètres!$A$1:$I$89,3,0)*0.475*44/12</f>
        <v>1.0965628254453141E-5</v>
      </c>
      <c r="AC76" s="22">
        <f t="shared" si="57"/>
        <v>11.108294801130409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5.0999999999999996</v>
      </c>
      <c r="AI76" s="13">
        <f>IF('Données projet'!$A$62&gt;35,AI75+AH76-AQ75,IF(A76&lt;'Données projet'!$A$62,$AF$205^A76,IF(A76='Données projet'!$A$62,'Données projet'!$B$62,AI75+AH76-AQ75)))</f>
        <v>351.30000000000047</v>
      </c>
      <c r="AJ76" s="13">
        <f>AI76*VLOOKUP('Données projet'!$B$10,Paramètres!$A$1:$I$89,3,0)*VLOOKUP('Données projet'!$B$10,Paramètres!$A$1:$I$89,5,0)</f>
        <v>219.2112000000003</v>
      </c>
      <c r="AK76" s="13">
        <f t="shared" si="89"/>
        <v>53.943408114730026</v>
      </c>
      <c r="AL76" s="20">
        <f t="shared" si="58"/>
        <v>475.74427579982193</v>
      </c>
      <c r="AM76" s="59">
        <f t="shared" si="59"/>
        <v>769.07760913315519</v>
      </c>
      <c r="AN76" s="59">
        <f ca="1">AVERAGE(OFFSET($AM$3,0,0,'Données projet'!$E$10+1,1))-AVERAGE(OFFSET($H$3,0,0,'Données projet'!$E$10+1,1))</f>
        <v>240.30073883588199</v>
      </c>
      <c r="AO76" s="59">
        <f t="shared" si="90"/>
        <v>263.20351282678843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2.967258484783315</v>
      </c>
      <c r="AV76" s="21">
        <f>EXP(-LN(2)/25)*AV75+(1-EXP(-LN(2)/25))/(LN(2)/25)*Calculateur!AQ76*Calculateur!AS76*VLOOKUP('Données projet'!$B$10,Paramètres!$A$1:$I$89,3,0)*0.475*44/12</f>
        <v>6.3101430266957337</v>
      </c>
      <c r="AW76" s="21">
        <f>EXP(-LN(2)/2)*AW75+(1-EXP(-LN(2)/2))/(LN(2)/2)*AQ76*AT76*VLOOKUP('Données projet'!$B$10,Paramètres!$A$1:$I$89,3,0)*0.475*44/12</f>
        <v>6.8078339387719286E-6</v>
      </c>
      <c r="AX76" s="21">
        <f t="shared" si="60"/>
        <v>9.2774083193129879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252.98248842635206</v>
      </c>
      <c r="BJ76" s="59">
        <f t="shared" si="92"/>
        <v>207.11938580878308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11.7</v>
      </c>
      <c r="BY76" s="12">
        <f>IF('Données projet'!$A$114&gt;35,BY75+BX76-CG75,IF(A76&lt;'Données projet'!$A$114,$BV$205^A76,IF(A76='Données projet'!$A$114,'Données projet'!$B$114,BY75+BX76-CG75)))</f>
        <v>637.10000000000014</v>
      </c>
      <c r="BZ76" s="13">
        <f>BY76*VLOOKUP('Données projet'!$B$12,Paramètres!$A$1:$I$89,3,0)*VLOOKUP('Données projet'!$B$12,Paramètres!$A$1:$I$89,5,0)</f>
        <v>356.13890000000004</v>
      </c>
      <c r="CA76" s="13">
        <f t="shared" si="93"/>
        <v>82.825292478605164</v>
      </c>
      <c r="CB76" s="20">
        <f t="shared" si="64"/>
        <v>764.52930190023733</v>
      </c>
      <c r="CC76" s="59">
        <f t="shared" si="65"/>
        <v>1057.8626352335707</v>
      </c>
      <c r="CD76" s="59">
        <f ca="1">AVERAGE(OFFSET($CC$3,0,0,'Données projet'!$E$12+1,1))-AVERAGE(OFFSET($H$3,0,0,'Données projet'!$E$12+1,1))</f>
        <v>401.06118089678654</v>
      </c>
      <c r="CE76" s="59">
        <f t="shared" si="94"/>
        <v>399.58193819355591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4.3859789478203384</v>
      </c>
      <c r="CL76" s="21">
        <f>EXP(-LN(2)/25)*CL75+(1-EXP(-LN(2)/25))/(LN(2)/25)*Calculateur!CG76*Calculateur!CI76*VLOOKUP('Données projet'!$B$12,Paramètres!$A$1:$I$89,3,0)*0.475*44/12</f>
        <v>10.140244957435296</v>
      </c>
      <c r="CM76" s="21">
        <f>EXP(-LN(2)/2)*CM75+(1-EXP(-LN(2)/2))/(LN(2)/2)*CG76*CJ76*VLOOKUP('Données projet'!$B$12,Paramètres!$A$1:$I$89,3,0)*0.475*44/12</f>
        <v>1.1035651423383236E-5</v>
      </c>
      <c r="CN76" s="22">
        <f t="shared" si="66"/>
        <v>14.526234940907058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</v>
      </c>
      <c r="CT76" s="12">
        <f>IF('Données projet'!$A$140&gt;35,CT75+CS76-DB75,IF(A76&lt;'Données projet'!$A$140,$CQ$205^A76,IF(A76='Données projet'!$A$140,'Données projet'!$B$140,CT75+CS76-DB75)))</f>
        <v>400</v>
      </c>
      <c r="CU76" s="17">
        <f>CT76*VLOOKUP('Données projet'!$B$13,Paramètres!$A$1:$I$89,3,0)*VLOOKUP('Données projet'!$B$13,Paramètres!$A$1:$I$89,5,0)</f>
        <v>249.60000000000002</v>
      </c>
      <c r="CV76" s="13">
        <f t="shared" si="95"/>
        <v>60.500278891753695</v>
      </c>
      <c r="CW76" s="20">
        <f t="shared" si="67"/>
        <v>540.0913190698044</v>
      </c>
      <c r="CX76" s="59">
        <f t="shared" si="68"/>
        <v>833.42465240313777</v>
      </c>
      <c r="CY76" s="59">
        <f ca="1">AVERAGE(OFFSET($CX$3,0,0,'Données projet'!$E$13+1,1))-AVERAGE(OFFSET($H$3,0,0,'Données projet'!$E$13+1,1))</f>
        <v>285.77483300338548</v>
      </c>
      <c r="CZ76" s="59">
        <f t="shared" si="96"/>
        <v>320.55212417690637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3.5607101817399802</v>
      </c>
      <c r="DG76" s="21">
        <f>EXP(-LN(2)/25)*DG75+(1-EXP(-LN(2)/25))/(LN(2)/25)*Calculateur!DB76*Calculateur!DD76*VLOOKUP('Données projet'!$B$13,Paramètres!$A$1:$I$89,3,0)*0.475*44/12</f>
        <v>8.4598627005195013</v>
      </c>
      <c r="DH76" s="21">
        <f>EXP(-LN(2)/2)*DH75+(1-EXP(-LN(2)/2))/(LN(2)/2)*DB76*DE76*VLOOKUP('Données projet'!$B$13,Paramètres!$A$1:$I$89,3,0)*0.475*44/12</f>
        <v>8.2274664506623608E-6</v>
      </c>
      <c r="DI76" s="22">
        <f t="shared" si="69"/>
        <v>12.020581109725931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10.4</v>
      </c>
      <c r="N77" s="13">
        <f>IF('Données projet'!$A$36&gt;35,N76+M77-V76,IF(A77&lt;'Données projet'!$A$36,$K$205^A77,IF(A77='Données projet'!$A$36,'Données projet'!$B$36,N76+M77-V76)))</f>
        <v>588.59999999999957</v>
      </c>
      <c r="O77" s="13">
        <f>N77*VLOOKUP('Données projet'!$B$9,Paramètres!$A$1:$I$89,3,0)*VLOOKUP('Données projet'!$B$9,Paramètres!$A$1:$I$89,5,0)</f>
        <v>329.02739999999977</v>
      </c>
      <c r="P77" s="13">
        <f t="shared" si="87"/>
        <v>77.228627751120342</v>
      </c>
      <c r="Q77" s="20">
        <f t="shared" si="54"/>
        <v>707.56258166653413</v>
      </c>
      <c r="R77" s="59">
        <f t="shared" si="55"/>
        <v>1000.8959149998675</v>
      </c>
      <c r="S77" s="59">
        <f ca="1">AVERAGE(OFFSET($R$3,0,0,'Données projet'!$E$9+1,1))-AVERAGE(OFFSET($H$3,0,0,'Données projet'!$E$9+1,1))</f>
        <v>356.67698551373468</v>
      </c>
      <c r="T77" s="59">
        <f t="shared" si="88"/>
        <v>353.21836615408171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1.9110989225940405</v>
      </c>
      <c r="AA77" s="21">
        <f>EXP(-LN(2)/25)*AA76+(1-EXP(-LN(2)/25))/(LN(2)/25)*Calculateur!V77*Calculateur!X77*VLOOKUP('Données projet'!$B$9,Paramètres!$A$1:$I$89,3,0)*0.475*44/12</f>
        <v>8.9085076197083843</v>
      </c>
      <c r="AB77" s="21">
        <f>EXP(-LN(2)/2)*AB76+(1-EXP(-LN(2)/2))/(LN(2)/2)*V77*Y77*VLOOKUP('Données projet'!$B$9,Paramètres!$A$1:$I$89,3,0)*0.475*44/12</f>
        <v>7.7538700986946205E-6</v>
      </c>
      <c r="AC77" s="22">
        <f t="shared" si="57"/>
        <v>10.819614296172524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5.0999999999999996</v>
      </c>
      <c r="AI77" s="13">
        <f>IF('Données projet'!$A$62&gt;35,AI76+AH77-AQ76,IF(A77&lt;'Données projet'!$A$62,$AF$205^A77,IF(A77='Données projet'!$A$62,'Données projet'!$B$62,AI76+AH77-AQ76)))</f>
        <v>356.40000000000049</v>
      </c>
      <c r="AJ77" s="13">
        <f>AI77*VLOOKUP('Données projet'!$B$10,Paramètres!$A$1:$I$89,3,0)*VLOOKUP('Données projet'!$B$10,Paramètres!$A$1:$I$89,5,0)</f>
        <v>222.3936000000003</v>
      </c>
      <c r="AK77" s="13">
        <f t="shared" si="89"/>
        <v>54.634794757949336</v>
      </c>
      <c r="AL77" s="20">
        <f t="shared" si="58"/>
        <v>482.49112087009553</v>
      </c>
      <c r="AM77" s="59">
        <f t="shared" si="59"/>
        <v>775.82445420342879</v>
      </c>
      <c r="AN77" s="59">
        <f ca="1">AVERAGE(OFFSET($AM$3,0,0,'Données projet'!$E$10+1,1))-AVERAGE(OFFSET($H$3,0,0,'Données projet'!$E$10+1,1))</f>
        <v>240.30073883588199</v>
      </c>
      <c r="AO77" s="59">
        <f t="shared" si="90"/>
        <v>263.20351282678843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2.9090723557456823</v>
      </c>
      <c r="AV77" s="21">
        <f>EXP(-LN(2)/25)*AV76+(1-EXP(-LN(2)/25))/(LN(2)/25)*Calculateur!AQ77*Calculateur!AS77*VLOOKUP('Données projet'!$B$10,Paramètres!$A$1:$I$89,3,0)*0.475*44/12</f>
        <v>6.1375918337947395</v>
      </c>
      <c r="AW77" s="21">
        <f>EXP(-LN(2)/2)*AW76+(1-EXP(-LN(2)/2))/(LN(2)/2)*AQ77*AT77*VLOOKUP('Données projet'!$B$10,Paramètres!$A$1:$I$89,3,0)*0.475*44/12</f>
        <v>4.813865543297554E-6</v>
      </c>
      <c r="AX77" s="21">
        <f t="shared" si="60"/>
        <v>9.0466690034059649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252.98248842635206</v>
      </c>
      <c r="BJ77" s="59">
        <f t="shared" si="92"/>
        <v>207.11938580878308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11.7</v>
      </c>
      <c r="BY77" s="12">
        <f>IF('Données projet'!$A$114&gt;35,BY76+BX77-CG76,IF(A77&lt;'Données projet'!$A$114,$BV$205^A77,IF(A77='Données projet'!$A$114,'Données projet'!$B$114,BY76+BX77-CG76)))</f>
        <v>648.80000000000018</v>
      </c>
      <c r="BZ77" s="13">
        <f>BY77*VLOOKUP('Données projet'!$B$12,Paramètres!$A$1:$I$89,3,0)*VLOOKUP('Données projet'!$B$12,Paramètres!$A$1:$I$89,5,0)</f>
        <v>362.67920000000015</v>
      </c>
      <c r="CA77" s="13">
        <f t="shared" si="93"/>
        <v>84.167858525526952</v>
      </c>
      <c r="CB77" s="20">
        <f t="shared" si="64"/>
        <v>778.25862693195984</v>
      </c>
      <c r="CC77" s="59">
        <f t="shared" si="65"/>
        <v>1071.5919602652932</v>
      </c>
      <c r="CD77" s="59">
        <f ca="1">AVERAGE(OFFSET($CC$3,0,0,'Données projet'!$E$12+1,1))-AVERAGE(OFFSET($H$3,0,0,'Données projet'!$E$12+1,1))</f>
        <v>401.06118089678654</v>
      </c>
      <c r="CE77" s="59">
        <f t="shared" si="94"/>
        <v>399.58193819355591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4.2999725758365877</v>
      </c>
      <c r="CL77" s="21">
        <f>EXP(-LN(2)/25)*CL76+(1-EXP(-LN(2)/25))/(LN(2)/25)*Calculateur!CG77*Calculateur!CI77*VLOOKUP('Données projet'!$B$12,Paramètres!$A$1:$I$89,3,0)*0.475*44/12</f>
        <v>9.8629594258219218</v>
      </c>
      <c r="CM77" s="21">
        <f>EXP(-LN(2)/2)*CM76+(1-EXP(-LN(2)/2))/(LN(2)/2)*CG77*CJ77*VLOOKUP('Données projet'!$B$12,Paramètres!$A$1:$I$89,3,0)*0.475*44/12</f>
        <v>7.8033839562852616E-6</v>
      </c>
      <c r="CN77" s="22">
        <f t="shared" si="66"/>
        <v>14.162939805042466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</v>
      </c>
      <c r="CT77" s="12">
        <f>IF('Données projet'!$A$140&gt;35,CT76+CS77-DB76,IF(A77&lt;'Données projet'!$A$140,$CQ$205^A77,IF(A77='Données projet'!$A$140,'Données projet'!$B$140,CT76+CS77-DB76)))</f>
        <v>406</v>
      </c>
      <c r="CU77" s="17">
        <f>CT77*VLOOKUP('Données projet'!$B$13,Paramètres!$A$1:$I$89,3,0)*VLOOKUP('Données projet'!$B$13,Paramètres!$A$1:$I$89,5,0)</f>
        <v>253.34399999999999</v>
      </c>
      <c r="CV77" s="13">
        <f t="shared" si="95"/>
        <v>61.301453431926305</v>
      </c>
      <c r="CW77" s="20">
        <f t="shared" si="67"/>
        <v>548.00749806060492</v>
      </c>
      <c r="CX77" s="59">
        <f t="shared" si="68"/>
        <v>841.34083139393829</v>
      </c>
      <c r="CY77" s="59">
        <f ca="1">AVERAGE(OFFSET($CX$3,0,0,'Données projet'!$E$13+1,1))-AVERAGE(OFFSET($H$3,0,0,'Données projet'!$E$13+1,1))</f>
        <v>285.77483300338548</v>
      </c>
      <c r="CZ77" s="59">
        <f t="shared" si="96"/>
        <v>320.55212417690637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3.4908868268948208</v>
      </c>
      <c r="DG77" s="21">
        <f>EXP(-LN(2)/25)*DG76+(1-EXP(-LN(2)/25))/(LN(2)/25)*Calculateur!DB77*Calculateur!DD77*VLOOKUP('Données projet'!$B$13,Paramètres!$A$1:$I$89,3,0)*0.475*44/12</f>
        <v>8.2285273100889516</v>
      </c>
      <c r="DH77" s="21">
        <f>EXP(-LN(2)/2)*DH76+(1-EXP(-LN(2)/2))/(LN(2)/2)*DB77*DE77*VLOOKUP('Données projet'!$B$13,Paramètres!$A$1:$I$89,3,0)*0.475*44/12</f>
        <v>5.8176973192481708E-6</v>
      </c>
      <c r="DI77" s="22">
        <f t="shared" si="69"/>
        <v>11.719419954681092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10.4</v>
      </c>
      <c r="N78" s="13">
        <f>IF('Données projet'!$A$36&gt;35,N77+M78-V77,IF(A78&lt;'Données projet'!$A$36,$K$205^A78,IF(A78='Données projet'!$A$36,'Données projet'!$B$36,N77+M78-V77)))</f>
        <v>598.99999999999955</v>
      </c>
      <c r="O78" s="13">
        <f>N78*VLOOKUP('Données projet'!$B$9,Paramètres!$A$1:$I$89,3,0)*VLOOKUP('Données projet'!$B$9,Paramètres!$A$1:$I$89,5,0)</f>
        <v>334.84099999999978</v>
      </c>
      <c r="P78" s="13">
        <f t="shared" si="87"/>
        <v>78.433117720461652</v>
      </c>
      <c r="Q78" s="20">
        <f t="shared" si="54"/>
        <v>719.78575502980368</v>
      </c>
      <c r="R78" s="59">
        <f t="shared" si="55"/>
        <v>1013.1190883631371</v>
      </c>
      <c r="S78" s="59">
        <f ca="1">AVERAGE(OFFSET($R$3,0,0,'Données projet'!$E$9+1,1))-AVERAGE(OFFSET($H$3,0,0,'Données projet'!$E$9+1,1))</f>
        <v>356.67698551373468</v>
      </c>
      <c r="T78" s="59">
        <f t="shared" si="88"/>
        <v>353.21836615408171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1.8736234383772152</v>
      </c>
      <c r="AA78" s="21">
        <f>EXP(-LN(2)/25)*AA77+(1-EXP(-LN(2)/25))/(LN(2)/25)*Calculateur!V78*Calculateur!X78*VLOOKUP('Données projet'!$B$9,Paramètres!$A$1:$I$89,3,0)*0.475*44/12</f>
        <v>8.6649040103694031</v>
      </c>
      <c r="AB78" s="21">
        <f>EXP(-LN(2)/2)*AB77+(1-EXP(-LN(2)/2))/(LN(2)/2)*V78*Y78*VLOOKUP('Données projet'!$B$9,Paramètres!$A$1:$I$89,3,0)*0.475*44/12</f>
        <v>5.4828141272265707E-6</v>
      </c>
      <c r="AC78" s="22">
        <f t="shared" si="57"/>
        <v>10.538532931560747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5.0999999999999996</v>
      </c>
      <c r="AI78" s="13">
        <f>IF('Données projet'!$A$62&gt;35,AI77+AH78-AQ77,IF(A78&lt;'Données projet'!$A$62,$AF$205^A78,IF(A78='Données projet'!$A$62,'Données projet'!$B$62,AI77+AH78-AQ77)))</f>
        <v>361.50000000000051</v>
      </c>
      <c r="AJ78" s="13">
        <f>AI78*VLOOKUP('Données projet'!$B$10,Paramètres!$A$1:$I$89,3,0)*VLOOKUP('Données projet'!$B$10,Paramètres!$A$1:$I$89,5,0)</f>
        <v>225.57600000000031</v>
      </c>
      <c r="AK78" s="13">
        <f t="shared" si="89"/>
        <v>55.325030705506045</v>
      </c>
      <c r="AL78" s="20">
        <f t="shared" si="58"/>
        <v>489.23596181209018</v>
      </c>
      <c r="AM78" s="59">
        <f t="shared" si="59"/>
        <v>782.56929514542344</v>
      </c>
      <c r="AN78" s="59">
        <f ca="1">AVERAGE(OFFSET($AM$3,0,0,'Données projet'!$E$10+1,1))-AVERAGE(OFFSET($H$3,0,0,'Données projet'!$E$10+1,1))</f>
        <v>240.30073883588199</v>
      </c>
      <c r="AO78" s="59">
        <f t="shared" si="90"/>
        <v>263.20351282678843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2.8520272212084432</v>
      </c>
      <c r="AV78" s="21">
        <f>EXP(-LN(2)/25)*AV77+(1-EXP(-LN(2)/25))/(LN(2)/25)*Calculateur!AQ78*Calculateur!AS78*VLOOKUP('Données projet'!$B$10,Paramètres!$A$1:$I$89,3,0)*0.475*44/12</f>
        <v>5.9697590623376957</v>
      </c>
      <c r="AW78" s="21">
        <f>EXP(-LN(2)/2)*AW77+(1-EXP(-LN(2)/2))/(LN(2)/2)*AQ78*AT78*VLOOKUP('Données projet'!$B$10,Paramètres!$A$1:$I$89,3,0)*0.475*44/12</f>
        <v>3.4039169693859643E-6</v>
      </c>
      <c r="AX78" s="21">
        <f t="shared" si="60"/>
        <v>8.8217896874631077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252.98248842635206</v>
      </c>
      <c r="BJ78" s="59">
        <f t="shared" si="92"/>
        <v>207.11938580878308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11.7</v>
      </c>
      <c r="BY78" s="12">
        <f>IF('Données projet'!$A$114&gt;35,BY77+BX78-CG77,IF(A78&lt;'Données projet'!$A$114,$BV$205^A78,IF(A78='Données projet'!$A$114,'Données projet'!$B$114,BY77+BX78-CG77)))</f>
        <v>660.50000000000023</v>
      </c>
      <c r="BZ78" s="13">
        <f>BY78*VLOOKUP('Données projet'!$B$12,Paramètres!$A$1:$I$89,3,0)*VLOOKUP('Données projet'!$B$12,Paramètres!$A$1:$I$89,5,0)</f>
        <v>369.21950000000015</v>
      </c>
      <c r="CA78" s="13">
        <f t="shared" si="93"/>
        <v>85.507609219700839</v>
      </c>
      <c r="CB78" s="20">
        <f t="shared" si="64"/>
        <v>791.98304855764582</v>
      </c>
      <c r="CC78" s="59">
        <f t="shared" si="65"/>
        <v>1085.3163818909791</v>
      </c>
      <c r="CD78" s="59">
        <f ca="1">AVERAGE(OFFSET($CC$3,0,0,'Données projet'!$E$12+1,1))-AVERAGE(OFFSET($H$3,0,0,'Données projet'!$E$12+1,1))</f>
        <v>401.06118089678654</v>
      </c>
      <c r="CE78" s="59">
        <f t="shared" si="94"/>
        <v>399.58193819355591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4.2156527363487308</v>
      </c>
      <c r="CL78" s="21">
        <f>EXP(-LN(2)/25)*CL77+(1-EXP(-LN(2)/25))/(LN(2)/25)*Calculateur!CG78*Calculateur!CI78*VLOOKUP('Données projet'!$B$12,Paramètres!$A$1:$I$89,3,0)*0.475*44/12</f>
        <v>9.5932562816523266</v>
      </c>
      <c r="CM78" s="21">
        <f>EXP(-LN(2)/2)*CM77+(1-EXP(-LN(2)/2))/(LN(2)/2)*CG78*CJ78*VLOOKUP('Données projet'!$B$12,Paramètres!$A$1:$I$89,3,0)*0.475*44/12</f>
        <v>5.5178257116916182E-6</v>
      </c>
      <c r="CN78" s="22">
        <f t="shared" si="66"/>
        <v>13.808914535826768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6</v>
      </c>
      <c r="CT78" s="12">
        <f>IF('Données projet'!$A$140&gt;35,CT77+CS78-DB77,IF(A78&lt;'Données projet'!$A$140,$CQ$205^A78,IF(A78='Données projet'!$A$140,'Données projet'!$B$140,CT77+CS78-DB77)))</f>
        <v>412</v>
      </c>
      <c r="CU78" s="17">
        <f>CT78*VLOOKUP('Données projet'!$B$13,Paramètres!$A$1:$I$89,3,0)*VLOOKUP('Données projet'!$B$13,Paramètres!$A$1:$I$89,5,0)</f>
        <v>257.08800000000002</v>
      </c>
      <c r="CV78" s="13">
        <f t="shared" si="95"/>
        <v>62.101250925713771</v>
      </c>
      <c r="CW78" s="20">
        <f t="shared" si="67"/>
        <v>555.92127869561818</v>
      </c>
      <c r="CX78" s="59">
        <f t="shared" si="68"/>
        <v>849.25461202895144</v>
      </c>
      <c r="CY78" s="59">
        <f ca="1">AVERAGE(OFFSET($CX$3,0,0,'Données projet'!$E$13+1,1))-AVERAGE(OFFSET($H$3,0,0,'Données projet'!$E$13+1,1))</f>
        <v>285.77483300338548</v>
      </c>
      <c r="CZ78" s="59">
        <f t="shared" si="96"/>
        <v>320.55212417690637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3.4224326654501338</v>
      </c>
      <c r="DG78" s="21">
        <f>EXP(-LN(2)/25)*DG77+(1-EXP(-LN(2)/25))/(LN(2)/25)*Calculateur!DB78*Calculateur!DD78*VLOOKUP('Données projet'!$B$13,Paramètres!$A$1:$I$89,3,0)*0.475*44/12</f>
        <v>8.0035177980751246</v>
      </c>
      <c r="DH78" s="21">
        <f>EXP(-LN(2)/2)*DH77+(1-EXP(-LN(2)/2))/(LN(2)/2)*DB78*DE78*VLOOKUP('Données projet'!$B$13,Paramètres!$A$1:$I$89,3,0)*0.475*44/12</f>
        <v>4.1137332253311804E-6</v>
      </c>
      <c r="DI78" s="22">
        <f t="shared" si="69"/>
        <v>11.425954577258484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</v>
      </c>
      <c r="N79" s="13">
        <f>IF('Données projet'!$A$36&gt;35,N78+M79-V78,IF(A79&lt;'Données projet'!$A$36,$K$205^A79,IF(A79='Données projet'!$A$36,'Données projet'!$B$36,N78+M79-V78)))</f>
        <v>609.39999999999952</v>
      </c>
      <c r="O79" s="13">
        <f>N79*VLOOKUP('Données projet'!$B$9,Paramètres!$A$1:$I$89,3,0)*VLOOKUP('Données projet'!$B$9,Paramètres!$A$1:$I$89,5,0)</f>
        <v>340.65459999999973</v>
      </c>
      <c r="P79" s="13">
        <f t="shared" si="87"/>
        <v>79.635175782709197</v>
      </c>
      <c r="Q79" s="20">
        <f t="shared" si="54"/>
        <v>732.00469282155143</v>
      </c>
      <c r="R79" s="59">
        <f t="shared" si="55"/>
        <v>1025.3380261548848</v>
      </c>
      <c r="S79" s="59">
        <f ca="1">AVERAGE(OFFSET($R$3,0,0,'Données projet'!$E$9+1,1))-AVERAGE(OFFSET($H$3,0,0,'Données projet'!$E$9+1,1))</f>
        <v>356.67698551373468</v>
      </c>
      <c r="T79" s="59">
        <f t="shared" si="88"/>
        <v>353.21836615408171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1.8368828255480936</v>
      </c>
      <c r="AA79" s="21">
        <f>EXP(-LN(2)/25)*AA78+(1-EXP(-LN(2)/25))/(LN(2)/25)*Calculateur!V79*Calculateur!X79*VLOOKUP('Données projet'!$B$9,Paramètres!$A$1:$I$89,3,0)*0.475*44/12</f>
        <v>8.4279617545383534</v>
      </c>
      <c r="AB79" s="21">
        <f>EXP(-LN(2)/2)*AB78+(1-EXP(-LN(2)/2))/(LN(2)/2)*V79*Y79*VLOOKUP('Données projet'!$B$9,Paramètres!$A$1:$I$89,3,0)*0.475*44/12</f>
        <v>3.8769350493473103E-6</v>
      </c>
      <c r="AC79" s="22">
        <f t="shared" si="57"/>
        <v>10.264848457021495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5.0999999999999996</v>
      </c>
      <c r="AI79" s="13">
        <f>IF('Données projet'!$A$62&gt;35,AI78+AH79-AQ78,IF(A79&lt;'Données projet'!$A$62,$AF$205^A79,IF(A79='Données projet'!$A$62,'Données projet'!$B$62,AI78+AH79-AQ78)))</f>
        <v>366.60000000000053</v>
      </c>
      <c r="AJ79" s="13">
        <f>AI79*VLOOKUP('Données projet'!$B$10,Paramètres!$A$1:$I$89,3,0)*VLOOKUP('Données projet'!$B$10,Paramètres!$A$1:$I$89,5,0)</f>
        <v>228.75840000000034</v>
      </c>
      <c r="AK79" s="13">
        <f t="shared" si="89"/>
        <v>56.014134067241066</v>
      </c>
      <c r="AL79" s="20">
        <f t="shared" si="58"/>
        <v>495.97883016711211</v>
      </c>
      <c r="AM79" s="59">
        <f t="shared" si="59"/>
        <v>789.31216350044542</v>
      </c>
      <c r="AN79" s="59">
        <f ca="1">AVERAGE(OFFSET($AM$3,0,0,'Données projet'!$E$10+1,1))-AVERAGE(OFFSET($H$3,0,0,'Données projet'!$E$10+1,1))</f>
        <v>240.30073883588199</v>
      </c>
      <c r="AO79" s="59">
        <f t="shared" si="90"/>
        <v>263.20351282678843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2.7961007069653827</v>
      </c>
      <c r="AV79" s="21">
        <f>EXP(-LN(2)/25)*AV78+(1-EXP(-LN(2)/25))/(LN(2)/25)*Calculateur!AQ79*Calculateur!AS79*VLOOKUP('Données projet'!$B$10,Paramètres!$A$1:$I$89,3,0)*0.475*44/12</f>
        <v>5.8065156868420864</v>
      </c>
      <c r="AW79" s="21">
        <f>EXP(-LN(2)/2)*AW78+(1-EXP(-LN(2)/2))/(LN(2)/2)*AQ79*AT79*VLOOKUP('Données projet'!$B$10,Paramètres!$A$1:$I$89,3,0)*0.475*44/12</f>
        <v>2.406932771648777E-6</v>
      </c>
      <c r="AX79" s="21">
        <f t="shared" si="60"/>
        <v>8.6026188007402418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252.98248842635206</v>
      </c>
      <c r="BJ79" s="59">
        <f t="shared" si="92"/>
        <v>207.11938580878308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11.7</v>
      </c>
      <c r="BY79" s="12">
        <f>IF('Données projet'!$A$114&gt;35,BY78+BX79-CG78,IF(A79&lt;'Données projet'!$A$114,$BV$205^A79,IF(A79='Données projet'!$A$114,'Données projet'!$B$114,BY78+BX79-CG78)))</f>
        <v>672.20000000000027</v>
      </c>
      <c r="BZ79" s="13">
        <f>BY79*VLOOKUP('Données projet'!$B$12,Paramètres!$A$1:$I$89,3,0)*VLOOKUP('Données projet'!$B$12,Paramètres!$A$1:$I$89,5,0)</f>
        <v>375.75980000000015</v>
      </c>
      <c r="CA79" s="13">
        <f t="shared" si="93"/>
        <v>86.844600185332411</v>
      </c>
      <c r="CB79" s="20">
        <f t="shared" si="64"/>
        <v>805.70266365612088</v>
      </c>
      <c r="CC79" s="59">
        <f t="shared" si="65"/>
        <v>1099.0359969894541</v>
      </c>
      <c r="CD79" s="59">
        <f ca="1">AVERAGE(OFFSET($CC$3,0,0,'Données projet'!$E$12+1,1))-AVERAGE(OFFSET($H$3,0,0,'Données projet'!$E$12+1,1))</f>
        <v>401.06118089678654</v>
      </c>
      <c r="CE79" s="59">
        <f t="shared" si="94"/>
        <v>399.58193819355591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4.1329863574832073</v>
      </c>
      <c r="CL79" s="21">
        <f>EXP(-LN(2)/25)*CL78+(1-EXP(-LN(2)/25))/(LN(2)/25)*Calculateur!CG79*Calculateur!CI79*VLOOKUP('Données projet'!$B$12,Paramètres!$A$1:$I$89,3,0)*0.475*44/12</f>
        <v>9.3309281841431222</v>
      </c>
      <c r="CM79" s="21">
        <f>EXP(-LN(2)/2)*CM78+(1-EXP(-LN(2)/2))/(LN(2)/2)*CG79*CJ79*VLOOKUP('Données projet'!$B$12,Paramètres!$A$1:$I$89,3,0)*0.475*44/12</f>
        <v>3.9016919781426308E-6</v>
      </c>
      <c r="CN79" s="22">
        <f t="shared" si="66"/>
        <v>13.463918443318308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6</v>
      </c>
      <c r="CT79" s="12">
        <f>IF('Données projet'!$A$140&gt;35,CT78+CS79-DB78,IF(A79&lt;'Données projet'!$A$140,$CQ$205^A79,IF(A79='Données projet'!$A$140,'Données projet'!$B$140,CT78+CS79-DB78)))</f>
        <v>418</v>
      </c>
      <c r="CU79" s="17">
        <f>CT79*VLOOKUP('Données projet'!$B$13,Paramètres!$A$1:$I$89,3,0)*VLOOKUP('Données projet'!$B$13,Paramètres!$A$1:$I$89,5,0)</f>
        <v>260.83199999999999</v>
      </c>
      <c r="CV79" s="13">
        <f t="shared" si="95"/>
        <v>62.899693744110721</v>
      </c>
      <c r="CW79" s="20">
        <f t="shared" si="67"/>
        <v>563.83269993765953</v>
      </c>
      <c r="CX79" s="59">
        <f t="shared" si="68"/>
        <v>857.16603327099278</v>
      </c>
      <c r="CY79" s="59">
        <f ca="1">AVERAGE(OFFSET($CX$3,0,0,'Données projet'!$E$13+1,1))-AVERAGE(OFFSET($H$3,0,0,'Données projet'!$E$13+1,1))</f>
        <v>285.77483300338548</v>
      </c>
      <c r="CZ79" s="59">
        <f t="shared" si="96"/>
        <v>320.55212417690637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3.3553208483584611</v>
      </c>
      <c r="DG79" s="21">
        <f>EXP(-LN(2)/25)*DG78+(1-EXP(-LN(2)/25))/(LN(2)/25)*Calculateur!DB79*Calculateur!DD79*VLOOKUP('Données projet'!$B$13,Paramètres!$A$1:$I$89,3,0)*0.475*44/12</f>
        <v>7.7846611830000514</v>
      </c>
      <c r="DH79" s="21">
        <f>EXP(-LN(2)/2)*DH78+(1-EXP(-LN(2)/2))/(LN(2)/2)*DB79*DE79*VLOOKUP('Données projet'!$B$13,Paramètres!$A$1:$I$89,3,0)*0.475*44/12</f>
        <v>2.9088486596240854E-6</v>
      </c>
      <c r="DI79" s="22">
        <f t="shared" si="69"/>
        <v>11.139984940207171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</v>
      </c>
      <c r="N80" s="13">
        <f>IF('Données projet'!$A$36&gt;35,N79+M80-V79,IF(A80&lt;'Données projet'!$A$36,$K$205^A80,IF(A80='Données projet'!$A$36,'Données projet'!$B$36,N79+M80-V79)))</f>
        <v>619.7999999999995</v>
      </c>
      <c r="O80" s="13">
        <f>N80*VLOOKUP('Données projet'!$B$9,Paramètres!$A$1:$I$89,3,0)*VLOOKUP('Données projet'!$B$9,Paramètres!$A$1:$I$89,5,0)</f>
        <v>346.46819999999974</v>
      </c>
      <c r="P80" s="13">
        <f t="shared" si="87"/>
        <v>80.834848230178139</v>
      </c>
      <c r="Q80" s="20">
        <f t="shared" si="54"/>
        <v>744.21947566755978</v>
      </c>
      <c r="R80" s="59">
        <f t="shared" si="55"/>
        <v>1037.5528090008931</v>
      </c>
      <c r="S80" s="59">
        <f ca="1">AVERAGE(OFFSET($R$3,0,0,'Données projet'!$E$9+1,1))-AVERAGE(OFFSET($H$3,0,0,'Données projet'!$E$9+1,1))</f>
        <v>356.67698551373468</v>
      </c>
      <c r="T80" s="59">
        <f t="shared" si="88"/>
        <v>353.21836615408171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1.8008626737269899</v>
      </c>
      <c r="AA80" s="21">
        <f>EXP(-LN(2)/25)*AA79+(1-EXP(-LN(2)/25))/(LN(2)/25)*Calculateur!V80*Calculateur!X80*VLOOKUP('Données projet'!$B$9,Paramètres!$A$1:$I$89,3,0)*0.475*44/12</f>
        <v>8.1974986971532555</v>
      </c>
      <c r="AB80" s="21">
        <f>EXP(-LN(2)/2)*AB79+(1-EXP(-LN(2)/2))/(LN(2)/2)*V80*Y80*VLOOKUP('Données projet'!$B$9,Paramètres!$A$1:$I$89,3,0)*0.475*44/12</f>
        <v>2.7414070636132853E-6</v>
      </c>
      <c r="AC80" s="22">
        <f t="shared" si="57"/>
        <v>9.9983641122873088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5.0999999999999996</v>
      </c>
      <c r="AI80" s="13">
        <f>IF('Données projet'!$A$62&gt;35,AI79+AH80-AQ79,IF(A80&lt;'Données projet'!$A$62,$AF$205^A80,IF(A80='Données projet'!$A$62,'Données projet'!$B$62,AI79+AH80-AQ79)))</f>
        <v>371.70000000000056</v>
      </c>
      <c r="AJ80" s="13">
        <f>AI80*VLOOKUP('Données projet'!$B$10,Paramètres!$A$1:$I$89,3,0)*VLOOKUP('Données projet'!$B$10,Paramètres!$A$1:$I$89,5,0)</f>
        <v>231.94080000000034</v>
      </c>
      <c r="AK80" s="13">
        <f t="shared" si="89"/>
        <v>56.702122420175556</v>
      </c>
      <c r="AL80" s="20">
        <f t="shared" si="58"/>
        <v>502.71975654847284</v>
      </c>
      <c r="AM80" s="59">
        <f t="shared" si="59"/>
        <v>796.05308988180616</v>
      </c>
      <c r="AN80" s="59">
        <f ca="1">AVERAGE(OFFSET($AM$3,0,0,'Données projet'!$E$10+1,1))-AVERAGE(OFFSET($H$3,0,0,'Données projet'!$E$10+1,1))</f>
        <v>240.30073883588199</v>
      </c>
      <c r="AO80" s="59">
        <f t="shared" si="90"/>
        <v>263.20351282678843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2.7412708775548231</v>
      </c>
      <c r="AV80" s="21">
        <f>EXP(-LN(2)/25)*AV79+(1-EXP(-LN(2)/25))/(LN(2)/25)*Calculateur!AQ80*Calculateur!AS80*VLOOKUP('Données projet'!$B$10,Paramètres!$A$1:$I$89,3,0)*0.475*44/12</f>
        <v>5.6477362100340009</v>
      </c>
      <c r="AW80" s="21">
        <f>EXP(-LN(2)/2)*AW79+(1-EXP(-LN(2)/2))/(LN(2)/2)*AQ80*AT80*VLOOKUP('Données projet'!$B$10,Paramètres!$A$1:$I$89,3,0)*0.475*44/12</f>
        <v>1.7019584846929821E-6</v>
      </c>
      <c r="AX80" s="21">
        <f t="shared" si="60"/>
        <v>8.3890087895473098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252.98248842635206</v>
      </c>
      <c r="BJ80" s="59">
        <f t="shared" si="92"/>
        <v>207.11938580878308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11.7</v>
      </c>
      <c r="BY80" s="12">
        <f>IF('Données projet'!$A$114&gt;35,BY79+BX80-CG79,IF(A80&lt;'Données projet'!$A$114,$BV$205^A80,IF(A80='Données projet'!$A$114,'Données projet'!$B$114,BY79+BX80-CG79)))</f>
        <v>683.90000000000032</v>
      </c>
      <c r="BZ80" s="13">
        <f>BY80*VLOOKUP('Données projet'!$B$12,Paramètres!$A$1:$I$89,3,0)*VLOOKUP('Données projet'!$B$12,Paramètres!$A$1:$I$89,5,0)</f>
        <v>382.30010000000016</v>
      </c>
      <c r="CA80" s="13">
        <f t="shared" si="93"/>
        <v>88.178884999359013</v>
      </c>
      <c r="CB80" s="20">
        <f t="shared" si="64"/>
        <v>819.41756554055053</v>
      </c>
      <c r="CC80" s="59">
        <f t="shared" si="65"/>
        <v>1112.7508988738839</v>
      </c>
      <c r="CD80" s="59">
        <f ca="1">AVERAGE(OFFSET($CC$3,0,0,'Données projet'!$E$12+1,1))-AVERAGE(OFFSET($H$3,0,0,'Données projet'!$E$12+1,1))</f>
        <v>401.06118089678654</v>
      </c>
      <c r="CE80" s="59">
        <f t="shared" si="94"/>
        <v>399.58193819355591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4.0519410158857241</v>
      </c>
      <c r="CL80" s="21">
        <f>EXP(-LN(2)/25)*CL79+(1-EXP(-LN(2)/25))/(LN(2)/25)*Calculateur!CG80*Calculateur!CI80*VLOOKUP('Données projet'!$B$12,Paramètres!$A$1:$I$89,3,0)*0.475*44/12</f>
        <v>9.0757734622555422</v>
      </c>
      <c r="CM80" s="21">
        <f>EXP(-LN(2)/2)*CM79+(1-EXP(-LN(2)/2))/(LN(2)/2)*CG80*CJ80*VLOOKUP('Données projet'!$B$12,Paramètres!$A$1:$I$89,3,0)*0.475*44/12</f>
        <v>2.7589128558458091E-6</v>
      </c>
      <c r="CN80" s="22">
        <f t="shared" si="66"/>
        <v>13.127717237054123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6</v>
      </c>
      <c r="CT80" s="12">
        <f>IF('Données projet'!$A$140&gt;35,CT79+CS80-DB79,IF(A80&lt;'Données projet'!$A$140,$CQ$205^A80,IF(A80='Données projet'!$A$140,'Données projet'!$B$140,CT79+CS80-DB79)))</f>
        <v>424</v>
      </c>
      <c r="CU80" s="17">
        <f>CT80*VLOOKUP('Données projet'!$B$13,Paramètres!$A$1:$I$89,3,0)*VLOOKUP('Données projet'!$B$13,Paramètres!$A$1:$I$89,5,0)</f>
        <v>264.57599999999996</v>
      </c>
      <c r="CV80" s="13">
        <f t="shared" si="95"/>
        <v>63.696803579002321</v>
      </c>
      <c r="CW80" s="20">
        <f t="shared" si="67"/>
        <v>571.74179956676232</v>
      </c>
      <c r="CX80" s="59">
        <f t="shared" si="68"/>
        <v>865.0751329000957</v>
      </c>
      <c r="CY80" s="59">
        <f ca="1">AVERAGE(OFFSET($CX$3,0,0,'Données projet'!$E$13+1,1))-AVERAGE(OFFSET($H$3,0,0,'Données projet'!$E$13+1,1))</f>
        <v>285.77483300338548</v>
      </c>
      <c r="CZ80" s="59">
        <f t="shared" si="96"/>
        <v>320.55212417690637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3.2895250530657898</v>
      </c>
      <c r="DG80" s="21">
        <f>EXP(-LN(2)/25)*DG79+(1-EXP(-LN(2)/25))/(LN(2)/25)*Calculateur!DB80*Calculateur!DD80*VLOOKUP('Données projet'!$B$13,Paramètres!$A$1:$I$89,3,0)*0.475*44/12</f>
        <v>7.5717892135733758</v>
      </c>
      <c r="DH80" s="21">
        <f>EXP(-LN(2)/2)*DH79+(1-EXP(-LN(2)/2))/(LN(2)/2)*DB80*DE80*VLOOKUP('Données projet'!$B$13,Paramètres!$A$1:$I$89,3,0)*0.475*44/12</f>
        <v>2.0568666126655902E-6</v>
      </c>
      <c r="DI80" s="22">
        <f t="shared" si="69"/>
        <v>10.861316323505779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</v>
      </c>
      <c r="N81" s="13">
        <f>IF('Données projet'!$A$36&gt;35,N80+M81-V80,IF(A81&lt;'Données projet'!$A$36,$K$205^A81,IF(A81='Données projet'!$A$36,'Données projet'!$B$36,N80+M81-V80)))</f>
        <v>630.19999999999948</v>
      </c>
      <c r="O81" s="13">
        <f>N81*VLOOKUP('Données projet'!$B$9,Paramètres!$A$1:$I$89,3,0)*VLOOKUP('Données projet'!$B$9,Paramètres!$A$1:$I$89,5,0)</f>
        <v>352.28179999999969</v>
      </c>
      <c r="P81" s="13">
        <f t="shared" si="87"/>
        <v>82.032179712608126</v>
      </c>
      <c r="Q81" s="20">
        <f t="shared" si="54"/>
        <v>756.4301813327919</v>
      </c>
      <c r="R81" s="59">
        <f t="shared" si="55"/>
        <v>1049.7635146661253</v>
      </c>
      <c r="S81" s="59">
        <f ca="1">AVERAGE(OFFSET($R$3,0,0,'Données projet'!$E$9+1,1))-AVERAGE(OFFSET($H$3,0,0,'Données projet'!$E$9+1,1))</f>
        <v>356.67698551373468</v>
      </c>
      <c r="T81" s="59">
        <f t="shared" si="88"/>
        <v>353.21836615408171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1.765548855112975</v>
      </c>
      <c r="AA81" s="21">
        <f>EXP(-LN(2)/25)*AA80+(1-EXP(-LN(2)/25))/(LN(2)/25)*Calculateur!V81*Calculateur!X81*VLOOKUP('Données projet'!$B$9,Paramètres!$A$1:$I$89,3,0)*0.475*44/12</f>
        <v>7.9733376641918792</v>
      </c>
      <c r="AB81" s="21">
        <f>EXP(-LN(2)/2)*AB80+(1-EXP(-LN(2)/2))/(LN(2)/2)*V81*Y81*VLOOKUP('Données projet'!$B$9,Paramètres!$A$1:$I$89,3,0)*0.475*44/12</f>
        <v>1.9384675246736551E-6</v>
      </c>
      <c r="AC81" s="22">
        <f t="shared" si="57"/>
        <v>9.7388884577723793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5.0999999999999996</v>
      </c>
      <c r="AI81" s="13">
        <f>IF('Données projet'!$A$62&gt;35,AI80+AH81-AQ80,IF(A81&lt;'Données projet'!$A$62,$AF$205^A81,IF(A81='Données projet'!$A$62,'Données projet'!$B$62,AI80+AH81-AQ80)))</f>
        <v>376.80000000000058</v>
      </c>
      <c r="AJ81" s="13">
        <f>AI81*VLOOKUP('Données projet'!$B$10,Paramètres!$A$1:$I$89,3,0)*VLOOKUP('Données projet'!$B$10,Paramètres!$A$1:$I$89,5,0)</f>
        <v>235.12320000000034</v>
      </c>
      <c r="AK81" s="13">
        <f t="shared" si="89"/>
        <v>57.389012831278578</v>
      </c>
      <c r="AL81" s="20">
        <f t="shared" si="58"/>
        <v>509.45877068114413</v>
      </c>
      <c r="AM81" s="59">
        <f t="shared" si="59"/>
        <v>802.79210401447745</v>
      </c>
      <c r="AN81" s="59">
        <f ca="1">AVERAGE(OFFSET($AM$3,0,0,'Données projet'!$E$10+1,1))-AVERAGE(OFFSET($H$3,0,0,'Données projet'!$E$10+1,1))</f>
        <v>240.30073883588199</v>
      </c>
      <c r="AO81" s="59">
        <f t="shared" si="90"/>
        <v>263.20351282678843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2.6875162276561109</v>
      </c>
      <c r="AV81" s="21">
        <f>EXP(-LN(2)/25)*AV80+(1-EXP(-LN(2)/25))/(LN(2)/25)*Calculateur!AQ81*Calculateur!AS81*VLOOKUP('Données projet'!$B$10,Paramètres!$A$1:$I$89,3,0)*0.475*44/12</f>
        <v>5.4932985663690816</v>
      </c>
      <c r="AW81" s="21">
        <f>EXP(-LN(2)/2)*AW80+(1-EXP(-LN(2)/2))/(LN(2)/2)*AQ81*AT81*VLOOKUP('Données projet'!$B$10,Paramètres!$A$1:$I$89,3,0)*0.475*44/12</f>
        <v>1.2034663858243885E-6</v>
      </c>
      <c r="AX81" s="21">
        <f t="shared" si="60"/>
        <v>8.1808159974915782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252.98248842635206</v>
      </c>
      <c r="BJ81" s="59">
        <f t="shared" si="92"/>
        <v>207.11938580878308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11.7</v>
      </c>
      <c r="BY81" s="12">
        <f>IF('Données projet'!$A$114&gt;35,BY80+BX81-CG80,IF(A81&lt;'Données projet'!$A$114,$BV$205^A81,IF(A81='Données projet'!$A$114,'Données projet'!$B$114,BY80+BX81-CG80)))</f>
        <v>695.60000000000036</v>
      </c>
      <c r="BZ81" s="13">
        <f>BY81*VLOOKUP('Données projet'!$B$12,Paramètres!$A$1:$I$89,3,0)*VLOOKUP('Données projet'!$B$12,Paramètres!$A$1:$I$89,5,0)</f>
        <v>388.84040000000022</v>
      </c>
      <c r="CA81" s="13">
        <f t="shared" si="93"/>
        <v>89.510515300512282</v>
      </c>
      <c r="CB81" s="20">
        <f t="shared" si="64"/>
        <v>833.12784414839268</v>
      </c>
      <c r="CC81" s="59">
        <f t="shared" si="65"/>
        <v>1126.4611774817261</v>
      </c>
      <c r="CD81" s="59">
        <f ca="1">AVERAGE(OFFSET($CC$3,0,0,'Données projet'!$E$12+1,1))-AVERAGE(OFFSET($H$3,0,0,'Données projet'!$E$12+1,1))</f>
        <v>401.06118089678654</v>
      </c>
      <c r="CE81" s="59">
        <f t="shared" si="94"/>
        <v>399.58193819355591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3.9724849240041902</v>
      </c>
      <c r="CL81" s="21">
        <f>EXP(-LN(2)/25)*CL80+(1-EXP(-LN(2)/25))/(LN(2)/25)*Calculateur!CG81*Calculateur!CI81*VLOOKUP('Données projet'!$B$12,Paramètres!$A$1:$I$89,3,0)*0.475*44/12</f>
        <v>8.8275959596559801</v>
      </c>
      <c r="CM81" s="21">
        <f>EXP(-LN(2)/2)*CM80+(1-EXP(-LN(2)/2))/(LN(2)/2)*CG81*CJ81*VLOOKUP('Données projet'!$B$12,Paramètres!$A$1:$I$89,3,0)*0.475*44/12</f>
        <v>1.9508459890713154E-6</v>
      </c>
      <c r="CN81" s="22">
        <f t="shared" si="66"/>
        <v>12.80008283450616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6</v>
      </c>
      <c r="CT81" s="12">
        <f>IF('Données projet'!$A$140&gt;35,CT80+CS81-DB80,IF(A81&lt;'Données projet'!$A$140,$CQ$205^A81,IF(A81='Données projet'!$A$140,'Données projet'!$B$140,CT80+CS81-DB80)))</f>
        <v>430</v>
      </c>
      <c r="CU81" s="17">
        <f>CT81*VLOOKUP('Données projet'!$B$13,Paramètres!$A$1:$I$89,3,0)*VLOOKUP('Données projet'!$B$13,Paramètres!$A$1:$I$89,5,0)</f>
        <v>268.32</v>
      </c>
      <c r="CV81" s="13">
        <f t="shared" si="95"/>
        <v>64.492601473092478</v>
      </c>
      <c r="CW81" s="20">
        <f t="shared" si="67"/>
        <v>579.64861423230275</v>
      </c>
      <c r="CX81" s="59">
        <f t="shared" si="68"/>
        <v>872.98194756563612</v>
      </c>
      <c r="CY81" s="59">
        <f ca="1">AVERAGE(OFFSET($CX$3,0,0,'Données projet'!$E$13+1,1))-AVERAGE(OFFSET($H$3,0,0,'Données projet'!$E$13+1,1))</f>
        <v>285.77483300338548</v>
      </c>
      <c r="CZ81" s="59">
        <f t="shared" si="96"/>
        <v>320.55212417690637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3.2250194731873352</v>
      </c>
      <c r="DG81" s="21">
        <f>EXP(-LN(2)/25)*DG80+(1-EXP(-LN(2)/25))/(LN(2)/25)*Calculateur!DB81*Calculateur!DD81*VLOOKUP('Données projet'!$B$13,Paramètres!$A$1:$I$89,3,0)*0.475*44/12</f>
        <v>7.3647382393451224</v>
      </c>
      <c r="DH81" s="21">
        <f>EXP(-LN(2)/2)*DH80+(1-EXP(-LN(2)/2))/(LN(2)/2)*DB81*DE81*VLOOKUP('Données projet'!$B$13,Paramètres!$A$1:$I$89,3,0)*0.475*44/12</f>
        <v>1.4544243298120427E-6</v>
      </c>
      <c r="DI81" s="22">
        <f t="shared" si="69"/>
        <v>10.589759166956787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</v>
      </c>
      <c r="N82" s="13">
        <f>IF('Données projet'!$A$36&gt;35,N81+M82-V81,IF(A82&lt;'Données projet'!$A$36,$K$205^A82,IF(A82='Données projet'!$A$36,'Données projet'!$B$36,N81+M82-V81)))</f>
        <v>640.59999999999945</v>
      </c>
      <c r="O82" s="13">
        <f>N82*VLOOKUP('Données projet'!$B$9,Paramètres!$A$1:$I$89,3,0)*VLOOKUP('Données projet'!$B$9,Paramètres!$A$1:$I$89,5,0)</f>
        <v>358.0953999999997</v>
      </c>
      <c r="P82" s="13">
        <f t="shared" si="87"/>
        <v>83.227213321573814</v>
      </c>
      <c r="Q82" s="20">
        <f t="shared" si="54"/>
        <v>768.63688486840704</v>
      </c>
      <c r="R82" s="59">
        <f t="shared" si="55"/>
        <v>1061.9702182017404</v>
      </c>
      <c r="S82" s="59">
        <f ca="1">AVERAGE(OFFSET($R$3,0,0,'Données projet'!$E$9+1,1))-AVERAGE(OFFSET($H$3,0,0,'Données projet'!$E$9+1,1))</f>
        <v>356.67698551373468</v>
      </c>
      <c r="T82" s="59">
        <f t="shared" si="88"/>
        <v>353.21836615408171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1.7309275189426783</v>
      </c>
      <c r="AA82" s="21">
        <f>EXP(-LN(2)/25)*AA81+(1-EXP(-LN(2)/25))/(LN(2)/25)*Calculateur!V82*Calculateur!X82*VLOOKUP('Données projet'!$B$9,Paramètres!$A$1:$I$89,3,0)*0.475*44/12</f>
        <v>7.7553063264649476</v>
      </c>
      <c r="AB82" s="21">
        <f>EXP(-LN(2)/2)*AB81+(1-EXP(-LN(2)/2))/(LN(2)/2)*V82*Y82*VLOOKUP('Données projet'!$B$9,Paramètres!$A$1:$I$89,3,0)*0.475*44/12</f>
        <v>1.3707035318066427E-6</v>
      </c>
      <c r="AC82" s="22">
        <f t="shared" si="57"/>
        <v>9.4862352161111563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5.0999999999999996</v>
      </c>
      <c r="AI82" s="13">
        <f>IF('Données projet'!$A$62&gt;35,AI81+AH82-AQ81,IF(A82&lt;'Données projet'!$A$62,$AF$205^A82,IF(A82='Données projet'!$A$62,'Données projet'!$B$62,AI81+AH82-AQ81)))</f>
        <v>381.9000000000006</v>
      </c>
      <c r="AJ82" s="13">
        <f>AI82*VLOOKUP('Données projet'!$B$10,Paramètres!$A$1:$I$89,3,0)*VLOOKUP('Données projet'!$B$10,Paramètres!$A$1:$I$89,5,0)</f>
        <v>238.3056000000004</v>
      </c>
      <c r="AK82" s="13">
        <f t="shared" si="89"/>
        <v>58.074821878967199</v>
      </c>
      <c r="AL82" s="20">
        <f t="shared" si="58"/>
        <v>516.19590143920186</v>
      </c>
      <c r="AM82" s="59">
        <f t="shared" si="59"/>
        <v>809.52923477253512</v>
      </c>
      <c r="AN82" s="59">
        <f ca="1">AVERAGE(OFFSET($AM$3,0,0,'Données projet'!$E$10+1,1))-AVERAGE(OFFSET($H$3,0,0,'Données projet'!$E$10+1,1))</f>
        <v>240.30073883588199</v>
      </c>
      <c r="AO82" s="59">
        <f t="shared" si="90"/>
        <v>263.20351282678843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2.6348156736548134</v>
      </c>
      <c r="AV82" s="21">
        <f>EXP(-LN(2)/25)*AV81+(1-EXP(-LN(2)/25))/(LN(2)/25)*Calculateur!AQ82*Calculateur!AS82*VLOOKUP('Données projet'!$B$10,Paramètres!$A$1:$I$89,3,0)*0.475*44/12</f>
        <v>5.3430840281917025</v>
      </c>
      <c r="AW82" s="21">
        <f>EXP(-LN(2)/2)*AW81+(1-EXP(-LN(2)/2))/(LN(2)/2)*AQ82*AT82*VLOOKUP('Données projet'!$B$10,Paramètres!$A$1:$I$89,3,0)*0.475*44/12</f>
        <v>8.5097924234649107E-7</v>
      </c>
      <c r="AX82" s="21">
        <f t="shared" si="60"/>
        <v>7.9779005528257585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252.98248842635206</v>
      </c>
      <c r="BJ82" s="59">
        <f t="shared" si="92"/>
        <v>207.11938580878308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11.7</v>
      </c>
      <c r="BY82" s="12">
        <f>IF('Données projet'!$A$114&gt;35,BY81+BX82-CG81,IF(A82&lt;'Données projet'!$A$114,$BV$205^A82,IF(A82='Données projet'!$A$114,'Données projet'!$B$114,BY81+BX82-CG81)))</f>
        <v>707.30000000000041</v>
      </c>
      <c r="BZ82" s="13">
        <f>BY82*VLOOKUP('Données projet'!$B$12,Paramètres!$A$1:$I$89,3,0)*VLOOKUP('Données projet'!$B$12,Paramètres!$A$1:$I$89,5,0)</f>
        <v>395.38070000000027</v>
      </c>
      <c r="CA82" s="13">
        <f t="shared" si="93"/>
        <v>90.839540890834357</v>
      </c>
      <c r="CB82" s="20">
        <f t="shared" si="64"/>
        <v>846.83358621820355</v>
      </c>
      <c r="CC82" s="59">
        <f t="shared" si="65"/>
        <v>1140.1669195515369</v>
      </c>
      <c r="CD82" s="59">
        <f ca="1">AVERAGE(OFFSET($CC$3,0,0,'Données projet'!$E$12+1,1))-AVERAGE(OFFSET($H$3,0,0,'Données projet'!$E$12+1,1))</f>
        <v>401.06118089678654</v>
      </c>
      <c r="CE82" s="59">
        <f t="shared" si="94"/>
        <v>399.58193819355591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3.8945869176210226</v>
      </c>
      <c r="CL82" s="21">
        <f>EXP(-LN(2)/25)*CL81+(1-EXP(-LN(2)/25))/(LN(2)/25)*Calculateur!CG82*Calculateur!CI82*VLOOKUP('Données projet'!$B$12,Paramètres!$A$1:$I$89,3,0)*0.475*44/12</f>
        <v>8.5862048839160909</v>
      </c>
      <c r="CM82" s="21">
        <f>EXP(-LN(2)/2)*CM81+(1-EXP(-LN(2)/2))/(LN(2)/2)*CG82*CJ82*VLOOKUP('Données projet'!$B$12,Paramètres!$A$1:$I$89,3,0)*0.475*44/12</f>
        <v>1.3794564279229045E-6</v>
      </c>
      <c r="CN82" s="22">
        <f t="shared" si="66"/>
        <v>12.480793180993542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6</v>
      </c>
      <c r="CT82" s="12">
        <f>IF('Données projet'!$A$140&gt;35,CT81+CS82-DB81,IF(A82&lt;'Données projet'!$A$140,$CQ$205^A82,IF(A82='Données projet'!$A$140,'Données projet'!$B$140,CT81+CS82-DB81)))</f>
        <v>436</v>
      </c>
      <c r="CU82" s="17">
        <f>CT82*VLOOKUP('Données projet'!$B$13,Paramètres!$A$1:$I$89,3,0)*VLOOKUP('Données projet'!$B$13,Paramètres!$A$1:$I$89,5,0)</f>
        <v>272.06400000000002</v>
      </c>
      <c r="CV82" s="13">
        <f t="shared" si="95"/>
        <v>65.28710784811372</v>
      </c>
      <c r="CW82" s="20">
        <f t="shared" si="67"/>
        <v>587.55317950213146</v>
      </c>
      <c r="CX82" s="59">
        <f t="shared" si="68"/>
        <v>880.88651283546483</v>
      </c>
      <c r="CY82" s="59">
        <f ca="1">AVERAGE(OFFSET($CX$3,0,0,'Données projet'!$E$13+1,1))-AVERAGE(OFFSET($H$3,0,0,'Données projet'!$E$13+1,1))</f>
        <v>285.77483300338548</v>
      </c>
      <c r="CZ82" s="59">
        <f t="shared" si="96"/>
        <v>320.55212417690637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3.1617788083857783</v>
      </c>
      <c r="DG82" s="21">
        <f>EXP(-LN(2)/25)*DG81+(1-EXP(-LN(2)/25))/(LN(2)/25)*Calculateur!DB82*Calculateur!DD82*VLOOKUP('Données projet'!$B$13,Paramètres!$A$1:$I$89,3,0)*0.475*44/12</f>
        <v>7.1633490848954784</v>
      </c>
      <c r="DH82" s="21">
        <f>EXP(-LN(2)/2)*DH81+(1-EXP(-LN(2)/2))/(LN(2)/2)*DB82*DE82*VLOOKUP('Données projet'!$B$13,Paramètres!$A$1:$I$89,3,0)*0.475*44/12</f>
        <v>1.0284333063327951E-6</v>
      </c>
      <c r="DI82" s="22">
        <f t="shared" si="69"/>
        <v>10.325128921714564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651</v>
      </c>
      <c r="L83" s="12">
        <f>VLOOKUP(A83,'Données projet'!$A$35:$I$55,9,0)</f>
        <v>10.4</v>
      </c>
      <c r="M83" s="12">
        <f t="array" ref="M83">INDEX(L:L,MIN(IF(ISNUMBER(L83:L279),ROW(L83:L279),"")))</f>
        <v>10.4</v>
      </c>
      <c r="N83" s="13">
        <f>IF('Données projet'!$A$36&gt;35,N82+M83-V82,IF(A83&lt;'Données projet'!$A$36,$K$205^A83,IF(A83='Données projet'!$A$36,'Données projet'!$B$36,N82+M83-V82)))</f>
        <v>650.99999999999943</v>
      </c>
      <c r="O83" s="13">
        <f>N83*VLOOKUP('Données projet'!$B$9,Paramètres!$A$1:$I$89,3,0)*VLOOKUP('Données projet'!$B$9,Paramètres!$A$1:$I$89,5,0)</f>
        <v>363.90899999999971</v>
      </c>
      <c r="P83" s="13">
        <f t="shared" si="87"/>
        <v>84.4199906692578</v>
      </c>
      <c r="Q83" s="20">
        <f t="shared" si="54"/>
        <v>780.83965874895682</v>
      </c>
      <c r="R83" s="59">
        <f t="shared" si="55"/>
        <v>1074.1729920822902</v>
      </c>
      <c r="S83" s="59">
        <f ca="1">AVERAGE(OFFSET($R$3,0,0,'Données projet'!$E$9+1,1))-AVERAGE(OFFSET($H$3,0,0,'Données projet'!$E$9+1,1))</f>
        <v>356.67698551373468</v>
      </c>
      <c r="T83" s="59">
        <f t="shared" si="88"/>
        <v>353.21836615408171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651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1.6969850860577511</v>
      </c>
      <c r="AA83" s="21">
        <f>EXP(-LN(2)/25)*AA82+(1-EXP(-LN(2)/25))/(LN(2)/25)*Calculateur!V83*Calculateur!X83*VLOOKUP('Données projet'!$B$9,Paramètres!$A$1:$I$89,3,0)*0.475*44/12</f>
        <v>7.5432370671339291</v>
      </c>
      <c r="AB83" s="21">
        <f>EXP(-LN(2)/2)*AB82+(1-EXP(-LN(2)/2))/(LN(2)/2)*V83*Y83*VLOOKUP('Données projet'!$B$9,Paramètres!$A$1:$I$89,3,0)*0.475*44/12</f>
        <v>9.6923376233682757E-7</v>
      </c>
      <c r="AC83" s="22">
        <f t="shared" si="57"/>
        <v>9.2402231224254425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387</v>
      </c>
      <c r="AG83" s="12">
        <f>VLOOKUP(A83,'Données projet'!$A$61:$I$81,9,0)</f>
        <v>5.0999999999999996</v>
      </c>
      <c r="AH83" s="12">
        <f t="array" ref="AH83">INDEX(AG:AG,MIN(IF(ISNUMBER(AG83:AG279),ROW(AG83:AG279),"")))</f>
        <v>5.0999999999999996</v>
      </c>
      <c r="AI83" s="13">
        <f>IF('Données projet'!$A$62&gt;35,AI82+AH83-AQ82,IF(A83&lt;'Données projet'!$A$62,$AF$205^A83,IF(A83='Données projet'!$A$62,'Données projet'!$B$62,AI82+AH83-AQ82)))</f>
        <v>387.00000000000063</v>
      </c>
      <c r="AJ83" s="13">
        <f>AI83*VLOOKUP('Données projet'!$B$10,Paramètres!$A$1:$I$89,3,0)*VLOOKUP('Données projet'!$B$10,Paramètres!$A$1:$I$89,5,0)</f>
        <v>241.4880000000004</v>
      </c>
      <c r="AK83" s="13">
        <f t="shared" si="89"/>
        <v>58.759565673425016</v>
      </c>
      <c r="AL83" s="20">
        <f t="shared" si="58"/>
        <v>522.93117688121595</v>
      </c>
      <c r="AM83" s="59">
        <f t="shared" si="59"/>
        <v>816.26451021454932</v>
      </c>
      <c r="AN83" s="59">
        <f ca="1">AVERAGE(OFFSET($AM$3,0,0,'Données projet'!$E$10+1,1))-AVERAGE(OFFSET($H$3,0,0,'Données projet'!$E$10+1,1))</f>
        <v>240.30073883588199</v>
      </c>
      <c r="AO83" s="59">
        <f t="shared" si="90"/>
        <v>263.20351282678843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2.5831485453733176</v>
      </c>
      <c r="AV83" s="21">
        <f>EXP(-LN(2)/25)*AV82+(1-EXP(-LN(2)/25))/(LN(2)/25)*Calculateur!AQ83*Calculateur!AS83*VLOOKUP('Données projet'!$B$10,Paramètres!$A$1:$I$89,3,0)*0.475*44/12</f>
        <v>5.196977114460223</v>
      </c>
      <c r="AW83" s="21">
        <f>EXP(-LN(2)/2)*AW82+(1-EXP(-LN(2)/2))/(LN(2)/2)*AQ83*AT83*VLOOKUP('Données projet'!$B$10,Paramètres!$A$1:$I$89,3,0)*0.475*44/12</f>
        <v>6.0173319291219425E-7</v>
      </c>
      <c r="AX83" s="21">
        <f t="shared" si="60"/>
        <v>7.7801262615667337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252.98248842635206</v>
      </c>
      <c r="BJ83" s="59">
        <f t="shared" si="92"/>
        <v>207.11938580878308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719</v>
      </c>
      <c r="BW83" s="12">
        <f>VLOOKUP(A83,'Données projet'!$A$113:$I$133,9,0)</f>
        <v>11.7</v>
      </c>
      <c r="BX83" s="12">
        <f t="array" ref="BX83">INDEX(BW:BW,MIN(IF(ISNUMBER(BW83:BW279),ROW(BW83:BW279),"")))</f>
        <v>11.7</v>
      </c>
      <c r="BY83" s="12">
        <f>IF('Données projet'!$A$114&gt;35,BY82+BX83-CG82,IF(A83&lt;'Données projet'!$A$114,$BV$205^A83,IF(A83='Données projet'!$A$114,'Données projet'!$B$114,BY82+BX83-CG82)))</f>
        <v>719.00000000000045</v>
      </c>
      <c r="BZ83" s="13">
        <f>BY83*VLOOKUP('Données projet'!$B$12,Paramètres!$A$1:$I$89,3,0)*VLOOKUP('Données projet'!$B$12,Paramètres!$A$1:$I$89,5,0)</f>
        <v>401.92100000000028</v>
      </c>
      <c r="CA83" s="13">
        <f t="shared" si="93"/>
        <v>92.166009830286299</v>
      </c>
      <c r="CB83" s="20">
        <f t="shared" si="64"/>
        <v>860.53487545441567</v>
      </c>
      <c r="CC83" s="59">
        <f t="shared" si="65"/>
        <v>1153.8682087877489</v>
      </c>
      <c r="CD83" s="59">
        <f ca="1">AVERAGE(OFFSET($CC$3,0,0,'Données projet'!$E$12+1,1))-AVERAGE(OFFSET($H$3,0,0,'Données projet'!$E$12+1,1))</f>
        <v>401.06118089678654</v>
      </c>
      <c r="CE83" s="59">
        <f t="shared" si="94"/>
        <v>399.58193819355591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719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3.8182164436299364</v>
      </c>
      <c r="CL83" s="21">
        <f>EXP(-LN(2)/25)*CL82+(1-EXP(-LN(2)/25))/(LN(2)/25)*Calculateur!CG83*Calculateur!CI83*VLOOKUP('Données projet'!$B$12,Paramètres!$A$1:$I$89,3,0)*0.475*44/12</f>
        <v>8.3514146598365144</v>
      </c>
      <c r="CM83" s="21">
        <f>EXP(-LN(2)/2)*CM82+(1-EXP(-LN(2)/2))/(LN(2)/2)*CG83*CJ83*VLOOKUP('Données projet'!$B$12,Paramètres!$A$1:$I$89,3,0)*0.475*44/12</f>
        <v>9.754229945356577E-7</v>
      </c>
      <c r="CN83" s="22">
        <f t="shared" si="66"/>
        <v>12.169632078889444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442</v>
      </c>
      <c r="CR83" s="12">
        <f>VLOOKUP(A83,'Données projet'!$A$139:$I$159,9,0)</f>
        <v>6</v>
      </c>
      <c r="CS83" s="12">
        <f t="array" ref="CS83">INDEX(CR:CR,MIN(IF(ISNUMBER(CR83:CR279),ROW(CR83:CR279),"")))</f>
        <v>6</v>
      </c>
      <c r="CT83" s="12">
        <f>IF('Données projet'!$A$140&gt;35,CT82+CS83-DB82,IF(A83&lt;'Données projet'!$A$140,$CQ$205^A83,IF(A83='Données projet'!$A$140,'Données projet'!$B$140,CT82+CS83-DB82)))</f>
        <v>442</v>
      </c>
      <c r="CU83" s="17">
        <f>CT83*VLOOKUP('Données projet'!$B$13,Paramètres!$A$1:$I$89,3,0)*VLOOKUP('Données projet'!$B$13,Paramètres!$A$1:$I$89,5,0)</f>
        <v>275.80799999999999</v>
      </c>
      <c r="CV83" s="13">
        <f t="shared" si="95"/>
        <v>66.08034253144065</v>
      </c>
      <c r="CW83" s="20">
        <f t="shared" si="67"/>
        <v>595.45552990892566</v>
      </c>
      <c r="CX83" s="59">
        <f t="shared" si="68"/>
        <v>888.78886324225891</v>
      </c>
      <c r="CY83" s="59">
        <f ca="1">AVERAGE(OFFSET($CX$3,0,0,'Données projet'!$E$13+1,1))-AVERAGE(OFFSET($H$3,0,0,'Données projet'!$E$13+1,1))</f>
        <v>285.77483300338548</v>
      </c>
      <c r="CZ83" s="59">
        <f t="shared" si="96"/>
        <v>320.55212417690637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3.0997782544479833</v>
      </c>
      <c r="DG83" s="21">
        <f>EXP(-LN(2)/25)*DG82+(1-EXP(-LN(2)/25))/(LN(2)/25)*Calculateur!DB83*Calculateur!DD83*VLOOKUP('Données projet'!$B$13,Paramètres!$A$1:$I$89,3,0)*0.475*44/12</f>
        <v>6.9674669274648551</v>
      </c>
      <c r="DH83" s="21">
        <f>EXP(-LN(2)/2)*DH82+(1-EXP(-LN(2)/2))/(LN(2)/2)*DB83*DE83*VLOOKUP('Données projet'!$B$13,Paramètres!$A$1:$I$89,3,0)*0.475*44/12</f>
        <v>7.2721216490602135E-7</v>
      </c>
      <c r="DI83" s="22">
        <f t="shared" si="69"/>
        <v>10.067245909125003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-5.6843418860808015E-13</v>
      </c>
      <c r="O84" s="13">
        <f>N84*VLOOKUP('Données projet'!$B$9,Paramètres!$A$1:$I$89,3,0)*VLOOKUP('Données projet'!$B$9,Paramètres!$A$1:$I$89,5,0)</f>
        <v>-3.177547114319168E-13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356.67698551373468</v>
      </c>
      <c r="T84" s="59">
        <f t="shared" si="88"/>
        <v>353.21836615408171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1.6637082435788575</v>
      </c>
      <c r="AA84" s="21">
        <f>EXP(-LN(2)/25)*AA83+(1-EXP(-LN(2)/25))/(LN(2)/25)*Calculateur!V84*Calculateur!X84*VLOOKUP('Données projet'!$B$9,Paramètres!$A$1:$I$89,3,0)*0.475*44/12</f>
        <v>7.336966852851555</v>
      </c>
      <c r="AB84" s="21">
        <f>EXP(-LN(2)/2)*AB83+(1-EXP(-LN(2)/2))/(LN(2)/2)*V84*Y84*VLOOKUP('Données projet'!$B$9,Paramètres!$A$1:$I$89,3,0)*0.475*44/12</f>
        <v>6.8535176590332133E-7</v>
      </c>
      <c r="AC84" s="22">
        <f t="shared" si="57"/>
        <v>9.0006757817821796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6.2527760746888816E-13</v>
      </c>
      <c r="AJ84" s="13">
        <f>AI84*VLOOKUP('Données projet'!$B$10,Paramètres!$A$1:$I$89,3,0)*VLOOKUP('Données projet'!$B$10,Paramètres!$A$1:$I$89,5,0)</f>
        <v>3.9017322706058616E-13</v>
      </c>
      <c r="AK84" s="13">
        <f t="shared" si="89"/>
        <v>5.0025007393608908E-12</v>
      </c>
      <c r="AL84" s="20">
        <f t="shared" si="58"/>
        <v>9.3922404915174053E-12</v>
      </c>
      <c r="AM84" s="59">
        <f t="shared" si="59"/>
        <v>293.33333333334269</v>
      </c>
      <c r="AN84" s="59">
        <f ca="1">AVERAGE(OFFSET($AM$3,0,0,'Données projet'!$E$10+1,1))-AVERAGE(OFFSET($H$3,0,0,'Données projet'!$E$10+1,1))</f>
        <v>240.30073883588199</v>
      </c>
      <c r="AO84" s="59">
        <f t="shared" si="90"/>
        <v>263.20351282678843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2.5324945779635852</v>
      </c>
      <c r="AV84" s="21">
        <f>EXP(-LN(2)/25)*AV83+(1-EXP(-LN(2)/25))/(LN(2)/25)*Calculateur!AQ84*Calculateur!AS84*VLOOKUP('Données projet'!$B$10,Paramètres!$A$1:$I$89,3,0)*0.475*44/12</f>
        <v>5.0548655019681599</v>
      </c>
      <c r="AW84" s="21">
        <f>EXP(-LN(2)/2)*AW83+(1-EXP(-LN(2)/2))/(LN(2)/2)*AQ84*AT84*VLOOKUP('Données projet'!$B$10,Paramètres!$A$1:$I$89,3,0)*0.475*44/12</f>
        <v>4.2548962117324554E-7</v>
      </c>
      <c r="AX84" s="21">
        <f t="shared" si="60"/>
        <v>7.5873605054213664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252.98248842635206</v>
      </c>
      <c r="BJ84" s="59">
        <f t="shared" si="92"/>
        <v>207.11938580878308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4.5474735088646412E-13</v>
      </c>
      <c r="BZ84" s="13">
        <f>BY84*VLOOKUP('Données projet'!$B$12,Paramètres!$A$1:$I$89,3,0)*VLOOKUP('Données projet'!$B$12,Paramètres!$A$1:$I$89,5,0)</f>
        <v>2.5420376914553347E-13</v>
      </c>
      <c r="CA84" s="13">
        <f t="shared" si="93"/>
        <v>3.4258699088369875E-12</v>
      </c>
      <c r="CB84" s="20">
        <f t="shared" si="64"/>
        <v>6.4094616558195571E-12</v>
      </c>
      <c r="CC84" s="59">
        <f t="shared" si="65"/>
        <v>293.33333333333974</v>
      </c>
      <c r="CD84" s="59">
        <f ca="1">AVERAGE(OFFSET($CC$3,0,0,'Données projet'!$E$12+1,1))-AVERAGE(OFFSET($H$3,0,0,'Données projet'!$E$12+1,1))</f>
        <v>401.06118089678654</v>
      </c>
      <c r="CE84" s="59">
        <f t="shared" si="94"/>
        <v>399.58193819355591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3.743343548052426</v>
      </c>
      <c r="CL84" s="21">
        <f>EXP(-LN(2)/25)*CL83+(1-EXP(-LN(2)/25))/(LN(2)/25)*Calculateur!CG84*Calculateur!CI84*VLOOKUP('Données projet'!$B$12,Paramètres!$A$1:$I$89,3,0)*0.475*44/12</f>
        <v>8.1230447867814757</v>
      </c>
      <c r="CM84" s="21">
        <f>EXP(-LN(2)/2)*CM83+(1-EXP(-LN(2)/2))/(LN(2)/2)*CG84*CJ84*VLOOKUP('Données projet'!$B$12,Paramètres!$A$1:$I$89,3,0)*0.475*44/12</f>
        <v>6.8972821396145227E-7</v>
      </c>
      <c r="CN84" s="22">
        <f t="shared" si="66"/>
        <v>11.866389024562116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285.77483300338548</v>
      </c>
      <c r="CZ84" s="59">
        <f t="shared" si="96"/>
        <v>320.55212417690637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3.0389934935563048</v>
      </c>
      <c r="DG84" s="21">
        <f>EXP(-LN(2)/25)*DG83+(1-EXP(-LN(2)/25))/(LN(2)/25)*Calculateur!DB84*Calculateur!DD84*VLOOKUP('Données projet'!$B$13,Paramètres!$A$1:$I$89,3,0)*0.475*44/12</f>
        <v>6.7769411779301674</v>
      </c>
      <c r="DH84" s="21">
        <f>EXP(-LN(2)/2)*DH83+(1-EXP(-LN(2)/2))/(LN(2)/2)*DB84*DE84*VLOOKUP('Données projet'!$B$13,Paramètres!$A$1:$I$89,3,0)*0.475*44/12</f>
        <v>5.1421665316639755E-7</v>
      </c>
      <c r="DI84" s="22">
        <f t="shared" si="69"/>
        <v>9.8159351857031254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-5.6843418860808015E-13</v>
      </c>
      <c r="O85" s="13">
        <f>N85*VLOOKUP('Données projet'!$B$9,Paramètres!$A$1:$I$89,3,0)*VLOOKUP('Données projet'!$B$9,Paramètres!$A$1:$I$89,5,0)</f>
        <v>-3.177547114319168E-13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356.67698551373468</v>
      </c>
      <c r="T85" s="59">
        <f t="shared" si="88"/>
        <v>353.21836615408171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1.6310839396841053</v>
      </c>
      <c r="AA85" s="21">
        <f>EXP(-LN(2)/25)*AA84+(1-EXP(-LN(2)/25))/(LN(2)/25)*Calculateur!V85*Calculateur!X85*VLOOKUP('Données projet'!$B$9,Paramètres!$A$1:$I$89,3,0)*0.475*44/12</f>
        <v>7.1363371084260114</v>
      </c>
      <c r="AB85" s="21">
        <f>EXP(-LN(2)/2)*AB84+(1-EXP(-LN(2)/2))/(LN(2)/2)*V85*Y85*VLOOKUP('Données projet'!$B$9,Paramètres!$A$1:$I$89,3,0)*0.475*44/12</f>
        <v>4.8461688116841378E-7</v>
      </c>
      <c r="AC85" s="22">
        <f t="shared" si="57"/>
        <v>8.7674215327269991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6.2527760746888816E-13</v>
      </c>
      <c r="AJ85" s="13">
        <f>AI85*VLOOKUP('Données projet'!$B$10,Paramètres!$A$1:$I$89,3,0)*VLOOKUP('Données projet'!$B$10,Paramètres!$A$1:$I$89,5,0)</f>
        <v>3.9017322706058616E-13</v>
      </c>
      <c r="AK85" s="13">
        <f t="shared" si="89"/>
        <v>5.0025007393608908E-12</v>
      </c>
      <c r="AL85" s="20">
        <f t="shared" si="58"/>
        <v>9.3922404915174053E-12</v>
      </c>
      <c r="AM85" s="59">
        <f t="shared" si="59"/>
        <v>293.33333333334269</v>
      </c>
      <c r="AN85" s="59">
        <f ca="1">AVERAGE(OFFSET($AM$3,0,0,'Données projet'!$E$10+1,1))-AVERAGE(OFFSET($H$3,0,0,'Données projet'!$E$10+1,1))</f>
        <v>240.30073883588199</v>
      </c>
      <c r="AO85" s="59">
        <f t="shared" si="90"/>
        <v>263.20351282678843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2.4828339039588885</v>
      </c>
      <c r="AV85" s="21">
        <f>EXP(-LN(2)/25)*AV84+(1-EXP(-LN(2)/25))/(LN(2)/25)*Calculateur!AQ85*Calculateur!AS85*VLOOKUP('Données projet'!$B$10,Paramètres!$A$1:$I$89,3,0)*0.475*44/12</f>
        <v>4.9166399389930167</v>
      </c>
      <c r="AW85" s="21">
        <f>EXP(-LN(2)/2)*AW84+(1-EXP(-LN(2)/2))/(LN(2)/2)*AQ85*AT85*VLOOKUP('Données projet'!$B$10,Paramètres!$A$1:$I$89,3,0)*0.475*44/12</f>
        <v>3.0086659645609713E-7</v>
      </c>
      <c r="AX85" s="21">
        <f t="shared" si="60"/>
        <v>7.3994741438185017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252.98248842635206</v>
      </c>
      <c r="BJ85" s="59">
        <f t="shared" si="92"/>
        <v>207.11938580878308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4.5474735088646412E-13</v>
      </c>
      <c r="BZ85" s="13">
        <f>BY85*VLOOKUP('Données projet'!$B$12,Paramètres!$A$1:$I$89,3,0)*VLOOKUP('Données projet'!$B$12,Paramètres!$A$1:$I$89,5,0)</f>
        <v>2.5420376914553347E-13</v>
      </c>
      <c r="CA85" s="13">
        <f t="shared" si="93"/>
        <v>3.4258699088369875E-12</v>
      </c>
      <c r="CB85" s="20">
        <f t="shared" si="64"/>
        <v>6.4094616558195571E-12</v>
      </c>
      <c r="CC85" s="59">
        <f t="shared" si="65"/>
        <v>293.33333333333974</v>
      </c>
      <c r="CD85" s="59">
        <f ca="1">AVERAGE(OFFSET($CC$3,0,0,'Données projet'!$E$12+1,1))-AVERAGE(OFFSET($H$3,0,0,'Données projet'!$E$12+1,1))</f>
        <v>401.06118089678654</v>
      </c>
      <c r="CE85" s="59">
        <f t="shared" si="94"/>
        <v>399.58193819355591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3.6699388642892337</v>
      </c>
      <c r="CL85" s="21">
        <f>EXP(-LN(2)/25)*CL84+(1-EXP(-LN(2)/25))/(LN(2)/25)*Calculateur!CG85*Calculateur!CI85*VLOOKUP('Données projet'!$B$12,Paramètres!$A$1:$I$89,3,0)*0.475*44/12</f>
        <v>7.9009196999145761</v>
      </c>
      <c r="CM85" s="21">
        <f>EXP(-LN(2)/2)*CM84+(1-EXP(-LN(2)/2))/(LN(2)/2)*CG85*CJ85*VLOOKUP('Données projet'!$B$12,Paramètres!$A$1:$I$89,3,0)*0.475*44/12</f>
        <v>4.8771149726782885E-7</v>
      </c>
      <c r="CN85" s="22">
        <f t="shared" si="66"/>
        <v>11.570859051915308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285.77483300338548</v>
      </c>
      <c r="CZ85" s="59">
        <f t="shared" si="96"/>
        <v>320.55212417690637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2.9794006847506687</v>
      </c>
      <c r="DG85" s="21">
        <f>EXP(-LN(2)/25)*DG84+(1-EXP(-LN(2)/25))/(LN(2)/25)*Calculateur!DB85*Calculateur!DD85*VLOOKUP('Données projet'!$B$13,Paramètres!$A$1:$I$89,3,0)*0.475*44/12</f>
        <v>6.591625365035819</v>
      </c>
      <c r="DH85" s="21">
        <f>EXP(-LN(2)/2)*DH84+(1-EXP(-LN(2)/2))/(LN(2)/2)*DB85*DE85*VLOOKUP('Données projet'!$B$13,Paramètres!$A$1:$I$89,3,0)*0.475*44/12</f>
        <v>3.6360608245301068E-7</v>
      </c>
      <c r="DI85" s="22">
        <f t="shared" si="69"/>
        <v>9.5710264133925698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-5.6843418860808015E-13</v>
      </c>
      <c r="O86" s="13">
        <f>N86*VLOOKUP('Données projet'!$B$9,Paramètres!$A$1:$I$89,3,0)*VLOOKUP('Données projet'!$B$9,Paramètres!$A$1:$I$89,5,0)</f>
        <v>-3.177547114319168E-13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356.67698551373468</v>
      </c>
      <c r="T86" s="59">
        <f t="shared" si="88"/>
        <v>353.21836615408171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1.5990993784898686</v>
      </c>
      <c r="AA86" s="21">
        <f>EXP(-LN(2)/25)*AA85+(1-EXP(-LN(2)/25))/(LN(2)/25)*Calculateur!V86*Calculateur!X86*VLOOKUP('Données projet'!$B$9,Paramètres!$A$1:$I$89,3,0)*0.475*44/12</f>
        <v>6.9411935949124439</v>
      </c>
      <c r="AB86" s="21">
        <f>EXP(-LN(2)/2)*AB85+(1-EXP(-LN(2)/2))/(LN(2)/2)*V86*Y86*VLOOKUP('Données projet'!$B$9,Paramètres!$A$1:$I$89,3,0)*0.475*44/12</f>
        <v>3.4267588295166067E-7</v>
      </c>
      <c r="AC86" s="22">
        <f t="shared" si="57"/>
        <v>8.5402933160781949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6.2527760746888816E-13</v>
      </c>
      <c r="AJ86" s="13">
        <f>AI86*VLOOKUP('Données projet'!$B$10,Paramètres!$A$1:$I$89,3,0)*VLOOKUP('Données projet'!$B$10,Paramètres!$A$1:$I$89,5,0)</f>
        <v>3.9017322706058616E-13</v>
      </c>
      <c r="AK86" s="13">
        <f t="shared" si="89"/>
        <v>5.0025007393608908E-12</v>
      </c>
      <c r="AL86" s="20">
        <f t="shared" si="58"/>
        <v>9.3922404915174053E-12</v>
      </c>
      <c r="AM86" s="59">
        <f t="shared" si="59"/>
        <v>293.33333333334269</v>
      </c>
      <c r="AN86" s="59">
        <f ca="1">AVERAGE(OFFSET($AM$3,0,0,'Données projet'!$E$10+1,1))-AVERAGE(OFFSET($H$3,0,0,'Données projet'!$E$10+1,1))</f>
        <v>240.30073883588199</v>
      </c>
      <c r="AO86" s="59">
        <f t="shared" si="90"/>
        <v>263.20351282678843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2.4341470454814034</v>
      </c>
      <c r="AV86" s="21">
        <f>EXP(-LN(2)/25)*AV85+(1-EXP(-LN(2)/25))/(LN(2)/25)*Calculateur!AQ86*Calculateur!AS86*VLOOKUP('Données projet'!$B$10,Paramètres!$A$1:$I$89,3,0)*0.475*44/12</f>
        <v>4.7821941613063954</v>
      </c>
      <c r="AW86" s="21">
        <f>EXP(-LN(2)/2)*AW85+(1-EXP(-LN(2)/2))/(LN(2)/2)*AQ86*AT86*VLOOKUP('Données projet'!$B$10,Paramètres!$A$1:$I$89,3,0)*0.475*44/12</f>
        <v>2.1274481058662277E-7</v>
      </c>
      <c r="AX86" s="21">
        <f t="shared" si="60"/>
        <v>7.2163414195326094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252.98248842635206</v>
      </c>
      <c r="BJ86" s="59">
        <f t="shared" si="92"/>
        <v>207.11938580878308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4.5474735088646412E-13</v>
      </c>
      <c r="BZ86" s="13">
        <f>BY86*VLOOKUP('Données projet'!$B$12,Paramètres!$A$1:$I$89,3,0)*VLOOKUP('Données projet'!$B$12,Paramètres!$A$1:$I$89,5,0)</f>
        <v>2.5420376914553347E-13</v>
      </c>
      <c r="CA86" s="13">
        <f t="shared" si="93"/>
        <v>3.4258699088369875E-12</v>
      </c>
      <c r="CB86" s="20">
        <f t="shared" si="64"/>
        <v>6.4094616558195571E-12</v>
      </c>
      <c r="CC86" s="59">
        <f t="shared" si="65"/>
        <v>293.33333333333974</v>
      </c>
      <c r="CD86" s="59">
        <f ca="1">AVERAGE(OFFSET($CC$3,0,0,'Données projet'!$E$12+1,1))-AVERAGE(OFFSET($H$3,0,0,'Données projet'!$E$12+1,1))</f>
        <v>401.06118089678654</v>
      </c>
      <c r="CE86" s="59">
        <f t="shared" si="94"/>
        <v>399.58193819355591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3.597973601602201</v>
      </c>
      <c r="CL86" s="21">
        <f>EXP(-LN(2)/25)*CL85+(1-EXP(-LN(2)/25))/(LN(2)/25)*Calculateur!CG86*Calculateur!CI86*VLOOKUP('Données projet'!$B$12,Paramètres!$A$1:$I$89,3,0)*0.475*44/12</f>
        <v>7.6848686352291029</v>
      </c>
      <c r="CM86" s="21">
        <f>EXP(-LN(2)/2)*CM85+(1-EXP(-LN(2)/2))/(LN(2)/2)*CG86*CJ86*VLOOKUP('Données projet'!$B$12,Paramètres!$A$1:$I$89,3,0)*0.475*44/12</f>
        <v>3.4486410698072614E-7</v>
      </c>
      <c r="CN86" s="22">
        <f t="shared" si="66"/>
        <v>11.282842581695411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285.77483300338548</v>
      </c>
      <c r="CZ86" s="59">
        <f t="shared" si="96"/>
        <v>320.55212417690637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2.9209764545776866</v>
      </c>
      <c r="DG86" s="21">
        <f>EXP(-LN(2)/25)*DG85+(1-EXP(-LN(2)/25))/(LN(2)/25)*Calculateur!DB86*Calculateur!DD86*VLOOKUP('Données projet'!$B$13,Paramètres!$A$1:$I$89,3,0)*0.475*44/12</f>
        <v>6.4113770227904023</v>
      </c>
      <c r="DH86" s="21">
        <f>EXP(-LN(2)/2)*DH85+(1-EXP(-LN(2)/2))/(LN(2)/2)*DB86*DE86*VLOOKUP('Données projet'!$B$13,Paramètres!$A$1:$I$89,3,0)*0.475*44/12</f>
        <v>2.5710832658319877E-7</v>
      </c>
      <c r="DI86" s="22">
        <f t="shared" si="69"/>
        <v>9.3323537344764151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-5.6843418860808015E-13</v>
      </c>
      <c r="O87" s="13">
        <f>N87*VLOOKUP('Données projet'!$B$9,Paramètres!$A$1:$I$89,3,0)*VLOOKUP('Données projet'!$B$9,Paramètres!$A$1:$I$89,5,0)</f>
        <v>-3.177547114319168E-13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356.67698551373468</v>
      </c>
      <c r="T87" s="59">
        <f t="shared" si="88"/>
        <v>353.21836615408171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1.567742015031995</v>
      </c>
      <c r="AA87" s="21">
        <f>EXP(-LN(2)/25)*AA86+(1-EXP(-LN(2)/25))/(LN(2)/25)*Calculateur!V87*Calculateur!X87*VLOOKUP('Données projet'!$B$9,Paramètres!$A$1:$I$89,3,0)*0.475*44/12</f>
        <v>6.751386291038056</v>
      </c>
      <c r="AB87" s="21">
        <f>EXP(-LN(2)/2)*AB86+(1-EXP(-LN(2)/2))/(LN(2)/2)*V87*Y87*VLOOKUP('Données projet'!$B$9,Paramètres!$A$1:$I$89,3,0)*0.475*44/12</f>
        <v>2.4230844058420689E-7</v>
      </c>
      <c r="AC87" s="22">
        <f t="shared" si="57"/>
        <v>8.3191285483784903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6.2527760746888816E-13</v>
      </c>
      <c r="AJ87" s="13">
        <f>AI87*VLOOKUP('Données projet'!$B$10,Paramètres!$A$1:$I$89,3,0)*VLOOKUP('Données projet'!$B$10,Paramètres!$A$1:$I$89,5,0)</f>
        <v>3.9017322706058616E-13</v>
      </c>
      <c r="AK87" s="13">
        <f t="shared" si="89"/>
        <v>5.0025007393608908E-12</v>
      </c>
      <c r="AL87" s="20">
        <f t="shared" si="58"/>
        <v>9.3922404915174053E-12</v>
      </c>
      <c r="AM87" s="59">
        <f t="shared" si="59"/>
        <v>293.33333333334269</v>
      </c>
      <c r="AN87" s="59">
        <f ca="1">AVERAGE(OFFSET($AM$3,0,0,'Données projet'!$E$10+1,1))-AVERAGE(OFFSET($H$3,0,0,'Données projet'!$E$10+1,1))</f>
        <v>240.30073883588199</v>
      </c>
      <c r="AO87" s="59">
        <f t="shared" si="90"/>
        <v>263.20351282678843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2.3864149066026106</v>
      </c>
      <c r="AV87" s="21">
        <f>EXP(-LN(2)/25)*AV86+(1-EXP(-LN(2)/25))/(LN(2)/25)*Calculateur!AQ87*Calculateur!AS87*VLOOKUP('Données projet'!$B$10,Paramètres!$A$1:$I$89,3,0)*0.475*44/12</f>
        <v>4.6514248104808109</v>
      </c>
      <c r="AW87" s="21">
        <f>EXP(-LN(2)/2)*AW86+(1-EXP(-LN(2)/2))/(LN(2)/2)*AQ87*AT87*VLOOKUP('Données projet'!$B$10,Paramètres!$A$1:$I$89,3,0)*0.475*44/12</f>
        <v>1.5043329822804856E-7</v>
      </c>
      <c r="AX87" s="21">
        <f t="shared" si="60"/>
        <v>7.0378398675167197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252.98248842635206</v>
      </c>
      <c r="BJ87" s="59">
        <f t="shared" si="92"/>
        <v>207.11938580878308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4.5474735088646412E-13</v>
      </c>
      <c r="BZ87" s="13">
        <f>BY87*VLOOKUP('Données projet'!$B$12,Paramètres!$A$1:$I$89,3,0)*VLOOKUP('Données projet'!$B$12,Paramètres!$A$1:$I$89,5,0)</f>
        <v>2.5420376914553347E-13</v>
      </c>
      <c r="CA87" s="13">
        <f t="shared" si="93"/>
        <v>3.4258699088369875E-12</v>
      </c>
      <c r="CB87" s="20">
        <f t="shared" si="64"/>
        <v>6.4094616558195571E-12</v>
      </c>
      <c r="CC87" s="59">
        <f t="shared" si="65"/>
        <v>293.33333333333974</v>
      </c>
      <c r="CD87" s="59">
        <f ca="1">AVERAGE(OFFSET($CC$3,0,0,'Données projet'!$E$12+1,1))-AVERAGE(OFFSET($H$3,0,0,'Données projet'!$E$12+1,1))</f>
        <v>401.06118089678654</v>
      </c>
      <c r="CE87" s="59">
        <f t="shared" si="94"/>
        <v>399.58193819355591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3.5274195338219854</v>
      </c>
      <c r="CL87" s="21">
        <f>EXP(-LN(2)/25)*CL86+(1-EXP(-LN(2)/25))/(LN(2)/25)*Calculateur!CG87*Calculateur!CI87*VLOOKUP('Données projet'!$B$12,Paramètres!$A$1:$I$89,3,0)*0.475*44/12</f>
        <v>7.4747254982690858</v>
      </c>
      <c r="CM87" s="21">
        <f>EXP(-LN(2)/2)*CM86+(1-EXP(-LN(2)/2))/(LN(2)/2)*CG87*CJ87*VLOOKUP('Données projet'!$B$12,Paramètres!$A$1:$I$89,3,0)*0.475*44/12</f>
        <v>2.4385574863391442E-7</v>
      </c>
      <c r="CN87" s="22">
        <f t="shared" si="66"/>
        <v>11.00214527594682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285.77483300338548</v>
      </c>
      <c r="CZ87" s="59">
        <f t="shared" si="96"/>
        <v>320.55212417690637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2.8636978879231352</v>
      </c>
      <c r="DG87" s="21">
        <f>EXP(-LN(2)/25)*DG86+(1-EXP(-LN(2)/25))/(LN(2)/25)*Calculateur!DB87*Calculateur!DD87*VLOOKUP('Données projet'!$B$13,Paramètres!$A$1:$I$89,3,0)*0.475*44/12</f>
        <v>6.2360575809425347</v>
      </c>
      <c r="DH87" s="21">
        <f>EXP(-LN(2)/2)*DH86+(1-EXP(-LN(2)/2))/(LN(2)/2)*DB87*DE87*VLOOKUP('Données projet'!$B$13,Paramètres!$A$1:$I$89,3,0)*0.475*44/12</f>
        <v>1.8180304122650534E-7</v>
      </c>
      <c r="DI87" s="22">
        <f t="shared" si="69"/>
        <v>9.0997556506687118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-5.6843418860808015E-13</v>
      </c>
      <c r="O88" s="13">
        <f>N88*VLOOKUP('Données projet'!$B$9,Paramètres!$A$1:$I$89,3,0)*VLOOKUP('Données projet'!$B$9,Paramètres!$A$1:$I$89,5,0)</f>
        <v>-3.177547114319168E-13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356.67698551373468</v>
      </c>
      <c r="T88" s="59">
        <f t="shared" si="88"/>
        <v>353.21836615408171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1.536999550345427</v>
      </c>
      <c r="AA88" s="21">
        <f>EXP(-LN(2)/25)*AA87+(1-EXP(-LN(2)/25))/(LN(2)/25)*Calculateur!V88*Calculateur!X88*VLOOKUP('Données projet'!$B$9,Paramètres!$A$1:$I$89,3,0)*0.475*44/12</f>
        <v>6.5667692778696454</v>
      </c>
      <c r="AB88" s="21">
        <f>EXP(-LN(2)/2)*AB87+(1-EXP(-LN(2)/2))/(LN(2)/2)*V88*Y88*VLOOKUP('Données projet'!$B$9,Paramètres!$A$1:$I$89,3,0)*0.475*44/12</f>
        <v>1.7133794147583033E-7</v>
      </c>
      <c r="AC88" s="22">
        <f t="shared" si="57"/>
        <v>8.1037689995530133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6.2527760746888816E-13</v>
      </c>
      <c r="AJ88" s="13">
        <f>AI88*VLOOKUP('Données projet'!$B$10,Paramètres!$A$1:$I$89,3,0)*VLOOKUP('Données projet'!$B$10,Paramètres!$A$1:$I$89,5,0)</f>
        <v>3.9017322706058616E-13</v>
      </c>
      <c r="AK88" s="13">
        <f t="shared" si="89"/>
        <v>5.0025007393608908E-12</v>
      </c>
      <c r="AL88" s="20">
        <f t="shared" si="58"/>
        <v>9.3922404915174053E-12</v>
      </c>
      <c r="AM88" s="59">
        <f t="shared" si="59"/>
        <v>293.33333333334269</v>
      </c>
      <c r="AN88" s="59">
        <f ca="1">AVERAGE(OFFSET($AM$3,0,0,'Données projet'!$E$10+1,1))-AVERAGE(OFFSET($H$3,0,0,'Données projet'!$E$10+1,1))</f>
        <v>240.30073883588199</v>
      </c>
      <c r="AO88" s="59">
        <f t="shared" si="90"/>
        <v>263.20351282678843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2.3396187658535008</v>
      </c>
      <c r="AV88" s="21">
        <f>EXP(-LN(2)/25)*AV87+(1-EXP(-LN(2)/25))/(LN(2)/25)*Calculateur!AQ88*Calculateur!AS88*VLOOKUP('Données projet'!$B$10,Paramètres!$A$1:$I$89,3,0)*0.475*44/12</f>
        <v>4.5242313544304134</v>
      </c>
      <c r="AW88" s="21">
        <f>EXP(-LN(2)/2)*AW87+(1-EXP(-LN(2)/2))/(LN(2)/2)*AQ88*AT88*VLOOKUP('Données projet'!$B$10,Paramètres!$A$1:$I$89,3,0)*0.475*44/12</f>
        <v>1.0637240529331138E-7</v>
      </c>
      <c r="AX88" s="21">
        <f t="shared" si="60"/>
        <v>6.8638502266563188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252.98248842635206</v>
      </c>
      <c r="BJ88" s="59">
        <f t="shared" si="92"/>
        <v>207.11938580878308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4.5474735088646412E-13</v>
      </c>
      <c r="BZ88" s="13">
        <f>BY88*VLOOKUP('Données projet'!$B$12,Paramètres!$A$1:$I$89,3,0)*VLOOKUP('Données projet'!$B$12,Paramètres!$A$1:$I$89,5,0)</f>
        <v>2.5420376914553347E-13</v>
      </c>
      <c r="CA88" s="13">
        <f t="shared" si="93"/>
        <v>3.4258699088369875E-12</v>
      </c>
      <c r="CB88" s="20">
        <f t="shared" si="64"/>
        <v>6.4094616558195571E-12</v>
      </c>
      <c r="CC88" s="59">
        <f t="shared" si="65"/>
        <v>293.33333333333974</v>
      </c>
      <c r="CD88" s="59">
        <f ca="1">AVERAGE(OFFSET($CC$3,0,0,'Données projet'!$E$12+1,1))-AVERAGE(OFFSET($H$3,0,0,'Données projet'!$E$12+1,1))</f>
        <v>401.06118089678654</v>
      </c>
      <c r="CE88" s="59">
        <f t="shared" si="94"/>
        <v>399.58193819355591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3.4582489882772074</v>
      </c>
      <c r="CL88" s="21">
        <f>EXP(-LN(2)/25)*CL87+(1-EXP(-LN(2)/25))/(LN(2)/25)*Calculateur!CG88*Calculateur!CI88*VLOOKUP('Données projet'!$B$12,Paramètres!$A$1:$I$89,3,0)*0.475*44/12</f>
        <v>7.2703287364401872</v>
      </c>
      <c r="CM88" s="21">
        <f>EXP(-LN(2)/2)*CM87+(1-EXP(-LN(2)/2))/(LN(2)/2)*CG88*CJ88*VLOOKUP('Données projet'!$B$12,Paramètres!$A$1:$I$89,3,0)*0.475*44/12</f>
        <v>1.7243205349036307E-7</v>
      </c>
      <c r="CN88" s="22">
        <f t="shared" si="66"/>
        <v>10.728577897149448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285.77483300338548</v>
      </c>
      <c r="CZ88" s="59">
        <f t="shared" si="96"/>
        <v>320.55212417690637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2.8075425190242034</v>
      </c>
      <c r="DG88" s="21">
        <f>EXP(-LN(2)/25)*DG87+(1-EXP(-LN(2)/25))/(LN(2)/25)*Calculateur!DB88*Calculateur!DD88*VLOOKUP('Données projet'!$B$13,Paramètres!$A$1:$I$89,3,0)*0.475*44/12</f>
        <v>6.065532258451646</v>
      </c>
      <c r="DH88" s="21">
        <f>EXP(-LN(2)/2)*DH87+(1-EXP(-LN(2)/2))/(LN(2)/2)*DB88*DE88*VLOOKUP('Données projet'!$B$13,Paramètres!$A$1:$I$89,3,0)*0.475*44/12</f>
        <v>1.2855416329159939E-7</v>
      </c>
      <c r="DI88" s="22">
        <f t="shared" si="69"/>
        <v>8.8730749060300127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-5.6843418860808015E-13</v>
      </c>
      <c r="O89" s="13">
        <f>N89*VLOOKUP('Données projet'!$B$9,Paramètres!$A$1:$I$89,3,0)*VLOOKUP('Données projet'!$B$9,Paramètres!$A$1:$I$89,5,0)</f>
        <v>-3.177547114319168E-13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356.67698551373468</v>
      </c>
      <c r="T89" s="59">
        <f t="shared" si="88"/>
        <v>353.21836615408171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1.5068599266403107</v>
      </c>
      <c r="AA89" s="21">
        <f>EXP(-LN(2)/25)*AA88+(1-EXP(-LN(2)/25))/(LN(2)/25)*Calculateur!V89*Calculateur!X89*VLOOKUP('Données projet'!$B$9,Paramètres!$A$1:$I$89,3,0)*0.475*44/12</f>
        <v>6.3872006266349119</v>
      </c>
      <c r="AB89" s="21">
        <f>EXP(-LN(2)/2)*AB88+(1-EXP(-LN(2)/2))/(LN(2)/2)*V89*Y89*VLOOKUP('Données projet'!$B$9,Paramètres!$A$1:$I$89,3,0)*0.475*44/12</f>
        <v>1.2115422029210345E-7</v>
      </c>
      <c r="AC89" s="22">
        <f t="shared" si="57"/>
        <v>7.8940606744294426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6.2527760746888816E-13</v>
      </c>
      <c r="AJ89" s="13">
        <f>AI89*VLOOKUP('Données projet'!$B$10,Paramètres!$A$1:$I$89,3,0)*VLOOKUP('Données projet'!$B$10,Paramètres!$A$1:$I$89,5,0)</f>
        <v>3.9017322706058616E-13</v>
      </c>
      <c r="AK89" s="13">
        <f t="shared" si="89"/>
        <v>5.0025007393608908E-12</v>
      </c>
      <c r="AL89" s="20">
        <f t="shared" si="58"/>
        <v>9.3922404915174053E-12</v>
      </c>
      <c r="AM89" s="59">
        <f t="shared" si="59"/>
        <v>293.33333333334269</v>
      </c>
      <c r="AN89" s="59">
        <f ca="1">AVERAGE(OFFSET($AM$3,0,0,'Données projet'!$E$10+1,1))-AVERAGE(OFFSET($H$3,0,0,'Données projet'!$E$10+1,1))</f>
        <v>240.30073883588199</v>
      </c>
      <c r="AO89" s="59">
        <f t="shared" si="90"/>
        <v>263.20351282678843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2.2937402688816535</v>
      </c>
      <c r="AV89" s="21">
        <f>EXP(-LN(2)/25)*AV88+(1-EXP(-LN(2)/25))/(LN(2)/25)*Calculateur!AQ89*Calculateur!AS89*VLOOKUP('Données projet'!$B$10,Paramètres!$A$1:$I$89,3,0)*0.475*44/12</f>
        <v>4.4005160101245266</v>
      </c>
      <c r="AW89" s="21">
        <f>EXP(-LN(2)/2)*AW88+(1-EXP(-LN(2)/2))/(LN(2)/2)*AQ89*AT89*VLOOKUP('Données projet'!$B$10,Paramètres!$A$1:$I$89,3,0)*0.475*44/12</f>
        <v>7.5216649114024282E-8</v>
      </c>
      <c r="AX89" s="21">
        <f t="shared" si="60"/>
        <v>6.6942563542228291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252.98248842635206</v>
      </c>
      <c r="BJ89" s="59">
        <f t="shared" si="92"/>
        <v>207.11938580878308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4.5474735088646412E-13</v>
      </c>
      <c r="BZ89" s="13">
        <f>BY89*VLOOKUP('Données projet'!$B$12,Paramètres!$A$1:$I$89,3,0)*VLOOKUP('Données projet'!$B$12,Paramètres!$A$1:$I$89,5,0)</f>
        <v>2.5420376914553347E-13</v>
      </c>
      <c r="CA89" s="13">
        <f t="shared" si="93"/>
        <v>3.4258699088369875E-12</v>
      </c>
      <c r="CB89" s="20">
        <f t="shared" si="64"/>
        <v>6.4094616558195571E-12</v>
      </c>
      <c r="CC89" s="59">
        <f t="shared" si="65"/>
        <v>293.33333333333974</v>
      </c>
      <c r="CD89" s="59">
        <f ca="1">AVERAGE(OFFSET($CC$3,0,0,'Données projet'!$E$12+1,1))-AVERAGE(OFFSET($H$3,0,0,'Données projet'!$E$12+1,1))</f>
        <v>401.06118089678654</v>
      </c>
      <c r="CE89" s="59">
        <f t="shared" si="94"/>
        <v>399.58193819355591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3.3904348349406956</v>
      </c>
      <c r="CL89" s="21">
        <f>EXP(-LN(2)/25)*CL88+(1-EXP(-LN(2)/25))/(LN(2)/25)*Calculateur!CG89*Calculateur!CI89*VLOOKUP('Données projet'!$B$12,Paramètres!$A$1:$I$89,3,0)*0.475*44/12</f>
        <v>7.0715212148122584</v>
      </c>
      <c r="CM89" s="21">
        <f>EXP(-LN(2)/2)*CM88+(1-EXP(-LN(2)/2))/(LN(2)/2)*CG89*CJ89*VLOOKUP('Données projet'!$B$12,Paramètres!$A$1:$I$89,3,0)*0.475*44/12</f>
        <v>1.2192787431695721E-7</v>
      </c>
      <c r="CN89" s="22">
        <f t="shared" si="66"/>
        <v>10.461956171680828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285.77483300338548</v>
      </c>
      <c r="CZ89" s="59">
        <f t="shared" si="96"/>
        <v>320.55212417690637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2.7524883226579866</v>
      </c>
      <c r="DG89" s="21">
        <f>EXP(-LN(2)/25)*DG88+(1-EXP(-LN(2)/25))/(LN(2)/25)*Calculateur!DB89*Calculateur!DD89*VLOOKUP('Données projet'!$B$13,Paramètres!$A$1:$I$89,3,0)*0.475*44/12</f>
        <v>5.8996699598718072</v>
      </c>
      <c r="DH89" s="21">
        <f>EXP(-LN(2)/2)*DH88+(1-EXP(-LN(2)/2))/(LN(2)/2)*DB89*DE89*VLOOKUP('Données projet'!$B$13,Paramètres!$A$1:$I$89,3,0)*0.475*44/12</f>
        <v>9.0901520613252669E-8</v>
      </c>
      <c r="DI89" s="22">
        <f t="shared" si="69"/>
        <v>8.6521583734313143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-5.6843418860808015E-13</v>
      </c>
      <c r="O90" s="13">
        <f>N90*VLOOKUP('Données projet'!$B$9,Paramètres!$A$1:$I$89,3,0)*VLOOKUP('Données projet'!$B$9,Paramètres!$A$1:$I$89,5,0)</f>
        <v>-3.177547114319168E-13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356.67698551373468</v>
      </c>
      <c r="T90" s="59">
        <f t="shared" si="88"/>
        <v>353.21836615408171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1.4773113225726964</v>
      </c>
      <c r="AA90" s="21">
        <f>EXP(-LN(2)/25)*AA89+(1-EXP(-LN(2)/25))/(LN(2)/25)*Calculateur!V90*Calculateur!X90*VLOOKUP('Données projet'!$B$9,Paramètres!$A$1:$I$89,3,0)*0.475*44/12</f>
        <v>6.2125422896112976</v>
      </c>
      <c r="AB90" s="21">
        <f>EXP(-LN(2)/2)*AB89+(1-EXP(-LN(2)/2))/(LN(2)/2)*V90*Y90*VLOOKUP('Données projet'!$B$9,Paramètres!$A$1:$I$89,3,0)*0.475*44/12</f>
        <v>8.5668970737915167E-8</v>
      </c>
      <c r="AC90" s="22">
        <f t="shared" si="57"/>
        <v>7.6898536978529641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6.2527760746888816E-13</v>
      </c>
      <c r="AJ90" s="13">
        <f>AI90*VLOOKUP('Données projet'!$B$10,Paramètres!$A$1:$I$89,3,0)*VLOOKUP('Données projet'!$B$10,Paramètres!$A$1:$I$89,5,0)</f>
        <v>3.9017322706058616E-13</v>
      </c>
      <c r="AK90" s="13">
        <f t="shared" si="89"/>
        <v>5.0025007393608908E-12</v>
      </c>
      <c r="AL90" s="20">
        <f t="shared" si="58"/>
        <v>9.3922404915174053E-12</v>
      </c>
      <c r="AM90" s="59">
        <f t="shared" si="59"/>
        <v>293.33333333334269</v>
      </c>
      <c r="AN90" s="59">
        <f ca="1">AVERAGE(OFFSET($AM$3,0,0,'Données projet'!$E$10+1,1))-AVERAGE(OFFSET($H$3,0,0,'Données projet'!$E$10+1,1))</f>
        <v>240.30073883588199</v>
      </c>
      <c r="AO90" s="59">
        <f t="shared" si="90"/>
        <v>263.20351282678843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2.2487614212523042</v>
      </c>
      <c r="AV90" s="21">
        <f>EXP(-LN(2)/25)*AV89+(1-EXP(-LN(2)/25))/(LN(2)/25)*Calculateur!AQ90*Calculateur!AS90*VLOOKUP('Données projet'!$B$10,Paramètres!$A$1:$I$89,3,0)*0.475*44/12</f>
        <v>4.2801836684145922</v>
      </c>
      <c r="AW90" s="21">
        <f>EXP(-LN(2)/2)*AW89+(1-EXP(-LN(2)/2))/(LN(2)/2)*AQ90*AT90*VLOOKUP('Données projet'!$B$10,Paramètres!$A$1:$I$89,3,0)*0.475*44/12</f>
        <v>5.3186202646655692E-8</v>
      </c>
      <c r="AX90" s="21">
        <f t="shared" si="60"/>
        <v>6.5289451428530993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252.98248842635206</v>
      </c>
      <c r="BJ90" s="59">
        <f t="shared" si="92"/>
        <v>207.11938580878308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4.5474735088646412E-13</v>
      </c>
      <c r="BZ90" s="13">
        <f>BY90*VLOOKUP('Données projet'!$B$12,Paramètres!$A$1:$I$89,3,0)*VLOOKUP('Données projet'!$B$12,Paramètres!$A$1:$I$89,5,0)</f>
        <v>2.5420376914553347E-13</v>
      </c>
      <c r="CA90" s="13">
        <f t="shared" si="93"/>
        <v>3.4258699088369875E-12</v>
      </c>
      <c r="CB90" s="20">
        <f t="shared" si="64"/>
        <v>6.4094616558195571E-12</v>
      </c>
      <c r="CC90" s="59">
        <f t="shared" si="65"/>
        <v>293.33333333333974</v>
      </c>
      <c r="CD90" s="59">
        <f ca="1">AVERAGE(OFFSET($CC$3,0,0,'Données projet'!$E$12+1,1))-AVERAGE(OFFSET($H$3,0,0,'Données projet'!$E$12+1,1))</f>
        <v>401.06118089678654</v>
      </c>
      <c r="CE90" s="59">
        <f t="shared" si="94"/>
        <v>399.58193819355591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3.3239504757885636</v>
      </c>
      <c r="CL90" s="21">
        <f>EXP(-LN(2)/25)*CL89+(1-EXP(-LN(2)/25))/(LN(2)/25)*Calculateur!CG90*Calculateur!CI90*VLOOKUP('Données projet'!$B$12,Paramètres!$A$1:$I$89,3,0)*0.475*44/12</f>
        <v>6.8781500953180785</v>
      </c>
      <c r="CM90" s="21">
        <f>EXP(-LN(2)/2)*CM89+(1-EXP(-LN(2)/2))/(LN(2)/2)*CG90*CJ90*VLOOKUP('Données projet'!$B$12,Paramètres!$A$1:$I$89,3,0)*0.475*44/12</f>
        <v>8.6216026745181534E-8</v>
      </c>
      <c r="CN90" s="22">
        <f t="shared" si="66"/>
        <v>10.202100657322669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285.77483300338548</v>
      </c>
      <c r="CZ90" s="59">
        <f t="shared" si="96"/>
        <v>320.55212417690637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2.6985137055027675</v>
      </c>
      <c r="DG90" s="21">
        <f>EXP(-LN(2)/25)*DG89+(1-EXP(-LN(2)/25))/(LN(2)/25)*Calculateur!DB90*Calculateur!DD90*VLOOKUP('Données projet'!$B$13,Paramètres!$A$1:$I$89,3,0)*0.475*44/12</f>
        <v>5.7383431745689535</v>
      </c>
      <c r="DH90" s="21">
        <f>EXP(-LN(2)/2)*DH89+(1-EXP(-LN(2)/2))/(LN(2)/2)*DB90*DE90*VLOOKUP('Données projet'!$B$13,Paramètres!$A$1:$I$89,3,0)*0.475*44/12</f>
        <v>6.4277081645799693E-8</v>
      </c>
      <c r="DI90" s="22">
        <f t="shared" si="69"/>
        <v>8.4368569443488024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-5.6843418860808015E-13</v>
      </c>
      <c r="O91" s="13">
        <f>N91*VLOOKUP('Données projet'!$B$9,Paramètres!$A$1:$I$89,3,0)*VLOOKUP('Données projet'!$B$9,Paramètres!$A$1:$I$89,5,0)</f>
        <v>-3.177547114319168E-13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356.67698551373468</v>
      </c>
      <c r="T91" s="59">
        <f t="shared" si="88"/>
        <v>353.21836615408171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1.4483421486079793</v>
      </c>
      <c r="AA91" s="21">
        <f>EXP(-LN(2)/25)*AA90+(1-EXP(-LN(2)/25))/(LN(2)/25)*Calculateur!V91*Calculateur!X91*VLOOKUP('Données projet'!$B$9,Paramètres!$A$1:$I$89,3,0)*0.475*44/12</f>
        <v>6.0426599939984769</v>
      </c>
      <c r="AB91" s="21">
        <f>EXP(-LN(2)/2)*AB90+(1-EXP(-LN(2)/2))/(LN(2)/2)*V91*Y91*VLOOKUP('Données projet'!$B$9,Paramètres!$A$1:$I$89,3,0)*0.475*44/12</f>
        <v>6.0577110146051723E-8</v>
      </c>
      <c r="AC91" s="22">
        <f t="shared" si="57"/>
        <v>7.4910022031835668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6.2527760746888816E-13</v>
      </c>
      <c r="AJ91" s="13">
        <f>AI91*VLOOKUP('Données projet'!$B$10,Paramètres!$A$1:$I$89,3,0)*VLOOKUP('Données projet'!$B$10,Paramètres!$A$1:$I$89,5,0)</f>
        <v>3.9017322706058616E-13</v>
      </c>
      <c r="AK91" s="13">
        <f t="shared" si="89"/>
        <v>5.0025007393608908E-12</v>
      </c>
      <c r="AL91" s="20">
        <f t="shared" si="58"/>
        <v>9.3922404915174053E-12</v>
      </c>
      <c r="AM91" s="59">
        <f t="shared" si="59"/>
        <v>293.33333333334269</v>
      </c>
      <c r="AN91" s="59">
        <f ca="1">AVERAGE(OFFSET($AM$3,0,0,'Données projet'!$E$10+1,1))-AVERAGE(OFFSET($H$3,0,0,'Données projet'!$E$10+1,1))</f>
        <v>240.30073883588199</v>
      </c>
      <c r="AO91" s="59">
        <f t="shared" si="90"/>
        <v>263.20351282678843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2.2046645813905781</v>
      </c>
      <c r="AV91" s="21">
        <f>EXP(-LN(2)/25)*AV90+(1-EXP(-LN(2)/25))/(LN(2)/25)*Calculateur!AQ91*Calculateur!AS91*VLOOKUP('Données projet'!$B$10,Paramètres!$A$1:$I$89,3,0)*0.475*44/12</f>
        <v>4.1631418209167181</v>
      </c>
      <c r="AW91" s="21">
        <f>EXP(-LN(2)/2)*AW90+(1-EXP(-LN(2)/2))/(LN(2)/2)*AQ91*AT91*VLOOKUP('Données projet'!$B$10,Paramètres!$A$1:$I$89,3,0)*0.475*44/12</f>
        <v>3.7608324557012141E-8</v>
      </c>
      <c r="AX91" s="21">
        <f t="shared" si="60"/>
        <v>6.3678064399156211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252.98248842635206</v>
      </c>
      <c r="BJ91" s="59">
        <f t="shared" si="92"/>
        <v>207.11938580878308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4.5474735088646412E-13</v>
      </c>
      <c r="BZ91" s="13">
        <f>BY91*VLOOKUP('Données projet'!$B$12,Paramètres!$A$1:$I$89,3,0)*VLOOKUP('Données projet'!$B$12,Paramètres!$A$1:$I$89,5,0)</f>
        <v>2.5420376914553347E-13</v>
      </c>
      <c r="CA91" s="13">
        <f t="shared" si="93"/>
        <v>3.4258699088369875E-12</v>
      </c>
      <c r="CB91" s="20">
        <f t="shared" si="64"/>
        <v>6.4094616558195571E-12</v>
      </c>
      <c r="CC91" s="59">
        <f t="shared" si="65"/>
        <v>293.33333333333974</v>
      </c>
      <c r="CD91" s="59">
        <f ca="1">AVERAGE(OFFSET($CC$3,0,0,'Données projet'!$E$12+1,1))-AVERAGE(OFFSET($H$3,0,0,'Données projet'!$E$12+1,1))</f>
        <v>401.06118089678654</v>
      </c>
      <c r="CE91" s="59">
        <f t="shared" si="94"/>
        <v>399.58193819355591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3.2587698343679499</v>
      </c>
      <c r="CL91" s="21">
        <f>EXP(-LN(2)/25)*CL90+(1-EXP(-LN(2)/25))/(LN(2)/25)*Calculateur!CG91*Calculateur!CI91*VLOOKUP('Données projet'!$B$12,Paramètres!$A$1:$I$89,3,0)*0.475*44/12</f>
        <v>6.6900667192554124</v>
      </c>
      <c r="CM91" s="21">
        <f>EXP(-LN(2)/2)*CM90+(1-EXP(-LN(2)/2))/(LN(2)/2)*CG91*CJ91*VLOOKUP('Données projet'!$B$12,Paramètres!$A$1:$I$89,3,0)*0.475*44/12</f>
        <v>6.0963937158478606E-8</v>
      </c>
      <c r="CN91" s="22">
        <f t="shared" si="66"/>
        <v>9.9488366145873002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285.77483300338548</v>
      </c>
      <c r="CZ91" s="59">
        <f t="shared" si="96"/>
        <v>320.55212417690637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2.6455974976686965</v>
      </c>
      <c r="DG91" s="21">
        <f>EXP(-LN(2)/25)*DG90+(1-EXP(-LN(2)/25))/(LN(2)/25)*Calculateur!DB91*Calculateur!DD91*VLOOKUP('Données projet'!$B$13,Paramètres!$A$1:$I$89,3,0)*0.475*44/12</f>
        <v>5.5814278786940132</v>
      </c>
      <c r="DH91" s="21">
        <f>EXP(-LN(2)/2)*DH90+(1-EXP(-LN(2)/2))/(LN(2)/2)*DB91*DE91*VLOOKUP('Données projet'!$B$13,Paramètres!$A$1:$I$89,3,0)*0.475*44/12</f>
        <v>4.5450760306626335E-8</v>
      </c>
      <c r="DI91" s="22">
        <f t="shared" si="69"/>
        <v>8.2270254218134689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-5.6843418860808015E-13</v>
      </c>
      <c r="O92" s="13">
        <f>N92*VLOOKUP('Données projet'!$B$9,Paramètres!$A$1:$I$89,3,0)*VLOOKUP('Données projet'!$B$9,Paramètres!$A$1:$I$89,5,0)</f>
        <v>-3.177547114319168E-13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356.67698551373468</v>
      </c>
      <c r="T92" s="59">
        <f t="shared" si="88"/>
        <v>353.21836615408171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1.4199410424752588</v>
      </c>
      <c r="AA92" s="21">
        <f>EXP(-LN(2)/25)*AA91+(1-EXP(-LN(2)/25))/(LN(2)/25)*Calculateur!V92*Calculateur!X92*VLOOKUP('Données projet'!$B$9,Paramètres!$A$1:$I$89,3,0)*0.475*44/12</f>
        <v>5.8774231386929099</v>
      </c>
      <c r="AB92" s="21">
        <f>EXP(-LN(2)/2)*AB91+(1-EXP(-LN(2)/2))/(LN(2)/2)*V92*Y92*VLOOKUP('Données projet'!$B$9,Paramètres!$A$1:$I$89,3,0)*0.475*44/12</f>
        <v>4.2834485368957583E-8</v>
      </c>
      <c r="AC92" s="22">
        <f t="shared" si="57"/>
        <v>7.2973642240026537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6.2527760746888816E-13</v>
      </c>
      <c r="AJ92" s="13">
        <f>AI92*VLOOKUP('Données projet'!$B$10,Paramètres!$A$1:$I$89,3,0)*VLOOKUP('Données projet'!$B$10,Paramètres!$A$1:$I$89,5,0)</f>
        <v>3.9017322706058616E-13</v>
      </c>
      <c r="AK92" s="13">
        <f t="shared" si="89"/>
        <v>5.0025007393608908E-12</v>
      </c>
      <c r="AL92" s="20">
        <f t="shared" si="58"/>
        <v>9.3922404915174053E-12</v>
      </c>
      <c r="AM92" s="59">
        <f t="shared" si="59"/>
        <v>293.33333333334269</v>
      </c>
      <c r="AN92" s="59">
        <f ca="1">AVERAGE(OFFSET($AM$3,0,0,'Données projet'!$E$10+1,1))-AVERAGE(OFFSET($H$3,0,0,'Données projet'!$E$10+1,1))</f>
        <v>240.30073883588199</v>
      </c>
      <c r="AO92" s="59">
        <f t="shared" si="90"/>
        <v>263.20351282678843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2.1614324536621243</v>
      </c>
      <c r="AV92" s="21">
        <f>EXP(-LN(2)/25)*AV91+(1-EXP(-LN(2)/25))/(LN(2)/25)*Calculateur!AQ92*Calculateur!AS92*VLOOKUP('Données projet'!$B$10,Paramètres!$A$1:$I$89,3,0)*0.475*44/12</f>
        <v>4.0493004888936373</v>
      </c>
      <c r="AW92" s="21">
        <f>EXP(-LN(2)/2)*AW91+(1-EXP(-LN(2)/2))/(LN(2)/2)*AQ92*AT92*VLOOKUP('Données projet'!$B$10,Paramètres!$A$1:$I$89,3,0)*0.475*44/12</f>
        <v>2.6593101323327846E-8</v>
      </c>
      <c r="AX92" s="21">
        <f t="shared" si="60"/>
        <v>6.2107329691488626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252.98248842635206</v>
      </c>
      <c r="BJ92" s="59">
        <f t="shared" si="92"/>
        <v>207.11938580878308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4.5474735088646412E-13</v>
      </c>
      <c r="BZ92" s="13">
        <f>BY92*VLOOKUP('Données projet'!$B$12,Paramètres!$A$1:$I$89,3,0)*VLOOKUP('Données projet'!$B$12,Paramètres!$A$1:$I$89,5,0)</f>
        <v>2.5420376914553347E-13</v>
      </c>
      <c r="CA92" s="13">
        <f t="shared" si="93"/>
        <v>3.4258699088369875E-12</v>
      </c>
      <c r="CB92" s="20">
        <f t="shared" si="64"/>
        <v>6.4094616558195571E-12</v>
      </c>
      <c r="CC92" s="59">
        <f t="shared" si="65"/>
        <v>293.33333333333974</v>
      </c>
      <c r="CD92" s="59">
        <f ca="1">AVERAGE(OFFSET($CC$3,0,0,'Données projet'!$E$12+1,1))-AVERAGE(OFFSET($H$3,0,0,'Données projet'!$E$12+1,1))</f>
        <v>401.06118089678654</v>
      </c>
      <c r="CE92" s="59">
        <f t="shared" si="94"/>
        <v>399.58193819355591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3.1948673455693291</v>
      </c>
      <c r="CL92" s="21">
        <f>EXP(-LN(2)/25)*CL91+(1-EXP(-LN(2)/25))/(LN(2)/25)*Calculateur!CG92*Calculateur!CI92*VLOOKUP('Données projet'!$B$12,Paramètres!$A$1:$I$89,3,0)*0.475*44/12</f>
        <v>6.5071264930020547</v>
      </c>
      <c r="CM92" s="21">
        <f>EXP(-LN(2)/2)*CM91+(1-EXP(-LN(2)/2))/(LN(2)/2)*CG92*CJ92*VLOOKUP('Données projet'!$B$12,Paramètres!$A$1:$I$89,3,0)*0.475*44/12</f>
        <v>4.3108013372590767E-8</v>
      </c>
      <c r="CN92" s="22">
        <f t="shared" si="66"/>
        <v>9.701993881679396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285.77483300338548</v>
      </c>
      <c r="CZ92" s="59">
        <f t="shared" si="96"/>
        <v>320.55212417690637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2.5937189443945519</v>
      </c>
      <c r="DG92" s="21">
        <f>EXP(-LN(2)/25)*DG91+(1-EXP(-LN(2)/25))/(LN(2)/25)*Calculateur!DB92*Calculateur!DD92*VLOOKUP('Données projet'!$B$13,Paramètres!$A$1:$I$89,3,0)*0.475*44/12</f>
        <v>5.4288034398365896</v>
      </c>
      <c r="DH92" s="21">
        <f>EXP(-LN(2)/2)*DH91+(1-EXP(-LN(2)/2))/(LN(2)/2)*DB92*DE92*VLOOKUP('Données projet'!$B$13,Paramètres!$A$1:$I$89,3,0)*0.475*44/12</f>
        <v>3.2138540822899847E-8</v>
      </c>
      <c r="DI92" s="22">
        <f t="shared" si="69"/>
        <v>8.0225224163696822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-5.6843418860808015E-13</v>
      </c>
      <c r="O93" s="13">
        <f>N93*VLOOKUP('Données projet'!$B$9,Paramètres!$A$1:$I$89,3,0)*VLOOKUP('Données projet'!$B$9,Paramètres!$A$1:$I$89,5,0)</f>
        <v>-3.177547114319168E-13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356.67698551373468</v>
      </c>
      <c r="T93" s="59">
        <f t="shared" si="88"/>
        <v>353.21836615408171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1.3920968647108367</v>
      </c>
      <c r="AA93" s="21">
        <f>EXP(-LN(2)/25)*AA92+(1-EXP(-LN(2)/25))/(LN(2)/25)*Calculateur!V93*Calculateur!X93*VLOOKUP('Données projet'!$B$9,Paramètres!$A$1:$I$89,3,0)*0.475*44/12</f>
        <v>5.7167046938851023</v>
      </c>
      <c r="AB93" s="21">
        <f>EXP(-LN(2)/2)*AB92+(1-EXP(-LN(2)/2))/(LN(2)/2)*V93*Y93*VLOOKUP('Données projet'!$B$9,Paramètres!$A$1:$I$89,3,0)*0.475*44/12</f>
        <v>3.0288555073025861E-8</v>
      </c>
      <c r="AC93" s="22">
        <f t="shared" si="57"/>
        <v>7.1088015888844938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6.2527760746888816E-13</v>
      </c>
      <c r="AJ93" s="13">
        <f>AI93*VLOOKUP('Données projet'!$B$10,Paramètres!$A$1:$I$89,3,0)*VLOOKUP('Données projet'!$B$10,Paramètres!$A$1:$I$89,5,0)</f>
        <v>3.9017322706058616E-13</v>
      </c>
      <c r="AK93" s="13">
        <f t="shared" si="89"/>
        <v>5.0025007393608908E-12</v>
      </c>
      <c r="AL93" s="20">
        <f t="shared" si="58"/>
        <v>9.3922404915174053E-12</v>
      </c>
      <c r="AM93" s="59">
        <f t="shared" si="59"/>
        <v>293.33333333334269</v>
      </c>
      <c r="AN93" s="59">
        <f ca="1">AVERAGE(OFFSET($AM$3,0,0,'Données projet'!$E$10+1,1))-AVERAGE(OFFSET($H$3,0,0,'Données projet'!$E$10+1,1))</f>
        <v>240.30073883588199</v>
      </c>
      <c r="AO93" s="59">
        <f t="shared" si="90"/>
        <v>263.20351282678843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2.119048081589431</v>
      </c>
      <c r="AV93" s="21">
        <f>EXP(-LN(2)/25)*AV92+(1-EXP(-LN(2)/25))/(LN(2)/25)*Calculateur!AQ93*Calculateur!AS93*VLOOKUP('Données projet'!$B$10,Paramètres!$A$1:$I$89,3,0)*0.475*44/12</f>
        <v>3.9385721540813829</v>
      </c>
      <c r="AW93" s="21">
        <f>EXP(-LN(2)/2)*AW92+(1-EXP(-LN(2)/2))/(LN(2)/2)*AQ93*AT93*VLOOKUP('Données projet'!$B$10,Paramètres!$A$1:$I$89,3,0)*0.475*44/12</f>
        <v>1.880416227850607E-8</v>
      </c>
      <c r="AX93" s="21">
        <f t="shared" si="60"/>
        <v>6.0576202544749771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252.98248842635206</v>
      </c>
      <c r="BJ93" s="59">
        <f t="shared" si="92"/>
        <v>207.11938580878308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4.5474735088646412E-13</v>
      </c>
      <c r="BZ93" s="13">
        <f>BY93*VLOOKUP('Données projet'!$B$12,Paramètres!$A$1:$I$89,3,0)*VLOOKUP('Données projet'!$B$12,Paramètres!$A$1:$I$89,5,0)</f>
        <v>2.5420376914553347E-13</v>
      </c>
      <c r="CA93" s="13">
        <f t="shared" si="93"/>
        <v>3.4258699088369875E-12</v>
      </c>
      <c r="CB93" s="20">
        <f t="shared" si="64"/>
        <v>6.4094616558195571E-12</v>
      </c>
      <c r="CC93" s="59">
        <f t="shared" si="65"/>
        <v>293.33333333333974</v>
      </c>
      <c r="CD93" s="59">
        <f ca="1">AVERAGE(OFFSET($CC$3,0,0,'Données projet'!$E$12+1,1))-AVERAGE(OFFSET($H$3,0,0,'Données projet'!$E$12+1,1))</f>
        <v>401.06118089678654</v>
      </c>
      <c r="CE93" s="59">
        <f t="shared" si="94"/>
        <v>399.58193819355591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3.1322179455993795</v>
      </c>
      <c r="CL93" s="21">
        <f>EXP(-LN(2)/25)*CL92+(1-EXP(-LN(2)/25))/(LN(2)/25)*Calculateur!CG93*Calculateur!CI93*VLOOKUP('Données projet'!$B$12,Paramètres!$A$1:$I$89,3,0)*0.475*44/12</f>
        <v>6.3291887768560038</v>
      </c>
      <c r="CM93" s="21">
        <f>EXP(-LN(2)/2)*CM92+(1-EXP(-LN(2)/2))/(LN(2)/2)*CG93*CJ93*VLOOKUP('Données projet'!$B$12,Paramètres!$A$1:$I$89,3,0)*0.475*44/12</f>
        <v>3.0481968579239303E-8</v>
      </c>
      <c r="CN93" s="22">
        <f t="shared" si="66"/>
        <v>9.4614067529373518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285.77483300338548</v>
      </c>
      <c r="CZ93" s="59">
        <f t="shared" si="96"/>
        <v>320.55212417690637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2.5428576979073201</v>
      </c>
      <c r="DG93" s="21">
        <f>EXP(-LN(2)/25)*DG92+(1-EXP(-LN(2)/25))/(LN(2)/25)*Calculateur!DB93*Calculateur!DD93*VLOOKUP('Données projet'!$B$13,Paramètres!$A$1:$I$89,3,0)*0.475*44/12</f>
        <v>5.2803525242858926</v>
      </c>
      <c r="DH93" s="21">
        <f>EXP(-LN(2)/2)*DH92+(1-EXP(-LN(2)/2))/(LN(2)/2)*DB93*DE93*VLOOKUP('Données projet'!$B$13,Paramètres!$A$1:$I$89,3,0)*0.475*44/12</f>
        <v>2.2725380153313167E-8</v>
      </c>
      <c r="DI93" s="22">
        <f t="shared" si="69"/>
        <v>7.8232102449185925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-5.6843418860808015E-13</v>
      </c>
      <c r="O94" s="13">
        <f>N94*VLOOKUP('Données projet'!$B$9,Paramètres!$A$1:$I$89,3,0)*VLOOKUP('Données projet'!$B$9,Paramètres!$A$1:$I$89,5,0)</f>
        <v>-3.177547114319168E-13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356.67698551373468</v>
      </c>
      <c r="T94" s="59">
        <f t="shared" si="88"/>
        <v>353.21836615408171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1.3647986942891035</v>
      </c>
      <c r="AA94" s="21">
        <f>EXP(-LN(2)/25)*AA93+(1-EXP(-LN(2)/25))/(LN(2)/25)*Calculateur!V94*Calculateur!X94*VLOOKUP('Données projet'!$B$9,Paramètres!$A$1:$I$89,3,0)*0.475*44/12</f>
        <v>5.5603811034023796</v>
      </c>
      <c r="AB94" s="21">
        <f>EXP(-LN(2)/2)*AB93+(1-EXP(-LN(2)/2))/(LN(2)/2)*V94*Y94*VLOOKUP('Données projet'!$B$9,Paramètres!$A$1:$I$89,3,0)*0.475*44/12</f>
        <v>2.1417242684478792E-8</v>
      </c>
      <c r="AC94" s="22">
        <f t="shared" si="57"/>
        <v>6.9251798191087257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6.2527760746888816E-13</v>
      </c>
      <c r="AJ94" s="13">
        <f>AI94*VLOOKUP('Données projet'!$B$10,Paramètres!$A$1:$I$89,3,0)*VLOOKUP('Données projet'!$B$10,Paramètres!$A$1:$I$89,5,0)</f>
        <v>3.9017322706058616E-13</v>
      </c>
      <c r="AK94" s="13">
        <f t="shared" si="89"/>
        <v>5.0025007393608908E-12</v>
      </c>
      <c r="AL94" s="20">
        <f t="shared" si="58"/>
        <v>9.3922404915174053E-12</v>
      </c>
      <c r="AM94" s="59">
        <f t="shared" si="59"/>
        <v>293.33333333334269</v>
      </c>
      <c r="AN94" s="59">
        <f ca="1">AVERAGE(OFFSET($AM$3,0,0,'Données projet'!$E$10+1,1))-AVERAGE(OFFSET($H$3,0,0,'Données projet'!$E$10+1,1))</f>
        <v>240.30073883588199</v>
      </c>
      <c r="AO94" s="59">
        <f t="shared" si="90"/>
        <v>263.20351282678843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2.0774948412011689</v>
      </c>
      <c r="AV94" s="21">
        <f>EXP(-LN(2)/25)*AV93+(1-EXP(-LN(2)/25))/(LN(2)/25)*Calculateur!AQ94*Calculateur!AS94*VLOOKUP('Données projet'!$B$10,Paramètres!$A$1:$I$89,3,0)*0.475*44/12</f>
        <v>3.8308716914075198</v>
      </c>
      <c r="AW94" s="21">
        <f>EXP(-LN(2)/2)*AW93+(1-EXP(-LN(2)/2))/(LN(2)/2)*AQ94*AT94*VLOOKUP('Données projet'!$B$10,Paramètres!$A$1:$I$89,3,0)*0.475*44/12</f>
        <v>1.3296550661663923E-8</v>
      </c>
      <c r="AX94" s="21">
        <f t="shared" si="60"/>
        <v>5.9083665459052392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252.98248842635206</v>
      </c>
      <c r="BJ94" s="59">
        <f t="shared" si="92"/>
        <v>207.11938580878308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4.5474735088646412E-13</v>
      </c>
      <c r="BZ94" s="13">
        <f>BY94*VLOOKUP('Données projet'!$B$12,Paramètres!$A$1:$I$89,3,0)*VLOOKUP('Données projet'!$B$12,Paramètres!$A$1:$I$89,5,0)</f>
        <v>2.5420376914553347E-13</v>
      </c>
      <c r="CA94" s="13">
        <f t="shared" si="93"/>
        <v>3.4258699088369875E-12</v>
      </c>
      <c r="CB94" s="20">
        <f t="shared" si="64"/>
        <v>6.4094616558195571E-12</v>
      </c>
      <c r="CC94" s="59">
        <f t="shared" si="65"/>
        <v>293.33333333333974</v>
      </c>
      <c r="CD94" s="59">
        <f ca="1">AVERAGE(OFFSET($CC$3,0,0,'Données projet'!$E$12+1,1))-AVERAGE(OFFSET($H$3,0,0,'Données projet'!$E$12+1,1))</f>
        <v>401.06118089678654</v>
      </c>
      <c r="CE94" s="59">
        <f t="shared" si="94"/>
        <v>399.58193819355591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3.0707970621504797</v>
      </c>
      <c r="CL94" s="21">
        <f>EXP(-LN(2)/25)*CL93+(1-EXP(-LN(2)/25))/(LN(2)/25)*Calculateur!CG94*Calculateur!CI94*VLOOKUP('Données projet'!$B$12,Paramètres!$A$1:$I$89,3,0)*0.475*44/12</f>
        <v>6.1561167769153045</v>
      </c>
      <c r="CM94" s="21">
        <f>EXP(-LN(2)/2)*CM93+(1-EXP(-LN(2)/2))/(LN(2)/2)*CG94*CJ94*VLOOKUP('Données projet'!$B$12,Paramètres!$A$1:$I$89,3,0)*0.475*44/12</f>
        <v>2.1554006686295384E-8</v>
      </c>
      <c r="CN94" s="22">
        <f t="shared" si="66"/>
        <v>9.2269138606197902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285.77483300338548</v>
      </c>
      <c r="CZ94" s="59">
        <f t="shared" si="96"/>
        <v>320.55212417690637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2.4929938094414057</v>
      </c>
      <c r="DG94" s="21">
        <f>EXP(-LN(2)/25)*DG93+(1-EXP(-LN(2)/25))/(LN(2)/25)*Calculateur!DB94*Calculateur!DD94*VLOOKUP('Données projet'!$B$13,Paramètres!$A$1:$I$89,3,0)*0.475*44/12</f>
        <v>5.1359610068276238</v>
      </c>
      <c r="DH94" s="21">
        <f>EXP(-LN(2)/2)*DH93+(1-EXP(-LN(2)/2))/(LN(2)/2)*DB94*DE94*VLOOKUP('Données projet'!$B$13,Paramètres!$A$1:$I$89,3,0)*0.475*44/12</f>
        <v>1.6069270411449923E-8</v>
      </c>
      <c r="DI94" s="22">
        <f t="shared" si="69"/>
        <v>7.6289548323382999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-5.6843418860808015E-13</v>
      </c>
      <c r="O95" s="13">
        <f>N95*VLOOKUP('Données projet'!$B$9,Paramètres!$A$1:$I$89,3,0)*VLOOKUP('Données projet'!$B$9,Paramètres!$A$1:$I$89,5,0)</f>
        <v>-3.177547114319168E-13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356.67698551373468</v>
      </c>
      <c r="T95" s="59">
        <f t="shared" si="88"/>
        <v>353.21836615408171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1.3380358243391006</v>
      </c>
      <c r="AA95" s="21">
        <f>EXP(-LN(2)/25)*AA94+(1-EXP(-LN(2)/25))/(LN(2)/25)*Calculateur!V95*Calculateur!X95*VLOOKUP('Données projet'!$B$9,Paramètres!$A$1:$I$89,3,0)*0.475*44/12</f>
        <v>5.4083321897221079</v>
      </c>
      <c r="AB95" s="21">
        <f>EXP(-LN(2)/2)*AB94+(1-EXP(-LN(2)/2))/(LN(2)/2)*V95*Y95*VLOOKUP('Données projet'!$B$9,Paramètres!$A$1:$I$89,3,0)*0.475*44/12</f>
        <v>1.5144277536512931E-8</v>
      </c>
      <c r="AC95" s="22">
        <f t="shared" si="57"/>
        <v>6.7463680292054864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6.2527760746888816E-13</v>
      </c>
      <c r="AJ95" s="13">
        <f>AI95*VLOOKUP('Données projet'!$B$10,Paramètres!$A$1:$I$89,3,0)*VLOOKUP('Données projet'!$B$10,Paramètres!$A$1:$I$89,5,0)</f>
        <v>3.9017322706058616E-13</v>
      </c>
      <c r="AK95" s="13">
        <f t="shared" si="89"/>
        <v>5.0025007393608908E-12</v>
      </c>
      <c r="AL95" s="20">
        <f t="shared" si="58"/>
        <v>9.3922404915174053E-12</v>
      </c>
      <c r="AM95" s="59">
        <f t="shared" si="59"/>
        <v>293.33333333334269</v>
      </c>
      <c r="AN95" s="59">
        <f ca="1">AVERAGE(OFFSET($AM$3,0,0,'Données projet'!$E$10+1,1))-AVERAGE(OFFSET($H$3,0,0,'Données projet'!$E$10+1,1))</f>
        <v>240.30073883588199</v>
      </c>
      <c r="AO95" s="59">
        <f t="shared" si="90"/>
        <v>263.20351282678843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2.0367564345119469</v>
      </c>
      <c r="AV95" s="21">
        <f>EXP(-LN(2)/25)*AV94+(1-EXP(-LN(2)/25))/(LN(2)/25)*Calculateur!AQ95*Calculateur!AS95*VLOOKUP('Données projet'!$B$10,Paramètres!$A$1:$I$89,3,0)*0.475*44/12</f>
        <v>3.7261163035491944</v>
      </c>
      <c r="AW95" s="21">
        <f>EXP(-LN(2)/2)*AW94+(1-EXP(-LN(2)/2))/(LN(2)/2)*AQ95*AT95*VLOOKUP('Données projet'!$B$10,Paramètres!$A$1:$I$89,3,0)*0.475*44/12</f>
        <v>9.4020811392530352E-9</v>
      </c>
      <c r="AX95" s="21">
        <f t="shared" si="60"/>
        <v>5.7628727474632218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252.98248842635206</v>
      </c>
      <c r="BJ95" s="59">
        <f t="shared" si="92"/>
        <v>207.11938580878308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4.5474735088646412E-13</v>
      </c>
      <c r="BZ95" s="13">
        <f>BY95*VLOOKUP('Données projet'!$B$12,Paramètres!$A$1:$I$89,3,0)*VLOOKUP('Données projet'!$B$12,Paramètres!$A$1:$I$89,5,0)</f>
        <v>2.5420376914553347E-13</v>
      </c>
      <c r="CA95" s="13">
        <f t="shared" si="93"/>
        <v>3.4258699088369875E-12</v>
      </c>
      <c r="CB95" s="20">
        <f t="shared" si="64"/>
        <v>6.4094616558195571E-12</v>
      </c>
      <c r="CC95" s="59">
        <f t="shared" si="65"/>
        <v>293.33333333333974</v>
      </c>
      <c r="CD95" s="59">
        <f ca="1">AVERAGE(OFFSET($CC$3,0,0,'Données projet'!$E$12+1,1))-AVERAGE(OFFSET($H$3,0,0,'Données projet'!$E$12+1,1))</f>
        <v>401.06118089678654</v>
      </c>
      <c r="CE95" s="59">
        <f t="shared" si="94"/>
        <v>399.58193819355591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3.0105806047629731</v>
      </c>
      <c r="CL95" s="21">
        <f>EXP(-LN(2)/25)*CL94+(1-EXP(-LN(2)/25))/(LN(2)/25)*Calculateur!CG95*Calculateur!CI95*VLOOKUP('Données projet'!$B$12,Paramètres!$A$1:$I$89,3,0)*0.475*44/12</f>
        <v>5.9877774399144439</v>
      </c>
      <c r="CM95" s="21">
        <f>EXP(-LN(2)/2)*CM94+(1-EXP(-LN(2)/2))/(LN(2)/2)*CG95*CJ95*VLOOKUP('Données projet'!$B$12,Paramètres!$A$1:$I$89,3,0)*0.475*44/12</f>
        <v>1.5240984289619652E-8</v>
      </c>
      <c r="CN95" s="22">
        <f t="shared" si="66"/>
        <v>8.9983580599184005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285.77483300338548</v>
      </c>
      <c r="CZ95" s="59">
        <f t="shared" si="96"/>
        <v>320.55212417690637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2.4441077214143392</v>
      </c>
      <c r="DG95" s="21">
        <f>EXP(-LN(2)/25)*DG94+(1-EXP(-LN(2)/25))/(LN(2)/25)*Calculateur!DB95*Calculateur!DD95*VLOOKUP('Données projet'!$B$13,Paramètres!$A$1:$I$89,3,0)*0.475*44/12</f>
        <v>4.9955178830074711</v>
      </c>
      <c r="DH95" s="21">
        <f>EXP(-LN(2)/2)*DH94+(1-EXP(-LN(2)/2))/(LN(2)/2)*DB95*DE95*VLOOKUP('Données projet'!$B$13,Paramètres!$A$1:$I$89,3,0)*0.475*44/12</f>
        <v>1.1362690076656584E-8</v>
      </c>
      <c r="DI95" s="22">
        <f t="shared" si="69"/>
        <v>7.4396256157845002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-5.6843418860808015E-13</v>
      </c>
      <c r="O96" s="13">
        <f>N96*VLOOKUP('Données projet'!$B$9,Paramètres!$A$1:$I$89,3,0)*VLOOKUP('Données projet'!$B$9,Paramètres!$A$1:$I$89,5,0)</f>
        <v>-3.177547114319168E-13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356.67698551373468</v>
      </c>
      <c r="T96" s="59">
        <f t="shared" si="88"/>
        <v>353.21836615408171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1.3117977579450784</v>
      </c>
      <c r="AA96" s="21">
        <f>EXP(-LN(2)/25)*AA95+(1-EXP(-LN(2)/25))/(LN(2)/25)*Calculateur!V96*Calculateur!X96*VLOOKUP('Données projet'!$B$9,Paramètres!$A$1:$I$89,3,0)*0.475*44/12</f>
        <v>5.2604410615823278</v>
      </c>
      <c r="AB96" s="21">
        <f>EXP(-LN(2)/2)*AB95+(1-EXP(-LN(2)/2))/(LN(2)/2)*V96*Y96*VLOOKUP('Données projet'!$B$9,Paramètres!$A$1:$I$89,3,0)*0.475*44/12</f>
        <v>1.0708621342239396E-8</v>
      </c>
      <c r="AC96" s="22">
        <f t="shared" si="57"/>
        <v>6.572238830236028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6.2527760746888816E-13</v>
      </c>
      <c r="AJ96" s="13">
        <f>AI96*VLOOKUP('Données projet'!$B$10,Paramètres!$A$1:$I$89,3,0)*VLOOKUP('Données projet'!$B$10,Paramètres!$A$1:$I$89,5,0)</f>
        <v>3.9017322706058616E-13</v>
      </c>
      <c r="AK96" s="13">
        <f t="shared" si="89"/>
        <v>5.0025007393608908E-12</v>
      </c>
      <c r="AL96" s="20">
        <f t="shared" si="58"/>
        <v>9.3922404915174053E-12</v>
      </c>
      <c r="AM96" s="59">
        <f t="shared" si="59"/>
        <v>293.33333333334269</v>
      </c>
      <c r="AN96" s="59">
        <f ca="1">AVERAGE(OFFSET($AM$3,0,0,'Données projet'!$E$10+1,1))-AVERAGE(OFFSET($H$3,0,0,'Données projet'!$E$10+1,1))</f>
        <v>240.30073883588199</v>
      </c>
      <c r="AO96" s="59">
        <f t="shared" si="90"/>
        <v>263.20351282678843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1.9968168831299258</v>
      </c>
      <c r="AV96" s="21">
        <f>EXP(-LN(2)/25)*AV95+(1-EXP(-LN(2)/25))/(LN(2)/25)*Calculateur!AQ96*Calculateur!AS96*VLOOKUP('Données projet'!$B$10,Paramètres!$A$1:$I$89,3,0)*0.475*44/12</f>
        <v>3.6242254572807013</v>
      </c>
      <c r="AW96" s="21">
        <f>EXP(-LN(2)/2)*AW95+(1-EXP(-LN(2)/2))/(LN(2)/2)*AQ96*AT96*VLOOKUP('Données projet'!$B$10,Paramètres!$A$1:$I$89,3,0)*0.475*44/12</f>
        <v>6.6482753308319615E-9</v>
      </c>
      <c r="AX96" s="21">
        <f t="shared" si="60"/>
        <v>5.6210423470589026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252.98248842635206</v>
      </c>
      <c r="BJ96" s="59">
        <f t="shared" si="92"/>
        <v>207.11938580878308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4.5474735088646412E-13</v>
      </c>
      <c r="BZ96" s="13">
        <f>BY96*VLOOKUP('Données projet'!$B$12,Paramètres!$A$1:$I$89,3,0)*VLOOKUP('Données projet'!$B$12,Paramètres!$A$1:$I$89,5,0)</f>
        <v>2.5420376914553347E-13</v>
      </c>
      <c r="CA96" s="13">
        <f t="shared" si="93"/>
        <v>3.4258699088369875E-12</v>
      </c>
      <c r="CB96" s="20">
        <f t="shared" si="64"/>
        <v>6.4094616558195571E-12</v>
      </c>
      <c r="CC96" s="59">
        <f t="shared" si="65"/>
        <v>293.33333333333974</v>
      </c>
      <c r="CD96" s="59">
        <f ca="1">AVERAGE(OFFSET($CC$3,0,0,'Données projet'!$E$12+1,1))-AVERAGE(OFFSET($H$3,0,0,'Données projet'!$E$12+1,1))</f>
        <v>401.06118089678654</v>
      </c>
      <c r="CE96" s="59">
        <f t="shared" si="94"/>
        <v>399.58193819355591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2.951544955376423</v>
      </c>
      <c r="CL96" s="21">
        <f>EXP(-LN(2)/25)*CL95+(1-EXP(-LN(2)/25))/(LN(2)/25)*Calculateur!CG96*Calculateur!CI96*VLOOKUP('Données projet'!$B$12,Paramètres!$A$1:$I$89,3,0)*0.475*44/12</f>
        <v>5.8240413509364535</v>
      </c>
      <c r="CM96" s="21">
        <f>EXP(-LN(2)/2)*CM95+(1-EXP(-LN(2)/2))/(LN(2)/2)*CG96*CJ96*VLOOKUP('Données projet'!$B$12,Paramètres!$A$1:$I$89,3,0)*0.475*44/12</f>
        <v>1.0777003343147692E-8</v>
      </c>
      <c r="CN96" s="22">
        <f t="shared" si="66"/>
        <v>8.7755863170898802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285.77483300338548</v>
      </c>
      <c r="CZ96" s="59">
        <f t="shared" si="96"/>
        <v>320.55212417690637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2.3961802597559139</v>
      </c>
      <c r="DG96" s="21">
        <f>EXP(-LN(2)/25)*DG95+(1-EXP(-LN(2)/25))/(LN(2)/25)*Calculateur!DB96*Calculateur!DD96*VLOOKUP('Données projet'!$B$13,Paramètres!$A$1:$I$89,3,0)*0.475*44/12</f>
        <v>4.8589151837937639</v>
      </c>
      <c r="DH96" s="21">
        <f>EXP(-LN(2)/2)*DH95+(1-EXP(-LN(2)/2))/(LN(2)/2)*DB96*DE96*VLOOKUP('Données projet'!$B$13,Paramètres!$A$1:$I$89,3,0)*0.475*44/12</f>
        <v>8.0346352057249617E-9</v>
      </c>
      <c r="DI96" s="22">
        <f t="shared" si="69"/>
        <v>7.2550954515843129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-5.6843418860808015E-13</v>
      </c>
      <c r="O97" s="13">
        <f>N97*VLOOKUP('Données projet'!$B$9,Paramètres!$A$1:$I$89,3,0)*VLOOKUP('Données projet'!$B$9,Paramètres!$A$1:$I$89,5,0)</f>
        <v>-3.177547114319168E-13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356.67698551373468</v>
      </c>
      <c r="T97" s="59">
        <f t="shared" si="88"/>
        <v>353.21836615408171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1.2860742040294026</v>
      </c>
      <c r="AA97" s="21">
        <f>EXP(-LN(2)/25)*AA96+(1-EXP(-LN(2)/25))/(LN(2)/25)*Calculateur!V97*Calculateur!X97*VLOOKUP('Données projet'!$B$9,Paramètres!$A$1:$I$89,3,0)*0.475*44/12</f>
        <v>5.1165940241187862</v>
      </c>
      <c r="AB97" s="21">
        <f>EXP(-LN(2)/2)*AB96+(1-EXP(-LN(2)/2))/(LN(2)/2)*V97*Y97*VLOOKUP('Données projet'!$B$9,Paramètres!$A$1:$I$89,3,0)*0.475*44/12</f>
        <v>7.5721387682564654E-9</v>
      </c>
      <c r="AC97" s="22">
        <f t="shared" si="57"/>
        <v>6.4026682357203271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6.2527760746888816E-13</v>
      </c>
      <c r="AJ97" s="13">
        <f>AI97*VLOOKUP('Données projet'!$B$10,Paramètres!$A$1:$I$89,3,0)*VLOOKUP('Données projet'!$B$10,Paramètres!$A$1:$I$89,5,0)</f>
        <v>3.9017322706058616E-13</v>
      </c>
      <c r="AK97" s="13">
        <f t="shared" si="89"/>
        <v>5.0025007393608908E-12</v>
      </c>
      <c r="AL97" s="20">
        <f t="shared" si="58"/>
        <v>9.3922404915174053E-12</v>
      </c>
      <c r="AM97" s="59">
        <f t="shared" si="59"/>
        <v>293.33333333334269</v>
      </c>
      <c r="AN97" s="59">
        <f ca="1">AVERAGE(OFFSET($AM$3,0,0,'Données projet'!$E$10+1,1))-AVERAGE(OFFSET($H$3,0,0,'Données projet'!$E$10+1,1))</f>
        <v>240.30073883588199</v>
      </c>
      <c r="AO97" s="59">
        <f t="shared" si="90"/>
        <v>263.20351282678843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1.9576605219897854</v>
      </c>
      <c r="AV97" s="21">
        <f>EXP(-LN(2)/25)*AV96+(1-EXP(-LN(2)/25))/(LN(2)/25)*Calculateur!AQ97*Calculateur!AS97*VLOOKUP('Données projet'!$B$10,Paramètres!$A$1:$I$89,3,0)*0.475*44/12</f>
        <v>3.525120821561627</v>
      </c>
      <c r="AW97" s="21">
        <f>EXP(-LN(2)/2)*AW96+(1-EXP(-LN(2)/2))/(LN(2)/2)*AQ97*AT97*VLOOKUP('Données projet'!$B$10,Paramètres!$A$1:$I$89,3,0)*0.475*44/12</f>
        <v>4.7010405696265176E-9</v>
      </c>
      <c r="AX97" s="21">
        <f t="shared" si="60"/>
        <v>5.4827813482524528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252.98248842635206</v>
      </c>
      <c r="BJ97" s="59">
        <f t="shared" si="92"/>
        <v>207.11938580878308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4.5474735088646412E-13</v>
      </c>
      <c r="BZ97" s="13">
        <f>BY97*VLOOKUP('Données projet'!$B$12,Paramètres!$A$1:$I$89,3,0)*VLOOKUP('Données projet'!$B$12,Paramètres!$A$1:$I$89,5,0)</f>
        <v>2.5420376914553347E-13</v>
      </c>
      <c r="CA97" s="13">
        <f t="shared" si="93"/>
        <v>3.4258699088369875E-12</v>
      </c>
      <c r="CB97" s="20">
        <f t="shared" si="64"/>
        <v>6.4094616558195571E-12</v>
      </c>
      <c r="CC97" s="59">
        <f t="shared" si="65"/>
        <v>293.33333333333974</v>
      </c>
      <c r="CD97" s="59">
        <f ca="1">AVERAGE(OFFSET($CC$3,0,0,'Données projet'!$E$12+1,1))-AVERAGE(OFFSET($H$3,0,0,'Données projet'!$E$12+1,1))</f>
        <v>401.06118089678654</v>
      </c>
      <c r="CE97" s="59">
        <f t="shared" si="94"/>
        <v>399.58193819355591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2.8936669590661528</v>
      </c>
      <c r="CL97" s="21">
        <f>EXP(-LN(2)/25)*CL96+(1-EXP(-LN(2)/25))/(LN(2)/25)*Calculateur!CG97*Calculateur!CI97*VLOOKUP('Données projet'!$B$12,Paramètres!$A$1:$I$89,3,0)*0.475*44/12</f>
        <v>5.6647826339220728</v>
      </c>
      <c r="CM97" s="21">
        <f>EXP(-LN(2)/2)*CM96+(1-EXP(-LN(2)/2))/(LN(2)/2)*CG97*CJ97*VLOOKUP('Données projet'!$B$12,Paramètres!$A$1:$I$89,3,0)*0.475*44/12</f>
        <v>7.6204921448098258E-9</v>
      </c>
      <c r="CN97" s="22">
        <f t="shared" si="66"/>
        <v>8.5584496006087178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285.77483300338548</v>
      </c>
      <c r="CZ97" s="59">
        <f t="shared" si="96"/>
        <v>320.55212417690637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2.3491926263877452</v>
      </c>
      <c r="DG97" s="21">
        <f>EXP(-LN(2)/25)*DG96+(1-EXP(-LN(2)/25))/(LN(2)/25)*Calculateur!DB97*Calculateur!DD97*VLOOKUP('Données projet'!$B$13,Paramètres!$A$1:$I$89,3,0)*0.475*44/12</f>
        <v>4.7260478925736793</v>
      </c>
      <c r="DH97" s="21">
        <f>EXP(-LN(2)/2)*DH96+(1-EXP(-LN(2)/2))/(LN(2)/2)*DB97*DE97*VLOOKUP('Données projet'!$B$13,Paramètres!$A$1:$I$89,3,0)*0.475*44/12</f>
        <v>5.6813450383282918E-9</v>
      </c>
      <c r="DI97" s="22">
        <f t="shared" si="69"/>
        <v>7.0752405246427692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-5.6843418860808015E-13</v>
      </c>
      <c r="O98" s="13">
        <f>N98*VLOOKUP('Données projet'!$B$9,Paramètres!$A$1:$I$89,3,0)*VLOOKUP('Données projet'!$B$9,Paramètres!$A$1:$I$89,5,0)</f>
        <v>-3.177547114319168E-13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356.67698551373468</v>
      </c>
      <c r="T98" s="59">
        <f t="shared" si="88"/>
        <v>353.21836615408171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1.2608550733161947</v>
      </c>
      <c r="AA98" s="21">
        <f>EXP(-LN(2)/25)*AA97+(1-EXP(-LN(2)/25))/(LN(2)/25)*Calculateur!V98*Calculateur!X98*VLOOKUP('Données projet'!$B$9,Paramètres!$A$1:$I$89,3,0)*0.475*44/12</f>
        <v>4.9766804914592724</v>
      </c>
      <c r="AB98" s="21">
        <f>EXP(-LN(2)/2)*AB97+(1-EXP(-LN(2)/2))/(LN(2)/2)*V98*Y98*VLOOKUP('Données projet'!$B$9,Paramètres!$A$1:$I$89,3,0)*0.475*44/12</f>
        <v>5.3543106711196979E-9</v>
      </c>
      <c r="AC98" s="22">
        <f t="shared" si="57"/>
        <v>6.2375355701297774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6.2527760746888816E-13</v>
      </c>
      <c r="AJ98" s="13">
        <f>AI98*VLOOKUP('Données projet'!$B$10,Paramètres!$A$1:$I$89,3,0)*VLOOKUP('Données projet'!$B$10,Paramètres!$A$1:$I$89,5,0)</f>
        <v>3.9017322706058616E-13</v>
      </c>
      <c r="AK98" s="13">
        <f t="shared" si="89"/>
        <v>5.0025007393608908E-12</v>
      </c>
      <c r="AL98" s="20">
        <f t="shared" si="58"/>
        <v>9.3922404915174053E-12</v>
      </c>
      <c r="AM98" s="59">
        <f t="shared" si="59"/>
        <v>293.33333333334269</v>
      </c>
      <c r="AN98" s="59">
        <f ca="1">AVERAGE(OFFSET($AM$3,0,0,'Données projet'!$E$10+1,1))-AVERAGE(OFFSET($H$3,0,0,'Données projet'!$E$10+1,1))</f>
        <v>240.30073883588199</v>
      </c>
      <c r="AO98" s="59">
        <f t="shared" si="90"/>
        <v>263.20351282678843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1.9192719932085809</v>
      </c>
      <c r="AV98" s="21">
        <f>EXP(-LN(2)/25)*AV97+(1-EXP(-LN(2)/25))/(LN(2)/25)*Calculateur!AQ98*Calculateur!AS98*VLOOKUP('Données projet'!$B$10,Paramètres!$A$1:$I$89,3,0)*0.475*44/12</f>
        <v>3.4287262073179772</v>
      </c>
      <c r="AW98" s="21">
        <f>EXP(-LN(2)/2)*AW97+(1-EXP(-LN(2)/2))/(LN(2)/2)*AQ98*AT98*VLOOKUP('Données projet'!$B$10,Paramètres!$A$1:$I$89,3,0)*0.475*44/12</f>
        <v>3.3241376654159808E-9</v>
      </c>
      <c r="AX98" s="21">
        <f t="shared" si="60"/>
        <v>5.347998203850695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252.98248842635206</v>
      </c>
      <c r="BJ98" s="59">
        <f t="shared" si="92"/>
        <v>207.11938580878308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4.5474735088646412E-13</v>
      </c>
      <c r="BZ98" s="13">
        <f>BY98*VLOOKUP('Données projet'!$B$12,Paramètres!$A$1:$I$89,3,0)*VLOOKUP('Données projet'!$B$12,Paramètres!$A$1:$I$89,5,0)</f>
        <v>2.5420376914553347E-13</v>
      </c>
      <c r="CA98" s="13">
        <f t="shared" si="93"/>
        <v>3.4258699088369875E-12</v>
      </c>
      <c r="CB98" s="20">
        <f t="shared" si="64"/>
        <v>6.4094616558195571E-12</v>
      </c>
      <c r="CC98" s="59">
        <f t="shared" si="65"/>
        <v>293.33333333333974</v>
      </c>
      <c r="CD98" s="59">
        <f ca="1">AVERAGE(OFFSET($CC$3,0,0,'Données projet'!$E$12+1,1))-AVERAGE(OFFSET($H$3,0,0,'Données projet'!$E$12+1,1))</f>
        <v>401.06118089678654</v>
      </c>
      <c r="CE98" s="59">
        <f t="shared" si="94"/>
        <v>399.58193819355591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2.8369239149614351</v>
      </c>
      <c r="CL98" s="21">
        <f>EXP(-LN(2)/25)*CL97+(1-EXP(-LN(2)/25))/(LN(2)/25)*Calculateur!CG98*Calculateur!CI98*VLOOKUP('Données projet'!$B$12,Paramètres!$A$1:$I$89,3,0)*0.475*44/12</f>
        <v>5.5098788548995019</v>
      </c>
      <c r="CM98" s="21">
        <f>EXP(-LN(2)/2)*CM97+(1-EXP(-LN(2)/2))/(LN(2)/2)*CG98*CJ98*VLOOKUP('Données projet'!$B$12,Paramètres!$A$1:$I$89,3,0)*0.475*44/12</f>
        <v>5.3885016715738459E-9</v>
      </c>
      <c r="CN98" s="22">
        <f t="shared" si="66"/>
        <v>8.3468027752494383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285.77483300338548</v>
      </c>
      <c r="CZ98" s="59">
        <f t="shared" si="96"/>
        <v>320.55212417690637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2.3031263918503</v>
      </c>
      <c r="DG98" s="21">
        <f>EXP(-LN(2)/25)*DG97+(1-EXP(-LN(2)/25))/(LN(2)/25)*Calculateur!DB98*Calculateur!DD98*VLOOKUP('Données projet'!$B$13,Paramètres!$A$1:$I$89,3,0)*0.475*44/12</f>
        <v>4.5968138644191949</v>
      </c>
      <c r="DH98" s="21">
        <f>EXP(-LN(2)/2)*DH97+(1-EXP(-LN(2)/2))/(LN(2)/2)*DB98*DE98*VLOOKUP('Données projet'!$B$13,Paramètres!$A$1:$I$89,3,0)*0.475*44/12</f>
        <v>4.0173176028624808E-9</v>
      </c>
      <c r="DI98" s="22">
        <f t="shared" si="69"/>
        <v>6.8999402602868134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-5.6843418860808015E-13</v>
      </c>
      <c r="O99" s="13">
        <f>N99*VLOOKUP('Données projet'!$B$9,Paramètres!$A$1:$I$89,3,0)*VLOOKUP('Données projet'!$B$9,Paramètres!$A$1:$I$89,5,0)</f>
        <v>-3.177547114319168E-13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356.67698551373468</v>
      </c>
      <c r="T99" s="59">
        <f t="shared" si="88"/>
        <v>353.21836615408171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1.2361304743741219</v>
      </c>
      <c r="AA99" s="21">
        <f>EXP(-LN(2)/25)*AA98+(1-EXP(-LN(2)/25))/(LN(2)/25)*Calculateur!V99*Calculateur!X99*VLOOKUP('Données projet'!$B$9,Paramètres!$A$1:$I$89,3,0)*0.475*44/12</f>
        <v>4.8405929017080656</v>
      </c>
      <c r="AB99" s="21">
        <f>EXP(-LN(2)/2)*AB98+(1-EXP(-LN(2)/2))/(LN(2)/2)*V99*Y99*VLOOKUP('Données projet'!$B$9,Paramètres!$A$1:$I$89,3,0)*0.475*44/12</f>
        <v>3.7860693841282327E-9</v>
      </c>
      <c r="AC99" s="22">
        <f t="shared" si="57"/>
        <v>6.0767233798682563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6.2527760746888816E-13</v>
      </c>
      <c r="AJ99" s="13">
        <f>AI99*VLOOKUP('Données projet'!$B$10,Paramètres!$A$1:$I$89,3,0)*VLOOKUP('Données projet'!$B$10,Paramètres!$A$1:$I$89,5,0)</f>
        <v>3.9017322706058616E-13</v>
      </c>
      <c r="AK99" s="13">
        <f t="shared" si="89"/>
        <v>5.0025007393608908E-12</v>
      </c>
      <c r="AL99" s="20">
        <f t="shared" si="58"/>
        <v>9.3922404915174053E-12</v>
      </c>
      <c r="AM99" s="59">
        <f t="shared" si="59"/>
        <v>293.33333333334269</v>
      </c>
      <c r="AN99" s="59">
        <f ca="1">AVERAGE(OFFSET($AM$3,0,0,'Données projet'!$E$10+1,1))-AVERAGE(OFFSET($H$3,0,0,'Données projet'!$E$10+1,1))</f>
        <v>240.30073883588199</v>
      </c>
      <c r="AO99" s="59">
        <f t="shared" si="90"/>
        <v>263.20351282678843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1.8816362400620854</v>
      </c>
      <c r="AV99" s="21">
        <f>EXP(-LN(2)/25)*AV98+(1-EXP(-LN(2)/25))/(LN(2)/25)*Calculateur!AQ99*Calculateur!AS99*VLOOKUP('Données projet'!$B$10,Paramètres!$A$1:$I$89,3,0)*0.475*44/12</f>
        <v>3.3349675088699922</v>
      </c>
      <c r="AW99" s="21">
        <f>EXP(-LN(2)/2)*AW98+(1-EXP(-LN(2)/2))/(LN(2)/2)*AQ99*AT99*VLOOKUP('Données projet'!$B$10,Paramètres!$A$1:$I$89,3,0)*0.475*44/12</f>
        <v>2.3505202848132588E-9</v>
      </c>
      <c r="AX99" s="21">
        <f t="shared" si="60"/>
        <v>5.216603751282598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252.98248842635206</v>
      </c>
      <c r="BJ99" s="59">
        <f t="shared" si="92"/>
        <v>207.11938580878308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4.5474735088646412E-13</v>
      </c>
      <c r="BZ99" s="13">
        <f>BY99*VLOOKUP('Données projet'!$B$12,Paramètres!$A$1:$I$89,3,0)*VLOOKUP('Données projet'!$B$12,Paramètres!$A$1:$I$89,5,0)</f>
        <v>2.5420376914553347E-13</v>
      </c>
      <c r="CA99" s="13">
        <f t="shared" si="93"/>
        <v>3.4258699088369875E-12</v>
      </c>
      <c r="CB99" s="20">
        <f t="shared" si="64"/>
        <v>6.4094616558195571E-12</v>
      </c>
      <c r="CC99" s="59">
        <f t="shared" si="65"/>
        <v>293.33333333333974</v>
      </c>
      <c r="CD99" s="59">
        <f ca="1">AVERAGE(OFFSET($CC$3,0,0,'Données projet'!$E$12+1,1))-AVERAGE(OFFSET($H$3,0,0,'Données projet'!$E$12+1,1))</f>
        <v>401.06118089678654</v>
      </c>
      <c r="CE99" s="59">
        <f t="shared" si="94"/>
        <v>399.58193819355591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2.7812935673417716</v>
      </c>
      <c r="CL99" s="21">
        <f>EXP(-LN(2)/25)*CL98+(1-EXP(-LN(2)/25))/(LN(2)/25)*Calculateur!CG99*Calculateur!CI99*VLOOKUP('Données projet'!$B$12,Paramètres!$A$1:$I$89,3,0)*0.475*44/12</f>
        <v>5.3592109278603388</v>
      </c>
      <c r="CM99" s="21">
        <f>EXP(-LN(2)/2)*CM98+(1-EXP(-LN(2)/2))/(LN(2)/2)*CG99*CJ99*VLOOKUP('Données projet'!$B$12,Paramètres!$A$1:$I$89,3,0)*0.475*44/12</f>
        <v>3.8102460724049129E-9</v>
      </c>
      <c r="CN99" s="22">
        <f t="shared" si="66"/>
        <v>8.1405044990123567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285.77483300338548</v>
      </c>
      <c r="CZ99" s="59">
        <f t="shared" si="96"/>
        <v>320.55212417690637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2.2579634880745054</v>
      </c>
      <c r="DG99" s="21">
        <f>EXP(-LN(2)/25)*DG98+(1-EXP(-LN(2)/25))/(LN(2)/25)*Calculateur!DB99*Calculateur!DD99*VLOOKUP('Données projet'!$B$13,Paramètres!$A$1:$I$89,3,0)*0.475*44/12</f>
        <v>4.4711137475607172</v>
      </c>
      <c r="DH99" s="21">
        <f>EXP(-LN(2)/2)*DH98+(1-EXP(-LN(2)/2))/(LN(2)/2)*DB99*DE99*VLOOKUP('Données projet'!$B$13,Paramètres!$A$1:$I$89,3,0)*0.475*44/12</f>
        <v>2.8406725191641459E-9</v>
      </c>
      <c r="DI99" s="22">
        <f t="shared" si="69"/>
        <v>6.7290772384758952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-5.6843418860808015E-13</v>
      </c>
      <c r="O100" s="13">
        <f>N100*VLOOKUP('Données projet'!$B$9,Paramètres!$A$1:$I$89,3,0)*VLOOKUP('Données projet'!$B$9,Paramètres!$A$1:$I$89,5,0)</f>
        <v>-3.177547114319168E-13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356.67698551373468</v>
      </c>
      <c r="T100" s="59">
        <f t="shared" si="88"/>
        <v>353.21836615408171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1.2118907097367868</v>
      </c>
      <c r="AA100" s="21">
        <f>EXP(-LN(2)/25)*AA99+(1-EXP(-LN(2)/25))/(LN(2)/25)*Calculateur!V100*Calculateur!X100*VLOOKUP('Données projet'!$B$9,Paramètres!$A$1:$I$89,3,0)*0.475*44/12</f>
        <v>4.7082266342551415</v>
      </c>
      <c r="AB100" s="21">
        <f>EXP(-LN(2)/2)*AB99+(1-EXP(-LN(2)/2))/(LN(2)/2)*V100*Y100*VLOOKUP('Données projet'!$B$9,Paramètres!$A$1:$I$89,3,0)*0.475*44/12</f>
        <v>2.677155335559849E-9</v>
      </c>
      <c r="AC100" s="22">
        <f t="shared" si="57"/>
        <v>5.920117346669084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6.2527760746888816E-13</v>
      </c>
      <c r="AJ100" s="13">
        <f>AI100*VLOOKUP('Données projet'!$B$10,Paramètres!$A$1:$I$89,3,0)*VLOOKUP('Données projet'!$B$10,Paramètres!$A$1:$I$89,5,0)</f>
        <v>3.9017322706058616E-13</v>
      </c>
      <c r="AK100" s="13">
        <f t="shared" si="89"/>
        <v>5.0025007393608908E-12</v>
      </c>
      <c r="AL100" s="20">
        <f t="shared" si="58"/>
        <v>9.3922404915174053E-12</v>
      </c>
      <c r="AM100" s="59">
        <f t="shared" si="59"/>
        <v>293.33333333334269</v>
      </c>
      <c r="AN100" s="59">
        <f ca="1">AVERAGE(OFFSET($AM$3,0,0,'Données projet'!$E$10+1,1))-AVERAGE(OFFSET($H$3,0,0,'Données projet'!$E$10+1,1))</f>
        <v>240.30073883588199</v>
      </c>
      <c r="AO100" s="59">
        <f t="shared" si="90"/>
        <v>263.20351282678843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1.8447385010792499</v>
      </c>
      <c r="AV100" s="21">
        <f>EXP(-LN(2)/25)*AV99+(1-EXP(-LN(2)/25))/(LN(2)/25)*Calculateur!AQ100*Calculateur!AS100*VLOOKUP('Données projet'!$B$10,Paramètres!$A$1:$I$89,3,0)*0.475*44/12</f>
        <v>3.2437726469616233</v>
      </c>
      <c r="AW100" s="21">
        <f>EXP(-LN(2)/2)*AW99+(1-EXP(-LN(2)/2))/(LN(2)/2)*AQ100*AT100*VLOOKUP('Données projet'!$B$10,Paramètres!$A$1:$I$89,3,0)*0.475*44/12</f>
        <v>1.6620688327079904E-9</v>
      </c>
      <c r="AX100" s="21">
        <f t="shared" si="60"/>
        <v>5.088511149702942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252.98248842635206</v>
      </c>
      <c r="BJ100" s="59">
        <f t="shared" si="92"/>
        <v>207.11938580878308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4.5474735088646412E-13</v>
      </c>
      <c r="BZ100" s="13">
        <f>BY100*VLOOKUP('Données projet'!$B$12,Paramètres!$A$1:$I$89,3,0)*VLOOKUP('Données projet'!$B$12,Paramètres!$A$1:$I$89,5,0)</f>
        <v>2.5420376914553347E-13</v>
      </c>
      <c r="CA100" s="13">
        <f t="shared" si="93"/>
        <v>3.4258699088369875E-12</v>
      </c>
      <c r="CB100" s="20">
        <f t="shared" si="64"/>
        <v>6.4094616558195571E-12</v>
      </c>
      <c r="CC100" s="59">
        <f t="shared" si="65"/>
        <v>293.33333333333974</v>
      </c>
      <c r="CD100" s="59">
        <f ca="1">AVERAGE(OFFSET($CC$3,0,0,'Données projet'!$E$12+1,1))-AVERAGE(OFFSET($H$3,0,0,'Données projet'!$E$12+1,1))</f>
        <v>401.06118089678654</v>
      </c>
      <c r="CE100" s="59">
        <f t="shared" si="94"/>
        <v>399.58193819355591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2.7267540969077677</v>
      </c>
      <c r="CL100" s="21">
        <f>EXP(-LN(2)/25)*CL99+(1-EXP(-LN(2)/25))/(LN(2)/25)*Calculateur!CG100*Calculateur!CI100*VLOOKUP('Données projet'!$B$12,Paramètres!$A$1:$I$89,3,0)*0.475*44/12</f>
        <v>5.2126630232093438</v>
      </c>
      <c r="CM100" s="21">
        <f>EXP(-LN(2)/2)*CM99+(1-EXP(-LN(2)/2))/(LN(2)/2)*CG100*CJ100*VLOOKUP('Données projet'!$B$12,Paramètres!$A$1:$I$89,3,0)*0.475*44/12</f>
        <v>2.6942508357869229E-9</v>
      </c>
      <c r="CN100" s="22">
        <f t="shared" si="66"/>
        <v>7.9394171228113626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285.77483300338548</v>
      </c>
      <c r="CZ100" s="59">
        <f t="shared" si="96"/>
        <v>320.55212417690637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2.2136862012951029</v>
      </c>
      <c r="DG100" s="21">
        <f>EXP(-LN(2)/25)*DG99+(1-EXP(-LN(2)/25))/(LN(2)/25)*Calculateur!DB100*Calculateur!DD100*VLOOKUP('Données projet'!$B$13,Paramètres!$A$1:$I$89,3,0)*0.475*44/12</f>
        <v>4.3488509070080159</v>
      </c>
      <c r="DH100" s="21">
        <f>EXP(-LN(2)/2)*DH99+(1-EXP(-LN(2)/2))/(LN(2)/2)*DB100*DE100*VLOOKUP('Données projet'!$B$13,Paramètres!$A$1:$I$89,3,0)*0.475*44/12</f>
        <v>2.0086588014312404E-9</v>
      </c>
      <c r="DI100" s="22">
        <f t="shared" si="69"/>
        <v>6.5625371103117773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-5.6843418860808015E-13</v>
      </c>
      <c r="O101" s="13">
        <f>N101*VLOOKUP('Données projet'!$B$9,Paramètres!$A$1:$I$89,3,0)*VLOOKUP('Données projet'!$B$9,Paramètres!$A$1:$I$89,5,0)</f>
        <v>-3.177547114319168E-13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356.67698551373468</v>
      </c>
      <c r="T101" s="59">
        <f t="shared" si="88"/>
        <v>353.21836615408171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1.1881262720991934</v>
      </c>
      <c r="AA101" s="21">
        <f>EXP(-LN(2)/25)*AA100+(1-EXP(-LN(2)/25))/(LN(2)/25)*Calculateur!V101*Calculateur!X101*VLOOKUP('Données projet'!$B$9,Paramètres!$A$1:$I$89,3,0)*0.475*44/12</f>
        <v>4.5794799293465571</v>
      </c>
      <c r="AB101" s="21">
        <f>EXP(-LN(2)/2)*AB100+(1-EXP(-LN(2)/2))/(LN(2)/2)*V101*Y101*VLOOKUP('Données projet'!$B$9,Paramètres!$A$1:$I$89,3,0)*0.475*44/12</f>
        <v>1.8930346920641163E-9</v>
      </c>
      <c r="AC101" s="22">
        <f t="shared" si="57"/>
        <v>5.7676062033387856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6.2527760746888816E-13</v>
      </c>
      <c r="AJ101" s="13">
        <f>AI101*VLOOKUP('Données projet'!$B$10,Paramètres!$A$1:$I$89,3,0)*VLOOKUP('Données projet'!$B$10,Paramètres!$A$1:$I$89,5,0)</f>
        <v>3.9017322706058616E-13</v>
      </c>
      <c r="AK101" s="13">
        <f t="shared" si="89"/>
        <v>5.0025007393608908E-12</v>
      </c>
      <c r="AL101" s="20">
        <f t="shared" si="58"/>
        <v>9.3922404915174053E-12</v>
      </c>
      <c r="AM101" s="59">
        <f t="shared" si="59"/>
        <v>293.33333333334269</v>
      </c>
      <c r="AN101" s="59">
        <f ca="1">AVERAGE(OFFSET($AM$3,0,0,'Données projet'!$E$10+1,1))-AVERAGE(OFFSET($H$3,0,0,'Données projet'!$E$10+1,1))</f>
        <v>240.30073883588199</v>
      </c>
      <c r="AO101" s="59">
        <f t="shared" si="90"/>
        <v>263.20351282678843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1.8085643042524693</v>
      </c>
      <c r="AV101" s="21">
        <f>EXP(-LN(2)/25)*AV100+(1-EXP(-LN(2)/25))/(LN(2)/25)*Calculateur!AQ101*Calculateur!AS101*VLOOKUP('Données projet'!$B$10,Paramètres!$A$1:$I$89,3,0)*0.475*44/12</f>
        <v>3.1550715133478677</v>
      </c>
      <c r="AW101" s="21">
        <f>EXP(-LN(2)/2)*AW100+(1-EXP(-LN(2)/2))/(LN(2)/2)*AQ101*AT101*VLOOKUP('Données projet'!$B$10,Paramètres!$A$1:$I$89,3,0)*0.475*44/12</f>
        <v>1.1752601424066294E-9</v>
      </c>
      <c r="AX101" s="21">
        <f t="shared" si="60"/>
        <v>4.9636358187755967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252.98248842635206</v>
      </c>
      <c r="BJ101" s="59">
        <f t="shared" si="92"/>
        <v>207.11938580878308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4.5474735088646412E-13</v>
      </c>
      <c r="BZ101" s="13">
        <f>BY101*VLOOKUP('Données projet'!$B$12,Paramètres!$A$1:$I$89,3,0)*VLOOKUP('Données projet'!$B$12,Paramètres!$A$1:$I$89,5,0)</f>
        <v>2.5420376914553347E-13</v>
      </c>
      <c r="CA101" s="13">
        <f t="shared" si="93"/>
        <v>3.4258699088369875E-12</v>
      </c>
      <c r="CB101" s="20">
        <f t="shared" si="64"/>
        <v>6.4094616558195571E-12</v>
      </c>
      <c r="CC101" s="59">
        <f t="shared" si="65"/>
        <v>293.33333333333974</v>
      </c>
      <c r="CD101" s="59">
        <f ca="1">AVERAGE(OFFSET($CC$3,0,0,'Données projet'!$E$12+1,1))-AVERAGE(OFFSET($H$3,0,0,'Données projet'!$E$12+1,1))</f>
        <v>401.06118089678654</v>
      </c>
      <c r="CE101" s="59">
        <f t="shared" si="94"/>
        <v>399.58193819355591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2.6732841122231825</v>
      </c>
      <c r="CL101" s="21">
        <f>EXP(-LN(2)/25)*CL100+(1-EXP(-LN(2)/25))/(LN(2)/25)*Calculateur!CG101*Calculateur!CI101*VLOOKUP('Données projet'!$B$12,Paramètres!$A$1:$I$89,3,0)*0.475*44/12</f>
        <v>5.07012247871765</v>
      </c>
      <c r="CM101" s="21">
        <f>EXP(-LN(2)/2)*CM100+(1-EXP(-LN(2)/2))/(LN(2)/2)*CG101*CJ101*VLOOKUP('Données projet'!$B$12,Paramètres!$A$1:$I$89,3,0)*0.475*44/12</f>
        <v>1.9051230362024564E-9</v>
      </c>
      <c r="CN101" s="22">
        <f t="shared" si="66"/>
        <v>7.7434065928459557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285.77483300338548</v>
      </c>
      <c r="CZ101" s="59">
        <f t="shared" si="96"/>
        <v>320.55212417690637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2.170277165102966</v>
      </c>
      <c r="DG101" s="21">
        <f>EXP(-LN(2)/25)*DG100+(1-EXP(-LN(2)/25))/(LN(2)/25)*Calculateur!DB101*Calculateur!DD101*VLOOKUP('Données projet'!$B$13,Paramètres!$A$1:$I$89,3,0)*0.475*44/12</f>
        <v>4.2299313502597515</v>
      </c>
      <c r="DH101" s="21">
        <f>EXP(-LN(2)/2)*DH100+(1-EXP(-LN(2)/2))/(LN(2)/2)*DB101*DE101*VLOOKUP('Données projet'!$B$13,Paramètres!$A$1:$I$89,3,0)*0.475*44/12</f>
        <v>1.420336259582073E-9</v>
      </c>
      <c r="DI101" s="22">
        <f t="shared" si="69"/>
        <v>6.4002085167830529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-5.6843418860808015E-13</v>
      </c>
      <c r="O102" s="13">
        <f>N102*VLOOKUP('Données projet'!$B$9,Paramètres!$A$1:$I$89,3,0)*VLOOKUP('Données projet'!$B$9,Paramètres!$A$1:$I$89,5,0)</f>
        <v>-3.177547114319168E-13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356.67698551373468</v>
      </c>
      <c r="T102" s="59">
        <f t="shared" si="88"/>
        <v>353.21836615408171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1.1648278405887975</v>
      </c>
      <c r="AA102" s="21">
        <f>EXP(-LN(2)/25)*AA101+(1-EXP(-LN(2)/25))/(LN(2)/25)*Calculateur!V102*Calculateur!X102*VLOOKUP('Données projet'!$B$9,Paramètres!$A$1:$I$89,3,0)*0.475*44/12</f>
        <v>4.4542538098541922</v>
      </c>
      <c r="AB102" s="21">
        <f>EXP(-LN(2)/2)*AB101+(1-EXP(-LN(2)/2))/(LN(2)/2)*V102*Y102*VLOOKUP('Données projet'!$B$9,Paramètres!$A$1:$I$89,3,0)*0.475*44/12</f>
        <v>1.3385776677799245E-9</v>
      </c>
      <c r="AC102" s="22">
        <f t="shared" si="57"/>
        <v>5.6190816517815669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6.2527760746888816E-13</v>
      </c>
      <c r="AJ102" s="13">
        <f>AI102*VLOOKUP('Données projet'!$B$10,Paramètres!$A$1:$I$89,3,0)*VLOOKUP('Données projet'!$B$10,Paramètres!$A$1:$I$89,5,0)</f>
        <v>3.9017322706058616E-13</v>
      </c>
      <c r="AK102" s="13">
        <f t="shared" si="89"/>
        <v>5.0025007393608908E-12</v>
      </c>
      <c r="AL102" s="20">
        <f t="shared" si="58"/>
        <v>9.3922404915174053E-12</v>
      </c>
      <c r="AM102" s="59">
        <f t="shared" si="59"/>
        <v>293.33333333334269</v>
      </c>
      <c r="AN102" s="59">
        <f ca="1">AVERAGE(OFFSET($AM$3,0,0,'Données projet'!$E$10+1,1))-AVERAGE(OFFSET($H$3,0,0,'Données projet'!$E$10+1,1))</f>
        <v>240.30073883588199</v>
      </c>
      <c r="AO102" s="59">
        <f t="shared" si="90"/>
        <v>263.20351282678843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1.7730994613613804</v>
      </c>
      <c r="AV102" s="21">
        <f>EXP(-LN(2)/25)*AV101+(1-EXP(-LN(2)/25))/(LN(2)/25)*Calculateur!AQ102*Calculateur!AS102*VLOOKUP('Données projet'!$B$10,Paramètres!$A$1:$I$89,3,0)*0.475*44/12</f>
        <v>3.0687959168973702</v>
      </c>
      <c r="AW102" s="21">
        <f>EXP(-LN(2)/2)*AW101+(1-EXP(-LN(2)/2))/(LN(2)/2)*AQ102*AT102*VLOOKUP('Données projet'!$B$10,Paramètres!$A$1:$I$89,3,0)*0.475*44/12</f>
        <v>8.3103441635399519E-10</v>
      </c>
      <c r="AX102" s="21">
        <f t="shared" si="60"/>
        <v>4.8418953790897854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252.98248842635206</v>
      </c>
      <c r="BJ102" s="59">
        <f t="shared" si="92"/>
        <v>207.11938580878308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4.5474735088646412E-13</v>
      </c>
      <c r="BZ102" s="13">
        <f>BY102*VLOOKUP('Données projet'!$B$12,Paramètres!$A$1:$I$89,3,0)*VLOOKUP('Données projet'!$B$12,Paramètres!$A$1:$I$89,5,0)</f>
        <v>2.5420376914553347E-13</v>
      </c>
      <c r="CA102" s="13">
        <f t="shared" si="93"/>
        <v>3.4258699088369875E-12</v>
      </c>
      <c r="CB102" s="20">
        <f t="shared" si="64"/>
        <v>6.4094616558195571E-12</v>
      </c>
      <c r="CC102" s="59">
        <f t="shared" si="65"/>
        <v>293.33333333333974</v>
      </c>
      <c r="CD102" s="59">
        <f ca="1">AVERAGE(OFFSET($CC$3,0,0,'Données projet'!$E$12+1,1))-AVERAGE(OFFSET($H$3,0,0,'Données projet'!$E$12+1,1))</f>
        <v>401.06118089678654</v>
      </c>
      <c r="CE102" s="59">
        <f t="shared" si="94"/>
        <v>399.58193819355591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2.6208626413247917</v>
      </c>
      <c r="CL102" s="21">
        <f>EXP(-LN(2)/25)*CL101+(1-EXP(-LN(2)/25))/(LN(2)/25)*Calculateur!CG102*Calculateur!CI102*VLOOKUP('Données projet'!$B$12,Paramètres!$A$1:$I$89,3,0)*0.475*44/12</f>
        <v>4.9314797129109627</v>
      </c>
      <c r="CM102" s="21">
        <f>EXP(-LN(2)/2)*CM101+(1-EXP(-LN(2)/2))/(LN(2)/2)*CG102*CJ102*VLOOKUP('Données projet'!$B$12,Paramètres!$A$1:$I$89,3,0)*0.475*44/12</f>
        <v>1.3471254178934615E-9</v>
      </c>
      <c r="CN102" s="22">
        <f t="shared" si="66"/>
        <v>7.5523423555828799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285.77483300338548</v>
      </c>
      <c r="CZ102" s="59">
        <f t="shared" si="96"/>
        <v>320.55212417690637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2.1277193536336592</v>
      </c>
      <c r="DG102" s="21">
        <f>EXP(-LN(2)/25)*DG101+(1-EXP(-LN(2)/25))/(LN(2)/25)*Calculateur!DB102*Calculateur!DD102*VLOOKUP('Données projet'!$B$13,Paramètres!$A$1:$I$89,3,0)*0.475*44/12</f>
        <v>4.1142636550444767</v>
      </c>
      <c r="DH102" s="21">
        <f>EXP(-LN(2)/2)*DH101+(1-EXP(-LN(2)/2))/(LN(2)/2)*DB102*DE102*VLOOKUP('Données projet'!$B$13,Paramètres!$A$1:$I$89,3,0)*0.475*44/12</f>
        <v>1.0043294007156202E-9</v>
      </c>
      <c r="DI102" s="22">
        <f t="shared" si="69"/>
        <v>6.2419830096824649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-5.6843418860808015E-13</v>
      </c>
      <c r="O103" s="13">
        <f>N103*VLOOKUP('Données projet'!$B$9,Paramètres!$A$1:$I$89,3,0)*VLOOKUP('Données projet'!$B$9,Paramètres!$A$1:$I$89,5,0)</f>
        <v>-3.177547114319168E-13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356.67698551373468</v>
      </c>
      <c r="T103" s="59">
        <f t="shared" si="88"/>
        <v>353.21836615408171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1.1419862771096805</v>
      </c>
      <c r="AA103" s="21">
        <f>EXP(-LN(2)/25)*AA102+(1-EXP(-LN(2)/25))/(LN(2)/25)*Calculateur!V103*Calculateur!X103*VLOOKUP('Données projet'!$B$9,Paramètres!$A$1:$I$89,3,0)*0.475*44/12</f>
        <v>4.3324520051847015</v>
      </c>
      <c r="AB103" s="21">
        <f>EXP(-LN(2)/2)*AB102+(1-EXP(-LN(2)/2))/(LN(2)/2)*V103*Y103*VLOOKUP('Données projet'!$B$9,Paramètres!$A$1:$I$89,3,0)*0.475*44/12</f>
        <v>9.4651734603205817E-10</v>
      </c>
      <c r="AC103" s="22">
        <f t="shared" si="57"/>
        <v>5.4744382832408993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6.2527760746888816E-13</v>
      </c>
      <c r="AJ103" s="13">
        <f>AI103*VLOOKUP('Données projet'!$B$10,Paramètres!$A$1:$I$89,3,0)*VLOOKUP('Données projet'!$B$10,Paramètres!$A$1:$I$89,5,0)</f>
        <v>3.9017322706058616E-13</v>
      </c>
      <c r="AK103" s="13">
        <f t="shared" si="89"/>
        <v>5.0025007393608908E-12</v>
      </c>
      <c r="AL103" s="20">
        <f t="shared" si="58"/>
        <v>9.3922404915174053E-12</v>
      </c>
      <c r="AM103" s="59">
        <f t="shared" si="59"/>
        <v>293.33333333334269</v>
      </c>
      <c r="AN103" s="59">
        <f ca="1">AVERAGE(OFFSET($AM$3,0,0,'Données projet'!$E$10+1,1))-AVERAGE(OFFSET($H$3,0,0,'Données projet'!$E$10+1,1))</f>
        <v>240.30073883588199</v>
      </c>
      <c r="AO103" s="59">
        <f t="shared" si="90"/>
        <v>263.20351282678843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1.7383300624079676</v>
      </c>
      <c r="AV103" s="21">
        <f>EXP(-LN(2)/25)*AV102+(1-EXP(-LN(2)/25))/(LN(2)/25)*Calculateur!AQ103*Calculateur!AS103*VLOOKUP('Données projet'!$B$10,Paramètres!$A$1:$I$89,3,0)*0.475*44/12</f>
        <v>2.9848795311688483</v>
      </c>
      <c r="AW103" s="21">
        <f>EXP(-LN(2)/2)*AW102+(1-EXP(-LN(2)/2))/(LN(2)/2)*AQ103*AT103*VLOOKUP('Données projet'!$B$10,Paramètres!$A$1:$I$89,3,0)*0.475*44/12</f>
        <v>5.876300712033147E-10</v>
      </c>
      <c r="AX103" s="21">
        <f t="shared" si="60"/>
        <v>4.7232095941644463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252.98248842635206</v>
      </c>
      <c r="BJ103" s="59">
        <f t="shared" si="92"/>
        <v>207.11938580878308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4.5474735088646412E-13</v>
      </c>
      <c r="BZ103" s="13">
        <f>BY103*VLOOKUP('Données projet'!$B$12,Paramètres!$A$1:$I$89,3,0)*VLOOKUP('Données projet'!$B$12,Paramètres!$A$1:$I$89,5,0)</f>
        <v>2.5420376914553347E-13</v>
      </c>
      <c r="CA103" s="13">
        <f t="shared" si="93"/>
        <v>3.4258699088369875E-12</v>
      </c>
      <c r="CB103" s="20">
        <f t="shared" si="64"/>
        <v>6.4094616558195571E-12</v>
      </c>
      <c r="CC103" s="59">
        <f t="shared" si="65"/>
        <v>293.33333333333974</v>
      </c>
      <c r="CD103" s="59">
        <f ca="1">AVERAGE(OFFSET($CC$3,0,0,'Données projet'!$E$12+1,1))-AVERAGE(OFFSET($H$3,0,0,'Données projet'!$E$12+1,1))</f>
        <v>401.06118089678654</v>
      </c>
      <c r="CE103" s="59">
        <f t="shared" si="94"/>
        <v>399.58193819355591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2.5694691234967784</v>
      </c>
      <c r="CL103" s="21">
        <f>EXP(-LN(2)/25)*CL102+(1-EXP(-LN(2)/25))/(LN(2)/25)*Calculateur!CG103*Calculateur!CI103*VLOOKUP('Données projet'!$B$12,Paramètres!$A$1:$I$89,3,0)*0.475*44/12</f>
        <v>4.7966281408261651</v>
      </c>
      <c r="CM103" s="21">
        <f>EXP(-LN(2)/2)*CM102+(1-EXP(-LN(2)/2))/(LN(2)/2)*CG103*CJ103*VLOOKUP('Données projet'!$B$12,Paramètres!$A$1:$I$89,3,0)*0.475*44/12</f>
        <v>9.5256151810122822E-10</v>
      </c>
      <c r="CN103" s="22">
        <f t="shared" si="66"/>
        <v>7.3660972652755055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285.77483300338548</v>
      </c>
      <c r="CZ103" s="59">
        <f t="shared" si="96"/>
        <v>320.55212417690637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2.0859960748895636</v>
      </c>
      <c r="DG103" s="21">
        <f>EXP(-LN(2)/25)*DG102+(1-EXP(-LN(2)/25))/(LN(2)/25)*Calculateur!DB103*Calculateur!DD103*VLOOKUP('Données projet'!$B$13,Paramètres!$A$1:$I$89,3,0)*0.475*44/12</f>
        <v>4.0017588990375632</v>
      </c>
      <c r="DH103" s="21">
        <f>EXP(-LN(2)/2)*DH102+(1-EXP(-LN(2)/2))/(LN(2)/2)*DB103*DE103*VLOOKUP('Données projet'!$B$13,Paramètres!$A$1:$I$89,3,0)*0.475*44/12</f>
        <v>7.1016812979103648E-10</v>
      </c>
      <c r="DI103" s="22">
        <f t="shared" si="69"/>
        <v>6.0877549746372948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-5.6843418860808015E-13</v>
      </c>
      <c r="O104" s="13">
        <f>N104*VLOOKUP('Données projet'!$B$9,Paramètres!$A$1:$I$89,3,0)*VLOOKUP('Données projet'!$B$9,Paramètres!$A$1:$I$89,5,0)</f>
        <v>-3.177547114319168E-13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356.67698551373468</v>
      </c>
      <c r="T104" s="59">
        <f t="shared" si="88"/>
        <v>353.21836615408171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1.1195926227584108</v>
      </c>
      <c r="AA104" s="21">
        <f>EXP(-LN(2)/25)*AA103+(1-EXP(-LN(2)/25))/(LN(2)/25)*Calculateur!V104*Calculateur!X104*VLOOKUP('Données projet'!$B$9,Paramètres!$A$1:$I$89,3,0)*0.475*44/12</f>
        <v>4.2139808772691767</v>
      </c>
      <c r="AB104" s="21">
        <f>EXP(-LN(2)/2)*AB103+(1-EXP(-LN(2)/2))/(LN(2)/2)*V104*Y104*VLOOKUP('Données projet'!$B$9,Paramètres!$A$1:$I$89,3,0)*0.475*44/12</f>
        <v>6.6928883388996224E-10</v>
      </c>
      <c r="AC104" s="22">
        <f t="shared" si="57"/>
        <v>5.3335735006968763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6.2527760746888816E-13</v>
      </c>
      <c r="AJ104" s="13">
        <f>AI104*VLOOKUP('Données projet'!$B$10,Paramètres!$A$1:$I$89,3,0)*VLOOKUP('Données projet'!$B$10,Paramètres!$A$1:$I$89,5,0)</f>
        <v>3.9017322706058616E-13</v>
      </c>
      <c r="AK104" s="13">
        <f t="shared" si="89"/>
        <v>5.0025007393608908E-12</v>
      </c>
      <c r="AL104" s="20">
        <f t="shared" si="58"/>
        <v>9.3922404915174053E-12</v>
      </c>
      <c r="AM104" s="59">
        <f t="shared" si="59"/>
        <v>293.33333333334269</v>
      </c>
      <c r="AN104" s="59">
        <f ca="1">AVERAGE(OFFSET($AM$3,0,0,'Données projet'!$E$10+1,1))-AVERAGE(OFFSET($H$3,0,0,'Données projet'!$E$10+1,1))</f>
        <v>240.30073883588199</v>
      </c>
      <c r="AO104" s="59">
        <f t="shared" si="90"/>
        <v>263.20351282678843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1.7042424701607919</v>
      </c>
      <c r="AV104" s="21">
        <f>EXP(-LN(2)/25)*AV103+(1-EXP(-LN(2)/25))/(LN(2)/25)*Calculateur!AQ104*Calculateur!AS104*VLOOKUP('Données projet'!$B$10,Paramètres!$A$1:$I$89,3,0)*0.475*44/12</f>
        <v>2.9032578434210436</v>
      </c>
      <c r="AW104" s="21">
        <f>EXP(-LN(2)/2)*AW103+(1-EXP(-LN(2)/2))/(LN(2)/2)*AQ104*AT104*VLOOKUP('Données projet'!$B$10,Paramètres!$A$1:$I$89,3,0)*0.475*44/12</f>
        <v>4.1551720817699759E-10</v>
      </c>
      <c r="AX104" s="21">
        <f t="shared" si="60"/>
        <v>4.6075003139973534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252.98248842635206</v>
      </c>
      <c r="BJ104" s="59">
        <f t="shared" si="92"/>
        <v>207.11938580878308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4.5474735088646412E-13</v>
      </c>
      <c r="BZ104" s="13">
        <f>BY104*VLOOKUP('Données projet'!$B$12,Paramètres!$A$1:$I$89,3,0)*VLOOKUP('Données projet'!$B$12,Paramètres!$A$1:$I$89,5,0)</f>
        <v>2.5420376914553347E-13</v>
      </c>
      <c r="CA104" s="13">
        <f t="shared" si="93"/>
        <v>3.4258699088369875E-12</v>
      </c>
      <c r="CB104" s="20">
        <f t="shared" si="64"/>
        <v>6.4094616558195571E-12</v>
      </c>
      <c r="CC104" s="59">
        <f t="shared" si="65"/>
        <v>293.33333333333974</v>
      </c>
      <c r="CD104" s="59">
        <f ca="1">AVERAGE(OFFSET($CC$3,0,0,'Données projet'!$E$12+1,1))-AVERAGE(OFFSET($H$3,0,0,'Données projet'!$E$12+1,1))</f>
        <v>401.06118089678654</v>
      </c>
      <c r="CE104" s="59">
        <f t="shared" si="94"/>
        <v>399.58193819355591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2.5190834012064216</v>
      </c>
      <c r="CL104" s="21">
        <f>EXP(-LN(2)/25)*CL103+(1-EXP(-LN(2)/25))/(LN(2)/25)*Calculateur!CG104*Calculateur!CI104*VLOOKUP('Données projet'!$B$12,Paramètres!$A$1:$I$89,3,0)*0.475*44/12</f>
        <v>4.6654640920715629</v>
      </c>
      <c r="CM104" s="21">
        <f>EXP(-LN(2)/2)*CM103+(1-EXP(-LN(2)/2))/(LN(2)/2)*CG104*CJ104*VLOOKUP('Données projet'!$B$12,Paramètres!$A$1:$I$89,3,0)*0.475*44/12</f>
        <v>6.7356270894673074E-10</v>
      </c>
      <c r="CN104" s="22">
        <f t="shared" si="66"/>
        <v>7.1845474939515466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285.77483300338548</v>
      </c>
      <c r="CZ104" s="59">
        <f t="shared" si="96"/>
        <v>320.55212417690637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2.0450909641929527</v>
      </c>
      <c r="DG104" s="21">
        <f>EXP(-LN(2)/25)*DG103+(1-EXP(-LN(2)/25))/(LN(2)/25)*Calculateur!DB104*Calculateur!DD104*VLOOKUP('Données projet'!$B$13,Paramètres!$A$1:$I$89,3,0)*0.475*44/12</f>
        <v>3.8923305915000266</v>
      </c>
      <c r="DH104" s="21">
        <f>EXP(-LN(2)/2)*DH103+(1-EXP(-LN(2)/2))/(LN(2)/2)*DB104*DE104*VLOOKUP('Données projet'!$B$13,Paramètres!$A$1:$I$89,3,0)*0.475*44/12</f>
        <v>5.0216470035781011E-10</v>
      </c>
      <c r="DI104" s="22">
        <f t="shared" si="69"/>
        <v>5.9374215561951438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-5.6843418860808015E-13</v>
      </c>
      <c r="O105" s="13">
        <f>N105*VLOOKUP('Données projet'!$B$9,Paramètres!$A$1:$I$89,3,0)*VLOOKUP('Données projet'!$B$9,Paramètres!$A$1:$I$89,5,0)</f>
        <v>-3.177547114319168E-13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356.67698551373468</v>
      </c>
      <c r="T105" s="59">
        <f t="shared" si="88"/>
        <v>353.21836615408171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1.0976380943101891</v>
      </c>
      <c r="AA105" s="21">
        <f>EXP(-LN(2)/25)*AA104+(1-EXP(-LN(2)/25))/(LN(2)/25)*Calculateur!V105*Calculateur!X105*VLOOKUP('Données projet'!$B$9,Paramètres!$A$1:$I$89,3,0)*0.475*44/12</f>
        <v>4.0987493485766278</v>
      </c>
      <c r="AB105" s="21">
        <f>EXP(-LN(2)/2)*AB104+(1-EXP(-LN(2)/2))/(LN(2)/2)*V105*Y105*VLOOKUP('Données projet'!$B$9,Paramètres!$A$1:$I$89,3,0)*0.475*44/12</f>
        <v>4.7325867301602909E-10</v>
      </c>
      <c r="AC105" s="22">
        <f t="shared" si="57"/>
        <v>5.1963874433600754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6.2527760746888816E-13</v>
      </c>
      <c r="AJ105" s="13">
        <f>AI105*VLOOKUP('Données projet'!$B$10,Paramètres!$A$1:$I$89,3,0)*VLOOKUP('Données projet'!$B$10,Paramètres!$A$1:$I$89,5,0)</f>
        <v>3.9017322706058616E-13</v>
      </c>
      <c r="AK105" s="13">
        <f t="shared" si="89"/>
        <v>5.0025007393608908E-12</v>
      </c>
      <c r="AL105" s="20">
        <f t="shared" si="58"/>
        <v>9.3922404915174053E-12</v>
      </c>
      <c r="AM105" s="59">
        <f t="shared" si="59"/>
        <v>293.33333333334269</v>
      </c>
      <c r="AN105" s="59">
        <f ca="1">AVERAGE(OFFSET($AM$3,0,0,'Données projet'!$E$10+1,1))-AVERAGE(OFFSET($H$3,0,0,'Données projet'!$E$10+1,1))</f>
        <v>240.30073883588199</v>
      </c>
      <c r="AO105" s="59">
        <f t="shared" si="90"/>
        <v>263.20351282678843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1.6708233148062048</v>
      </c>
      <c r="AV105" s="21">
        <f>EXP(-LN(2)/25)*AV104+(1-EXP(-LN(2)/25))/(LN(2)/25)*Calculateur!AQ105*Calculateur!AS105*VLOOKUP('Données projet'!$B$10,Paramètres!$A$1:$I$89,3,0)*0.475*44/12</f>
        <v>2.8238681050170009</v>
      </c>
      <c r="AW105" s="21">
        <f>EXP(-LN(2)/2)*AW104+(1-EXP(-LN(2)/2))/(LN(2)/2)*AQ105*AT105*VLOOKUP('Données projet'!$B$10,Paramètres!$A$1:$I$89,3,0)*0.475*44/12</f>
        <v>2.9381503560165735E-10</v>
      </c>
      <c r="AX105" s="21">
        <f t="shared" si="60"/>
        <v>4.4946914201170207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252.98248842635206</v>
      </c>
      <c r="BJ105" s="59">
        <f t="shared" si="92"/>
        <v>207.11938580878308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4.5474735088646412E-13</v>
      </c>
      <c r="BZ105" s="13">
        <f>BY105*VLOOKUP('Données projet'!$B$12,Paramètres!$A$1:$I$89,3,0)*VLOOKUP('Données projet'!$B$12,Paramètres!$A$1:$I$89,5,0)</f>
        <v>2.5420376914553347E-13</v>
      </c>
      <c r="CA105" s="13">
        <f t="shared" si="93"/>
        <v>3.4258699088369875E-12</v>
      </c>
      <c r="CB105" s="20">
        <f t="shared" si="64"/>
        <v>6.4094616558195571E-12</v>
      </c>
      <c r="CC105" s="59">
        <f t="shared" si="65"/>
        <v>293.33333333333974</v>
      </c>
      <c r="CD105" s="59">
        <f ca="1">AVERAGE(OFFSET($CC$3,0,0,'Données projet'!$E$12+1,1))-AVERAGE(OFFSET($H$3,0,0,'Données projet'!$E$12+1,1))</f>
        <v>401.06118089678654</v>
      </c>
      <c r="CE105" s="59">
        <f t="shared" si="94"/>
        <v>399.58193819355591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2.4696857121979225</v>
      </c>
      <c r="CL105" s="21">
        <f>EXP(-LN(2)/25)*CL104+(1-EXP(-LN(2)/25))/(LN(2)/25)*Calculateur!CG105*Calculateur!CI105*VLOOKUP('Données projet'!$B$12,Paramètres!$A$1:$I$89,3,0)*0.475*44/12</f>
        <v>4.5378867311277729</v>
      </c>
      <c r="CM105" s="21">
        <f>EXP(-LN(2)/2)*CM104+(1-EXP(-LN(2)/2))/(LN(2)/2)*CG105*CJ105*VLOOKUP('Données projet'!$B$12,Paramètres!$A$1:$I$89,3,0)*0.475*44/12</f>
        <v>4.7628075905061411E-10</v>
      </c>
      <c r="CN105" s="22">
        <f t="shared" si="66"/>
        <v>7.0075724438019762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285.77483300338548</v>
      </c>
      <c r="CZ105" s="59">
        <f t="shared" si="96"/>
        <v>320.55212417690637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2.0049879777674482</v>
      </c>
      <c r="DG105" s="21">
        <f>EXP(-LN(2)/25)*DG104+(1-EXP(-LN(2)/25))/(LN(2)/25)*Calculateur!DB105*Calculateur!DD105*VLOOKUP('Données projet'!$B$13,Paramètres!$A$1:$I$89,3,0)*0.475*44/12</f>
        <v>3.7858946067866888</v>
      </c>
      <c r="DH105" s="21">
        <f>EXP(-LN(2)/2)*DH104+(1-EXP(-LN(2)/2))/(LN(2)/2)*DB105*DE105*VLOOKUP('Données projet'!$B$13,Paramètres!$A$1:$I$89,3,0)*0.475*44/12</f>
        <v>3.5508406489551824E-10</v>
      </c>
      <c r="DI105" s="22">
        <f t="shared" si="69"/>
        <v>5.7908825849092205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-5.6843418860808015E-13</v>
      </c>
      <c r="O106" s="13">
        <f>N106*VLOOKUP('Données projet'!$B$9,Paramètres!$A$1:$I$89,3,0)*VLOOKUP('Données projet'!$B$9,Paramètres!$A$1:$I$89,5,0)</f>
        <v>-3.177547114319168E-13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356.67698551373468</v>
      </c>
      <c r="T106" s="59">
        <f t="shared" si="88"/>
        <v>353.21836615408171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1.0761140807738969</v>
      </c>
      <c r="AA106" s="21">
        <f>EXP(-LN(2)/25)*AA105+(1-EXP(-LN(2)/25))/(LN(2)/25)*Calculateur!V106*Calculateur!X106*VLOOKUP('Données projet'!$B$9,Paramètres!$A$1:$I$89,3,0)*0.475*44/12</f>
        <v>3.9866688320959396</v>
      </c>
      <c r="AB106" s="21">
        <f>EXP(-LN(2)/2)*AB105+(1-EXP(-LN(2)/2))/(LN(2)/2)*V106*Y106*VLOOKUP('Données projet'!$B$9,Paramètres!$A$1:$I$89,3,0)*0.475*44/12</f>
        <v>3.3464441694498112E-10</v>
      </c>
      <c r="AC106" s="22">
        <f t="shared" si="57"/>
        <v>5.0627829132044813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6.2527760746888816E-13</v>
      </c>
      <c r="AJ106" s="13">
        <f>AI106*VLOOKUP('Données projet'!$B$10,Paramètres!$A$1:$I$89,3,0)*VLOOKUP('Données projet'!$B$10,Paramètres!$A$1:$I$89,5,0)</f>
        <v>3.9017322706058616E-13</v>
      </c>
      <c r="AK106" s="13">
        <f t="shared" si="89"/>
        <v>5.0025007393608908E-12</v>
      </c>
      <c r="AL106" s="20">
        <f t="shared" si="58"/>
        <v>9.3922404915174053E-12</v>
      </c>
      <c r="AM106" s="59">
        <f t="shared" si="59"/>
        <v>293.33333333334269</v>
      </c>
      <c r="AN106" s="59">
        <f ca="1">AVERAGE(OFFSET($AM$3,0,0,'Données projet'!$E$10+1,1))-AVERAGE(OFFSET($H$3,0,0,'Données projet'!$E$10+1,1))</f>
        <v>240.30073883588199</v>
      </c>
      <c r="AO106" s="59">
        <f t="shared" si="90"/>
        <v>263.20351282678843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1.6380594887044493</v>
      </c>
      <c r="AV106" s="21">
        <f>EXP(-LN(2)/25)*AV105+(1-EXP(-LN(2)/25))/(LN(2)/25)*Calculateur!AQ106*Calculateur!AS106*VLOOKUP('Données projet'!$B$10,Paramètres!$A$1:$I$89,3,0)*0.475*44/12</f>
        <v>2.7466492831845413</v>
      </c>
      <c r="AW106" s="21">
        <f>EXP(-LN(2)/2)*AW105+(1-EXP(-LN(2)/2))/(LN(2)/2)*AQ106*AT106*VLOOKUP('Données projet'!$B$10,Paramètres!$A$1:$I$89,3,0)*0.475*44/12</f>
        <v>2.077586040884988E-10</v>
      </c>
      <c r="AX106" s="21">
        <f t="shared" si="60"/>
        <v>4.384708772096749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252.98248842635206</v>
      </c>
      <c r="BJ106" s="59">
        <f t="shared" si="92"/>
        <v>207.11938580878308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4.5474735088646412E-13</v>
      </c>
      <c r="BZ106" s="13">
        <f>BY106*VLOOKUP('Données projet'!$B$12,Paramètres!$A$1:$I$89,3,0)*VLOOKUP('Données projet'!$B$12,Paramètres!$A$1:$I$89,5,0)</f>
        <v>2.5420376914553347E-13</v>
      </c>
      <c r="CA106" s="13">
        <f t="shared" si="93"/>
        <v>3.4258699088369875E-12</v>
      </c>
      <c r="CB106" s="20">
        <f t="shared" si="64"/>
        <v>6.4094616558195571E-12</v>
      </c>
      <c r="CC106" s="59">
        <f t="shared" si="65"/>
        <v>293.33333333333974</v>
      </c>
      <c r="CD106" s="59">
        <f ca="1">AVERAGE(OFFSET($CC$3,0,0,'Données projet'!$E$12+1,1))-AVERAGE(OFFSET($H$3,0,0,'Données projet'!$E$12+1,1))</f>
        <v>401.06118089678654</v>
      </c>
      <c r="CE106" s="59">
        <f t="shared" si="94"/>
        <v>399.58193819355591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2.4212566817412653</v>
      </c>
      <c r="CL106" s="21">
        <f>EXP(-LN(2)/25)*CL105+(1-EXP(-LN(2)/25))/(LN(2)/25)*Calculateur!CG106*Calculateur!CI106*VLOOKUP('Données projet'!$B$12,Paramètres!$A$1:$I$89,3,0)*0.475*44/12</f>
        <v>4.4137979798279918</v>
      </c>
      <c r="CM106" s="21">
        <f>EXP(-LN(2)/2)*CM105+(1-EXP(-LN(2)/2))/(LN(2)/2)*CG106*CJ106*VLOOKUP('Données projet'!$B$12,Paramètres!$A$1:$I$89,3,0)*0.475*44/12</f>
        <v>3.3678135447336537E-10</v>
      </c>
      <c r="CN106" s="22">
        <f t="shared" si="66"/>
        <v>6.8350546619060388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285.77483300338548</v>
      </c>
      <c r="CZ106" s="59">
        <f t="shared" si="96"/>
        <v>320.55212417690637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1.9656713864453415</v>
      </c>
      <c r="DG106" s="21">
        <f>EXP(-LN(2)/25)*DG105+(1-EXP(-LN(2)/25))/(LN(2)/25)*Calculateur!DB106*Calculateur!DD106*VLOOKUP('Données projet'!$B$13,Paramètres!$A$1:$I$89,3,0)*0.475*44/12</f>
        <v>3.6823691196725621</v>
      </c>
      <c r="DH106" s="21">
        <f>EXP(-LN(2)/2)*DH105+(1-EXP(-LN(2)/2))/(LN(2)/2)*DB106*DE106*VLOOKUP('Données projet'!$B$13,Paramètres!$A$1:$I$89,3,0)*0.475*44/12</f>
        <v>2.5108235017890505E-10</v>
      </c>
      <c r="DI106" s="22">
        <f t="shared" si="69"/>
        <v>5.6480405063689858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-5.6843418860808015E-13</v>
      </c>
      <c r="O107" s="13">
        <f>N107*VLOOKUP('Données projet'!$B$9,Paramètres!$A$1:$I$89,3,0)*VLOOKUP('Données projet'!$B$9,Paramètres!$A$1:$I$89,5,0)</f>
        <v>-3.177547114319168E-13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356.67698551373468</v>
      </c>
      <c r="T107" s="59">
        <f t="shared" si="88"/>
        <v>353.21836615408171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1.0550121400146995</v>
      </c>
      <c r="AA107" s="21">
        <f>EXP(-LN(2)/25)*AA106+(1-EXP(-LN(2)/25))/(LN(2)/25)*Calculateur!V107*Calculateur!X107*VLOOKUP('Données projet'!$B$9,Paramètres!$A$1:$I$89,3,0)*0.475*44/12</f>
        <v>3.8776531632324738</v>
      </c>
      <c r="AB107" s="21">
        <f>EXP(-LN(2)/2)*AB106+(1-EXP(-LN(2)/2))/(LN(2)/2)*V107*Y107*VLOOKUP('Données projet'!$B$9,Paramètres!$A$1:$I$89,3,0)*0.475*44/12</f>
        <v>2.3662933650801454E-10</v>
      </c>
      <c r="AC107" s="22">
        <f t="shared" si="57"/>
        <v>4.9326653034838026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6.2527760746888816E-13</v>
      </c>
      <c r="AJ107" s="13">
        <f>AI107*VLOOKUP('Données projet'!$B$10,Paramètres!$A$1:$I$89,3,0)*VLOOKUP('Données projet'!$B$10,Paramètres!$A$1:$I$89,5,0)</f>
        <v>3.9017322706058616E-13</v>
      </c>
      <c r="AK107" s="13">
        <f t="shared" si="89"/>
        <v>5.0025007393608908E-12</v>
      </c>
      <c r="AL107" s="20">
        <f t="shared" si="58"/>
        <v>9.3922404915174053E-12</v>
      </c>
      <c r="AM107" s="59">
        <f t="shared" si="59"/>
        <v>293.33333333334269</v>
      </c>
      <c r="AN107" s="59">
        <f ca="1">AVERAGE(OFFSET($AM$3,0,0,'Données projet'!$E$10+1,1))-AVERAGE(OFFSET($H$3,0,0,'Données projet'!$E$10+1,1))</f>
        <v>240.30073883588199</v>
      </c>
      <c r="AO107" s="59">
        <f t="shared" si="90"/>
        <v>263.20351282678843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1.6059381412485885</v>
      </c>
      <c r="AV107" s="21">
        <f>EXP(-LN(2)/25)*AV106+(1-EXP(-LN(2)/25))/(LN(2)/25)*Calculateur!AQ107*Calculateur!AS107*VLOOKUP('Données projet'!$B$10,Paramètres!$A$1:$I$89,3,0)*0.475*44/12</f>
        <v>2.6715420140958517</v>
      </c>
      <c r="AW107" s="21">
        <f>EXP(-LN(2)/2)*AW106+(1-EXP(-LN(2)/2))/(LN(2)/2)*AQ107*AT107*VLOOKUP('Données projet'!$B$10,Paramètres!$A$1:$I$89,3,0)*0.475*44/12</f>
        <v>1.4690751780082868E-10</v>
      </c>
      <c r="AX107" s="21">
        <f t="shared" si="60"/>
        <v>4.2774801554913475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252.98248842635206</v>
      </c>
      <c r="BJ107" s="59">
        <f t="shared" si="92"/>
        <v>207.11938580878308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4.5474735088646412E-13</v>
      </c>
      <c r="BZ107" s="13">
        <f>BY107*VLOOKUP('Données projet'!$B$12,Paramètres!$A$1:$I$89,3,0)*VLOOKUP('Données projet'!$B$12,Paramètres!$A$1:$I$89,5,0)</f>
        <v>2.5420376914553347E-13</v>
      </c>
      <c r="CA107" s="13">
        <f t="shared" si="93"/>
        <v>3.4258699088369875E-12</v>
      </c>
      <c r="CB107" s="20">
        <f t="shared" si="64"/>
        <v>6.4094616558195571E-12</v>
      </c>
      <c r="CC107" s="59">
        <f t="shared" si="65"/>
        <v>293.33333333333974</v>
      </c>
      <c r="CD107" s="59">
        <f ca="1">AVERAGE(OFFSET($CC$3,0,0,'Données projet'!$E$12+1,1))-AVERAGE(OFFSET($H$3,0,0,'Données projet'!$E$12+1,1))</f>
        <v>401.06118089678654</v>
      </c>
      <c r="CE107" s="59">
        <f t="shared" si="94"/>
        <v>399.58193819355591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2.3737773150330712</v>
      </c>
      <c r="CL107" s="21">
        <f>EXP(-LN(2)/25)*CL106+(1-EXP(-LN(2)/25))/(LN(2)/25)*Calculateur!CG107*Calculateur!CI107*VLOOKUP('Données projet'!$B$12,Paramètres!$A$1:$I$89,3,0)*0.475*44/12</f>
        <v>4.2931024419580472</v>
      </c>
      <c r="CM107" s="21">
        <f>EXP(-LN(2)/2)*CM106+(1-EXP(-LN(2)/2))/(LN(2)/2)*CG107*CJ107*VLOOKUP('Données projet'!$B$12,Paramètres!$A$1:$I$89,3,0)*0.475*44/12</f>
        <v>2.3814037952530705E-10</v>
      </c>
      <c r="CN107" s="22">
        <f t="shared" si="66"/>
        <v>6.6668797572292586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285.77483300338548</v>
      </c>
      <c r="CZ107" s="59">
        <f t="shared" si="96"/>
        <v>320.55212417690637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1.9271257694983084</v>
      </c>
      <c r="DG107" s="21">
        <f>EXP(-LN(2)/25)*DG106+(1-EXP(-LN(2)/25))/(LN(2)/25)*Calculateur!DB107*Calculateur!DD107*VLOOKUP('Données projet'!$B$13,Paramètres!$A$1:$I$89,3,0)*0.475*44/12</f>
        <v>3.5816745424477401</v>
      </c>
      <c r="DH107" s="21">
        <f>EXP(-LN(2)/2)*DH106+(1-EXP(-LN(2)/2))/(LN(2)/2)*DB107*DE107*VLOOKUP('Données projet'!$B$13,Paramètres!$A$1:$I$89,3,0)*0.475*44/12</f>
        <v>1.7754203244775912E-10</v>
      </c>
      <c r="DI107" s="22">
        <f t="shared" si="69"/>
        <v>5.5088003121235909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-5.6843418860808015E-13</v>
      </c>
      <c r="O108" s="13">
        <f>N108*VLOOKUP('Données projet'!$B$9,Paramètres!$A$1:$I$89,3,0)*VLOOKUP('Données projet'!$B$9,Paramètres!$A$1:$I$89,5,0)</f>
        <v>-3.177547114319168E-13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356.67698551373468</v>
      </c>
      <c r="T108" s="59">
        <f t="shared" si="88"/>
        <v>353.21836615408171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1.0343239954428769</v>
      </c>
      <c r="AA108" s="21">
        <f>EXP(-LN(2)/25)*AA107+(1-EXP(-LN(2)/25))/(LN(2)/25)*Calculateur!V108*Calculateur!X108*VLOOKUP('Données projet'!$B$9,Paramètres!$A$1:$I$89,3,0)*0.475*44/12</f>
        <v>3.7716185335669645</v>
      </c>
      <c r="AB108" s="21">
        <f>EXP(-LN(2)/2)*AB107+(1-EXP(-LN(2)/2))/(LN(2)/2)*V108*Y108*VLOOKUP('Données projet'!$B$9,Paramètres!$A$1:$I$89,3,0)*0.475*44/12</f>
        <v>1.6732220847249056E-10</v>
      </c>
      <c r="AC108" s="22">
        <f t="shared" si="57"/>
        <v>4.8059425291771634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6.2527760746888816E-13</v>
      </c>
      <c r="AJ108" s="13">
        <f>AI108*VLOOKUP('Données projet'!$B$10,Paramètres!$A$1:$I$89,3,0)*VLOOKUP('Données projet'!$B$10,Paramètres!$A$1:$I$89,5,0)</f>
        <v>3.9017322706058616E-13</v>
      </c>
      <c r="AK108" s="13">
        <f t="shared" si="89"/>
        <v>5.0025007393608908E-12</v>
      </c>
      <c r="AL108" s="20">
        <f t="shared" si="58"/>
        <v>9.3922404915174053E-12</v>
      </c>
      <c r="AM108" s="59">
        <f t="shared" si="59"/>
        <v>293.33333333334269</v>
      </c>
      <c r="AN108" s="59">
        <f ca="1">AVERAGE(OFFSET($AM$3,0,0,'Données projet'!$E$10+1,1))-AVERAGE(OFFSET($H$3,0,0,'Données projet'!$E$10+1,1))</f>
        <v>240.30073883588199</v>
      </c>
      <c r="AO108" s="59">
        <f t="shared" si="90"/>
        <v>263.20351282678843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1.5744466738242497</v>
      </c>
      <c r="AV108" s="21">
        <f>EXP(-LN(2)/25)*AV107+(1-EXP(-LN(2)/25))/(LN(2)/25)*Calculateur!AQ108*Calculateur!AS108*VLOOKUP('Données projet'!$B$10,Paramètres!$A$1:$I$89,3,0)*0.475*44/12</f>
        <v>2.598488557230112</v>
      </c>
      <c r="AW108" s="21">
        <f>EXP(-LN(2)/2)*AW107+(1-EXP(-LN(2)/2))/(LN(2)/2)*AQ108*AT108*VLOOKUP('Données projet'!$B$10,Paramètres!$A$1:$I$89,3,0)*0.475*44/12</f>
        <v>1.038793020442494E-10</v>
      </c>
      <c r="AX108" s="21">
        <f t="shared" si="60"/>
        <v>4.1729352311582417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252.98248842635206</v>
      </c>
      <c r="BJ108" s="59">
        <f t="shared" si="92"/>
        <v>207.11938580878308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4.5474735088646412E-13</v>
      </c>
      <c r="BZ108" s="13">
        <f>BY108*VLOOKUP('Données projet'!$B$12,Paramètres!$A$1:$I$89,3,0)*VLOOKUP('Données projet'!$B$12,Paramètres!$A$1:$I$89,5,0)</f>
        <v>2.5420376914553347E-13</v>
      </c>
      <c r="CA108" s="13">
        <f t="shared" si="93"/>
        <v>3.4258699088369875E-12</v>
      </c>
      <c r="CB108" s="20">
        <f t="shared" si="64"/>
        <v>6.4094616558195571E-12</v>
      </c>
      <c r="CC108" s="59">
        <f t="shared" si="65"/>
        <v>293.33333333333974</v>
      </c>
      <c r="CD108" s="59">
        <f ca="1">AVERAGE(OFFSET($CC$3,0,0,'Données projet'!$E$12+1,1))-AVERAGE(OFFSET($H$3,0,0,'Données projet'!$E$12+1,1))</f>
        <v>401.06118089678654</v>
      </c>
      <c r="CE108" s="59">
        <f t="shared" si="94"/>
        <v>399.58193819355591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2.3272289897464704</v>
      </c>
      <c r="CL108" s="21">
        <f>EXP(-LN(2)/25)*CL107+(1-EXP(-LN(2)/25))/(LN(2)/25)*Calculateur!CG108*Calculateur!CI108*VLOOKUP('Données projet'!$B$12,Paramètres!$A$1:$I$89,3,0)*0.475*44/12</f>
        <v>4.175707329918259</v>
      </c>
      <c r="CM108" s="21">
        <f>EXP(-LN(2)/2)*CM107+(1-EXP(-LN(2)/2))/(LN(2)/2)*CG108*CJ108*VLOOKUP('Données projet'!$B$12,Paramètres!$A$1:$I$89,3,0)*0.475*44/12</f>
        <v>1.6839067723668268E-10</v>
      </c>
      <c r="CN108" s="22">
        <f t="shared" si="66"/>
        <v>6.50293631983312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285.77483300338548</v>
      </c>
      <c r="CZ108" s="59">
        <f t="shared" si="96"/>
        <v>320.55212417690637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1.8893360085891018</v>
      </c>
      <c r="DG108" s="21">
        <f>EXP(-LN(2)/25)*DG107+(1-EXP(-LN(2)/25))/(LN(2)/25)*Calculateur!DB108*Calculateur!DD108*VLOOKUP('Données projet'!$B$13,Paramètres!$A$1:$I$89,3,0)*0.475*44/12</f>
        <v>3.4837334637324284</v>
      </c>
      <c r="DH108" s="21">
        <f>EXP(-LN(2)/2)*DH107+(1-EXP(-LN(2)/2))/(LN(2)/2)*DB108*DE108*VLOOKUP('Données projet'!$B$13,Paramètres!$A$1:$I$89,3,0)*0.475*44/12</f>
        <v>1.2554117508945253E-10</v>
      </c>
      <c r="DI108" s="22">
        <f t="shared" si="69"/>
        <v>5.3730694724470718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-5.6843418860808015E-13</v>
      </c>
      <c r="O109" s="13">
        <f>N109*VLOOKUP('Données projet'!$B$9,Paramètres!$A$1:$I$89,3,0)*VLOOKUP('Données projet'!$B$9,Paramètres!$A$1:$I$89,5,0)</f>
        <v>-3.177547114319168E-13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356.67698551373468</v>
      </c>
      <c r="T109" s="59">
        <f t="shared" si="88"/>
        <v>353.21836615408171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1.0140415327675856</v>
      </c>
      <c r="AA109" s="21">
        <f>EXP(-LN(2)/25)*AA108+(1-EXP(-LN(2)/25))/(LN(2)/25)*Calculateur!V109*Calculateur!X109*VLOOKUP('Données projet'!$B$9,Paramètres!$A$1:$I$89,3,0)*0.475*44/12</f>
        <v>3.6684834264257775</v>
      </c>
      <c r="AB109" s="21">
        <f>EXP(-LN(2)/2)*AB108+(1-EXP(-LN(2)/2))/(LN(2)/2)*V109*Y109*VLOOKUP('Données projet'!$B$9,Paramètres!$A$1:$I$89,3,0)*0.475*44/12</f>
        <v>1.1831466825400727E-10</v>
      </c>
      <c r="AC109" s="22">
        <f t="shared" si="57"/>
        <v>4.6825249593116771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6.2527760746888816E-13</v>
      </c>
      <c r="AJ109" s="13">
        <f>AI109*VLOOKUP('Données projet'!$B$10,Paramètres!$A$1:$I$89,3,0)*VLOOKUP('Données projet'!$B$10,Paramètres!$A$1:$I$89,5,0)</f>
        <v>3.9017322706058616E-13</v>
      </c>
      <c r="AK109" s="13">
        <f t="shared" si="89"/>
        <v>5.0025007393608908E-12</v>
      </c>
      <c r="AL109" s="20">
        <f t="shared" si="58"/>
        <v>9.3922404915174053E-12</v>
      </c>
      <c r="AM109" s="59">
        <f t="shared" si="59"/>
        <v>293.33333333334269</v>
      </c>
      <c r="AN109" s="59">
        <f ca="1">AVERAGE(OFFSET($AM$3,0,0,'Données projet'!$E$10+1,1))-AVERAGE(OFFSET($H$3,0,0,'Données projet'!$E$10+1,1))</f>
        <v>240.30073883588199</v>
      </c>
      <c r="AO109" s="59">
        <f t="shared" si="90"/>
        <v>263.20351282678843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1.5435727348682038</v>
      </c>
      <c r="AV109" s="21">
        <f>EXP(-LN(2)/25)*AV108+(1-EXP(-LN(2)/25))/(LN(2)/25)*Calculateur!AQ109*Calculateur!AS109*VLOOKUP('Données projet'!$B$10,Paramètres!$A$1:$I$89,3,0)*0.475*44/12</f>
        <v>2.5274327509840804</v>
      </c>
      <c r="AW109" s="21">
        <f>EXP(-LN(2)/2)*AW108+(1-EXP(-LN(2)/2))/(LN(2)/2)*AQ109*AT109*VLOOKUP('Données projet'!$B$10,Paramètres!$A$1:$I$89,3,0)*0.475*44/12</f>
        <v>7.3453758900414338E-11</v>
      </c>
      <c r="AX109" s="21">
        <f t="shared" si="60"/>
        <v>4.0710054859257383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252.98248842635206</v>
      </c>
      <c r="BJ109" s="59">
        <f t="shared" si="92"/>
        <v>207.11938580878308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4.5474735088646412E-13</v>
      </c>
      <c r="BZ109" s="13">
        <f>BY109*VLOOKUP('Données projet'!$B$12,Paramètres!$A$1:$I$89,3,0)*VLOOKUP('Données projet'!$B$12,Paramètres!$A$1:$I$89,5,0)</f>
        <v>2.5420376914553347E-13</v>
      </c>
      <c r="CA109" s="13">
        <f t="shared" si="93"/>
        <v>3.4258699088369875E-12</v>
      </c>
      <c r="CB109" s="20">
        <f t="shared" si="64"/>
        <v>6.4094616558195571E-12</v>
      </c>
      <c r="CC109" s="59">
        <f t="shared" si="65"/>
        <v>293.33333333333974</v>
      </c>
      <c r="CD109" s="59">
        <f ca="1">AVERAGE(OFFSET($CC$3,0,0,'Données projet'!$E$12+1,1))-AVERAGE(OFFSET($H$3,0,0,'Données projet'!$E$12+1,1))</f>
        <v>401.06118089678654</v>
      </c>
      <c r="CE109" s="59">
        <f t="shared" si="94"/>
        <v>399.58193819355591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2.2815934487270648</v>
      </c>
      <c r="CL109" s="21">
        <f>EXP(-LN(2)/25)*CL108+(1-EXP(-LN(2)/25))/(LN(2)/25)*Calculateur!CG109*Calculateur!CI109*VLOOKUP('Données projet'!$B$12,Paramètres!$A$1:$I$89,3,0)*0.475*44/12</f>
        <v>4.0615223933907396</v>
      </c>
      <c r="CM109" s="21">
        <f>EXP(-LN(2)/2)*CM108+(1-EXP(-LN(2)/2))/(LN(2)/2)*CG109*CJ109*VLOOKUP('Données projet'!$B$12,Paramètres!$A$1:$I$89,3,0)*0.475*44/12</f>
        <v>1.1907018976265353E-10</v>
      </c>
      <c r="CN109" s="22">
        <f t="shared" si="66"/>
        <v>6.3431158422368741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285.77483300338548</v>
      </c>
      <c r="CZ109" s="59">
        <f t="shared" si="96"/>
        <v>320.55212417690637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1.8522872818418465</v>
      </c>
      <c r="DG109" s="21">
        <f>EXP(-LN(2)/25)*DG108+(1-EXP(-LN(2)/25))/(LN(2)/25)*Calculateur!DB109*Calculateur!DD109*VLOOKUP('Données projet'!$B$13,Paramètres!$A$1:$I$89,3,0)*0.475*44/12</f>
        <v>3.3884705889650846</v>
      </c>
      <c r="DH109" s="21">
        <f>EXP(-LN(2)/2)*DH108+(1-EXP(-LN(2)/2))/(LN(2)/2)*DB109*DE109*VLOOKUP('Données projet'!$B$13,Paramètres!$A$1:$I$89,3,0)*0.475*44/12</f>
        <v>8.877101622387956E-11</v>
      </c>
      <c r="DI109" s="22">
        <f t="shared" si="69"/>
        <v>5.2407578708957017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-5.6843418860808015E-13</v>
      </c>
      <c r="O110" s="13">
        <f>N110*VLOOKUP('Données projet'!$B$9,Paramètres!$A$1:$I$89,3,0)*VLOOKUP('Données projet'!$B$9,Paramètres!$A$1:$I$89,5,0)</f>
        <v>-3.177547114319168E-13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356.67698551373468</v>
      </c>
      <c r="T110" s="59">
        <f t="shared" si="88"/>
        <v>353.21836615408171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0.99415679681427593</v>
      </c>
      <c r="AA110" s="21">
        <f>EXP(-LN(2)/25)*AA109+(1-EXP(-LN(2)/25))/(LN(2)/25)*Calculateur!V110*Calculateur!X110*VLOOKUP('Données projet'!$B$9,Paramètres!$A$1:$I$89,3,0)*0.475*44/12</f>
        <v>3.5681685542130057</v>
      </c>
      <c r="AB110" s="21">
        <f>EXP(-LN(2)/2)*AB109+(1-EXP(-LN(2)/2))/(LN(2)/2)*V110*Y110*VLOOKUP('Données projet'!$B$9,Paramètres!$A$1:$I$89,3,0)*0.475*44/12</f>
        <v>8.366110423624528E-11</v>
      </c>
      <c r="AC110" s="22">
        <f t="shared" si="57"/>
        <v>4.5623253511109425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6.2527760746888816E-13</v>
      </c>
      <c r="AJ110" s="13">
        <f>AI110*VLOOKUP('Données projet'!$B$10,Paramètres!$A$1:$I$89,3,0)*VLOOKUP('Données projet'!$B$10,Paramètres!$A$1:$I$89,5,0)</f>
        <v>3.9017322706058616E-13</v>
      </c>
      <c r="AK110" s="13">
        <f t="shared" si="89"/>
        <v>5.0025007393608908E-12</v>
      </c>
      <c r="AL110" s="20">
        <f t="shared" si="58"/>
        <v>9.3922404915174053E-12</v>
      </c>
      <c r="AM110" s="59">
        <f t="shared" si="59"/>
        <v>293.33333333334269</v>
      </c>
      <c r="AN110" s="59">
        <f ca="1">AVERAGE(OFFSET($AM$3,0,0,'Données projet'!$E$10+1,1))-AVERAGE(OFFSET($H$3,0,0,'Données projet'!$E$10+1,1))</f>
        <v>240.30073883588199</v>
      </c>
      <c r="AO110" s="59">
        <f t="shared" si="90"/>
        <v>263.20351282678843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1.5133042150238425</v>
      </c>
      <c r="AV110" s="21">
        <f>EXP(-LN(2)/25)*AV109+(1-EXP(-LN(2)/25))/(LN(2)/25)*Calculateur!AQ110*Calculateur!AS110*VLOOKUP('Données projet'!$B$10,Paramètres!$A$1:$I$89,3,0)*0.475*44/12</f>
        <v>2.4583199694965088</v>
      </c>
      <c r="AW110" s="21">
        <f>EXP(-LN(2)/2)*AW109+(1-EXP(-LN(2)/2))/(LN(2)/2)*AQ110*AT110*VLOOKUP('Données projet'!$B$10,Paramètres!$A$1:$I$89,3,0)*0.475*44/12</f>
        <v>5.1939651022124699E-11</v>
      </c>
      <c r="AX110" s="21">
        <f t="shared" si="60"/>
        <v>3.971624184572291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252.98248842635206</v>
      </c>
      <c r="BJ110" s="59">
        <f t="shared" si="92"/>
        <v>207.11938580878308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4.5474735088646412E-13</v>
      </c>
      <c r="BZ110" s="13">
        <f>BY110*VLOOKUP('Données projet'!$B$12,Paramètres!$A$1:$I$89,3,0)*VLOOKUP('Données projet'!$B$12,Paramètres!$A$1:$I$89,5,0)</f>
        <v>2.5420376914553347E-13</v>
      </c>
      <c r="CA110" s="13">
        <f t="shared" si="93"/>
        <v>3.4258699088369875E-12</v>
      </c>
      <c r="CB110" s="20">
        <f t="shared" si="64"/>
        <v>6.4094616558195571E-12</v>
      </c>
      <c r="CC110" s="59">
        <f t="shared" si="65"/>
        <v>293.33333333333974</v>
      </c>
      <c r="CD110" s="59">
        <f ca="1">AVERAGE(OFFSET($CC$3,0,0,'Données projet'!$E$12+1,1))-AVERAGE(OFFSET($H$3,0,0,'Données projet'!$E$12+1,1))</f>
        <v>401.06118089678654</v>
      </c>
      <c r="CE110" s="59">
        <f t="shared" si="94"/>
        <v>399.58193819355591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2.2368527928321185</v>
      </c>
      <c r="CL110" s="21">
        <f>EXP(-LN(2)/25)*CL109+(1-EXP(-LN(2)/25))/(LN(2)/25)*Calculateur!CG110*Calculateur!CI110*VLOOKUP('Données projet'!$B$12,Paramètres!$A$1:$I$89,3,0)*0.475*44/12</f>
        <v>3.9504598499572898</v>
      </c>
      <c r="CM110" s="21">
        <f>EXP(-LN(2)/2)*CM109+(1-EXP(-LN(2)/2))/(LN(2)/2)*CG110*CJ110*VLOOKUP('Données projet'!$B$12,Paramètres!$A$1:$I$89,3,0)*0.475*44/12</f>
        <v>8.4195338618341342E-11</v>
      </c>
      <c r="CN110" s="22">
        <f t="shared" si="66"/>
        <v>6.1873126428736036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285.77483300338548</v>
      </c>
      <c r="CZ110" s="59">
        <f t="shared" si="96"/>
        <v>320.55212417690637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1.8159650580286131</v>
      </c>
      <c r="DG110" s="21">
        <f>EXP(-LN(2)/25)*DG109+(1-EXP(-LN(2)/25))/(LN(2)/25)*Calculateur!DB110*Calculateur!DD110*VLOOKUP('Données projet'!$B$13,Paramètres!$A$1:$I$89,3,0)*0.475*44/12</f>
        <v>3.2958126825179104</v>
      </c>
      <c r="DH110" s="21">
        <f>EXP(-LN(2)/2)*DH109+(1-EXP(-LN(2)/2))/(LN(2)/2)*DB110*DE110*VLOOKUP('Données projet'!$B$13,Paramètres!$A$1:$I$89,3,0)*0.475*44/12</f>
        <v>6.2770587544726263E-11</v>
      </c>
      <c r="DI110" s="22">
        <f t="shared" si="69"/>
        <v>5.1117777406092939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-5.6843418860808015E-13</v>
      </c>
      <c r="O111" s="13">
        <f>N111*VLOOKUP('Données projet'!$B$9,Paramètres!$A$1:$I$89,3,0)*VLOOKUP('Données projet'!$B$9,Paramètres!$A$1:$I$89,5,0)</f>
        <v>-3.177547114319168E-13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356.67698551373468</v>
      </c>
      <c r="T111" s="59">
        <f t="shared" si="88"/>
        <v>353.21836615408171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0.97466198840451945</v>
      </c>
      <c r="AA111" s="21">
        <f>EXP(-LN(2)/25)*AA110+(1-EXP(-LN(2)/25))/(LN(2)/25)*Calculateur!V111*Calculateur!X111*VLOOKUP('Données projet'!$B$9,Paramètres!$A$1:$I$89,3,0)*0.475*44/12</f>
        <v>3.470596797456222</v>
      </c>
      <c r="AB111" s="21">
        <f>EXP(-LN(2)/2)*AB110+(1-EXP(-LN(2)/2))/(LN(2)/2)*V111*Y111*VLOOKUP('Données projet'!$B$9,Paramètres!$A$1:$I$89,3,0)*0.475*44/12</f>
        <v>5.9157334127003636E-11</v>
      </c>
      <c r="AC111" s="22">
        <f t="shared" si="57"/>
        <v>4.4452587859198989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6.2527760746888816E-13</v>
      </c>
      <c r="AJ111" s="13">
        <f>AI111*VLOOKUP('Données projet'!$B$10,Paramètres!$A$1:$I$89,3,0)*VLOOKUP('Données projet'!$B$10,Paramètres!$A$1:$I$89,5,0)</f>
        <v>3.9017322706058616E-13</v>
      </c>
      <c r="AK111" s="13">
        <f t="shared" si="89"/>
        <v>5.0025007393608908E-12</v>
      </c>
      <c r="AL111" s="20">
        <f t="shared" si="58"/>
        <v>9.3922404915174053E-12</v>
      </c>
      <c r="AM111" s="59">
        <f t="shared" si="59"/>
        <v>293.33333333334269</v>
      </c>
      <c r="AN111" s="59">
        <f ca="1">AVERAGE(OFFSET($AM$3,0,0,'Données projet'!$E$10+1,1))-AVERAGE(OFFSET($H$3,0,0,'Données projet'!$E$10+1,1))</f>
        <v>240.30073883588199</v>
      </c>
      <c r="AO111" s="59">
        <f t="shared" si="90"/>
        <v>263.20351282678843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1.4836292423916551</v>
      </c>
      <c r="AV111" s="21">
        <f>EXP(-LN(2)/25)*AV110+(1-EXP(-LN(2)/25))/(LN(2)/25)*Calculateur!AQ111*Calculateur!AS111*VLOOKUP('Données projet'!$B$10,Paramètres!$A$1:$I$89,3,0)*0.475*44/12</f>
        <v>2.3910970806531981</v>
      </c>
      <c r="AW111" s="21">
        <f>EXP(-LN(2)/2)*AW110+(1-EXP(-LN(2)/2))/(LN(2)/2)*AQ111*AT111*VLOOKUP('Données projet'!$B$10,Paramètres!$A$1:$I$89,3,0)*0.475*44/12</f>
        <v>3.6726879450207169E-11</v>
      </c>
      <c r="AX111" s="21">
        <f t="shared" si="60"/>
        <v>3.87472632308158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252.98248842635206</v>
      </c>
      <c r="BJ111" s="59">
        <f t="shared" si="92"/>
        <v>207.11938580878308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4.5474735088646412E-13</v>
      </c>
      <c r="BZ111" s="13">
        <f>BY111*VLOOKUP('Données projet'!$B$12,Paramètres!$A$1:$I$89,3,0)*VLOOKUP('Données projet'!$B$12,Paramètres!$A$1:$I$89,5,0)</f>
        <v>2.5420376914553347E-13</v>
      </c>
      <c r="CA111" s="13">
        <f t="shared" si="93"/>
        <v>3.4258699088369875E-12</v>
      </c>
      <c r="CB111" s="20">
        <f t="shared" si="64"/>
        <v>6.4094616558195571E-12</v>
      </c>
      <c r="CC111" s="59">
        <f t="shared" si="65"/>
        <v>293.33333333333974</v>
      </c>
      <c r="CD111" s="59">
        <f ca="1">AVERAGE(OFFSET($CC$3,0,0,'Données projet'!$E$12+1,1))-AVERAGE(OFFSET($H$3,0,0,'Données projet'!$E$12+1,1))</f>
        <v>401.06118089678654</v>
      </c>
      <c r="CE111" s="59">
        <f t="shared" si="94"/>
        <v>399.58193819355591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2.1929894739101665</v>
      </c>
      <c r="CL111" s="21">
        <f>EXP(-LN(2)/25)*CL110+(1-EXP(-LN(2)/25))/(LN(2)/25)*Calculateur!CG111*Calculateur!CI111*VLOOKUP('Données projet'!$B$12,Paramètres!$A$1:$I$89,3,0)*0.475*44/12</f>
        <v>3.8424343176145532</v>
      </c>
      <c r="CM111" s="21">
        <f>EXP(-LN(2)/2)*CM110+(1-EXP(-LN(2)/2))/(LN(2)/2)*CG111*CJ111*VLOOKUP('Données projet'!$B$12,Paramètres!$A$1:$I$89,3,0)*0.475*44/12</f>
        <v>5.9535094881326764E-11</v>
      </c>
      <c r="CN111" s="22">
        <f t="shared" si="66"/>
        <v>6.0354237915842548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285.77483300338548</v>
      </c>
      <c r="CZ111" s="59">
        <f t="shared" si="96"/>
        <v>320.55212417690637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1.7803550908699881</v>
      </c>
      <c r="DG111" s="21">
        <f>EXP(-LN(2)/25)*DG110+(1-EXP(-LN(2)/25))/(LN(2)/25)*Calculateur!DB111*Calculateur!DD111*VLOOKUP('Données projet'!$B$13,Paramètres!$A$1:$I$89,3,0)*0.475*44/12</f>
        <v>3.2056885113952016</v>
      </c>
      <c r="DH111" s="21">
        <f>EXP(-LN(2)/2)*DH110+(1-EXP(-LN(2)/2))/(LN(2)/2)*DB111*DE111*VLOOKUP('Données projet'!$B$13,Paramètres!$A$1:$I$89,3,0)*0.475*44/12</f>
        <v>4.438550811193978E-11</v>
      </c>
      <c r="DI111" s="22">
        <f t="shared" si="69"/>
        <v>4.9860436023095751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-5.6843418860808015E-13</v>
      </c>
      <c r="O112" s="13">
        <f>N112*VLOOKUP('Données projet'!$B$9,Paramètres!$A$1:$I$89,3,0)*VLOOKUP('Données projet'!$B$9,Paramètres!$A$1:$I$89,5,0)</f>
        <v>-3.177547114319168E-13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356.67698551373468</v>
      </c>
      <c r="T112" s="59">
        <f t="shared" si="88"/>
        <v>353.21836615408171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0.95554946129701923</v>
      </c>
      <c r="AA112" s="21">
        <f>EXP(-LN(2)/25)*AA111+(1-EXP(-LN(2)/25))/(LN(2)/25)*Calculateur!V112*Calculateur!X112*VLOOKUP('Données projet'!$B$9,Paramètres!$A$1:$I$89,3,0)*0.475*44/12</f>
        <v>3.375693145519028</v>
      </c>
      <c r="AB112" s="21">
        <f>EXP(-LN(2)/2)*AB111+(1-EXP(-LN(2)/2))/(LN(2)/2)*V112*Y112*VLOOKUP('Données projet'!$B$9,Paramètres!$A$1:$I$89,3,0)*0.475*44/12</f>
        <v>4.183055211812264E-11</v>
      </c>
      <c r="AC112" s="22">
        <f t="shared" si="57"/>
        <v>4.3312426068578782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6.2527760746888816E-13</v>
      </c>
      <c r="AJ112" s="13">
        <f>AI112*VLOOKUP('Données projet'!$B$10,Paramètres!$A$1:$I$89,3,0)*VLOOKUP('Données projet'!$B$10,Paramètres!$A$1:$I$89,5,0)</f>
        <v>3.9017322706058616E-13</v>
      </c>
      <c r="AK112" s="13">
        <f t="shared" si="89"/>
        <v>5.0025007393608908E-12</v>
      </c>
      <c r="AL112" s="20">
        <f t="shared" si="58"/>
        <v>9.3922404915174053E-12</v>
      </c>
      <c r="AM112" s="59">
        <f t="shared" si="59"/>
        <v>293.33333333334269</v>
      </c>
      <c r="AN112" s="59">
        <f ca="1">AVERAGE(OFFSET($AM$3,0,0,'Données projet'!$E$10+1,1))-AVERAGE(OFFSET($H$3,0,0,'Données projet'!$E$10+1,1))</f>
        <v>240.30073883588199</v>
      </c>
      <c r="AO112" s="59">
        <f t="shared" si="90"/>
        <v>263.20351282678843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1.4545361778728387</v>
      </c>
      <c r="AV112" s="21">
        <f>EXP(-LN(2)/25)*AV111+(1-EXP(-LN(2)/25))/(LN(2)/25)*Calculateur!AQ112*Calculateur!AS112*VLOOKUP('Données projet'!$B$10,Paramètres!$A$1:$I$89,3,0)*0.475*44/12</f>
        <v>2.3257124052404059</v>
      </c>
      <c r="AW112" s="21">
        <f>EXP(-LN(2)/2)*AW111+(1-EXP(-LN(2)/2))/(LN(2)/2)*AQ112*AT112*VLOOKUP('Données projet'!$B$10,Paramètres!$A$1:$I$89,3,0)*0.475*44/12</f>
        <v>2.596982551106235E-11</v>
      </c>
      <c r="AX112" s="21">
        <f t="shared" si="60"/>
        <v>3.7802485831392145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252.98248842635206</v>
      </c>
      <c r="BJ112" s="59">
        <f t="shared" si="92"/>
        <v>207.11938580878308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4.5474735088646412E-13</v>
      </c>
      <c r="BZ112" s="13">
        <f>BY112*VLOOKUP('Données projet'!$B$12,Paramètres!$A$1:$I$89,3,0)*VLOOKUP('Données projet'!$B$12,Paramètres!$A$1:$I$89,5,0)</f>
        <v>2.5420376914553347E-13</v>
      </c>
      <c r="CA112" s="13">
        <f t="shared" si="93"/>
        <v>3.4258699088369875E-12</v>
      </c>
      <c r="CB112" s="20">
        <f t="shared" si="64"/>
        <v>6.4094616558195571E-12</v>
      </c>
      <c r="CC112" s="59">
        <f t="shared" si="65"/>
        <v>293.33333333333974</v>
      </c>
      <c r="CD112" s="59">
        <f ca="1">AVERAGE(OFFSET($CC$3,0,0,'Données projet'!$E$12+1,1))-AVERAGE(OFFSET($H$3,0,0,'Données projet'!$E$12+1,1))</f>
        <v>401.06118089678654</v>
      </c>
      <c r="CE112" s="59">
        <f t="shared" si="94"/>
        <v>399.58193819355591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2.1499862879182912</v>
      </c>
      <c r="CL112" s="21">
        <f>EXP(-LN(2)/25)*CL111+(1-EXP(-LN(2)/25))/(LN(2)/25)*Calculateur!CG112*Calculateur!CI112*VLOOKUP('Données projet'!$B$12,Paramètres!$A$1:$I$89,3,0)*0.475*44/12</f>
        <v>3.7373627491345447</v>
      </c>
      <c r="CM112" s="21">
        <f>EXP(-LN(2)/2)*CM111+(1-EXP(-LN(2)/2))/(LN(2)/2)*CG112*CJ112*VLOOKUP('Données projet'!$B$12,Paramètres!$A$1:$I$89,3,0)*0.475*44/12</f>
        <v>4.2097669309170671E-11</v>
      </c>
      <c r="CN112" s="22">
        <f t="shared" si="66"/>
        <v>5.8873490370949337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285.77483300338548</v>
      </c>
      <c r="CZ112" s="59">
        <f t="shared" si="96"/>
        <v>320.55212417690637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1.7454434134474084</v>
      </c>
      <c r="DG112" s="21">
        <f>EXP(-LN(2)/25)*DG111+(1-EXP(-LN(2)/25))/(LN(2)/25)*Calculateur!DB112*Calculateur!DD112*VLOOKUP('Données projet'!$B$13,Paramètres!$A$1:$I$89,3,0)*0.475*44/12</f>
        <v>3.1180287904712678</v>
      </c>
      <c r="DH112" s="21">
        <f>EXP(-LN(2)/2)*DH111+(1-EXP(-LN(2)/2))/(LN(2)/2)*DB112*DE112*VLOOKUP('Données projet'!$B$13,Paramètres!$A$1:$I$89,3,0)*0.475*44/12</f>
        <v>3.1385293772363132E-11</v>
      </c>
      <c r="DI112" s="22">
        <f t="shared" si="69"/>
        <v>4.863472203950062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-5.6843418860808015E-13</v>
      </c>
      <c r="O113" s="13">
        <f>N113*VLOOKUP('Données projet'!$B$9,Paramètres!$A$1:$I$89,3,0)*VLOOKUP('Données projet'!$B$9,Paramètres!$A$1:$I$89,5,0)</f>
        <v>-3.177547114319168E-13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356.67698551373468</v>
      </c>
      <c r="T113" s="59">
        <f t="shared" si="88"/>
        <v>353.21836615408171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0.93681171918860662</v>
      </c>
      <c r="AA113" s="21">
        <f>EXP(-LN(2)/25)*AA112+(1-EXP(-LN(2)/25))/(LN(2)/25)*Calculateur!V113*Calculateur!X113*VLOOKUP('Données projet'!$B$9,Paramètres!$A$1:$I$89,3,0)*0.475*44/12</f>
        <v>3.2833846389348227</v>
      </c>
      <c r="AB113" s="21">
        <f>EXP(-LN(2)/2)*AB112+(1-EXP(-LN(2)/2))/(LN(2)/2)*V113*Y113*VLOOKUP('Données projet'!$B$9,Paramètres!$A$1:$I$89,3,0)*0.475*44/12</f>
        <v>2.9578667063501818E-11</v>
      </c>
      <c r="AC113" s="22">
        <f t="shared" si="57"/>
        <v>4.2201963581530082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3.9017322706058616E-13</v>
      </c>
      <c r="AK113" s="13">
        <f t="shared" si="89"/>
        <v>5.0025007393608908E-12</v>
      </c>
      <c r="AL113" s="20">
        <f t="shared" si="58"/>
        <v>9.3922404915174053E-12</v>
      </c>
      <c r="AM113" s="59">
        <f t="shared" si="59"/>
        <v>293.33333333334269</v>
      </c>
      <c r="AN113" s="59">
        <f ca="1">AVERAGE(OFFSET($AM$3,0,0,'Données projet'!$E$10+1,1))-AVERAGE(OFFSET($H$3,0,0,'Données projet'!$E$10+1,1))</f>
        <v>240.30073883588199</v>
      </c>
      <c r="AO113" s="59">
        <f t="shared" si="90"/>
        <v>263.20351282678843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1.4260136106042192</v>
      </c>
      <c r="AV113" s="21">
        <f>EXP(-LN(2)/25)*AV112+(1-EXP(-LN(2)/25))/(LN(2)/25)*Calculateur!AQ113*Calculateur!AS113*VLOOKUP('Données projet'!$B$10,Paramètres!$A$1:$I$89,3,0)*0.475*44/12</f>
        <v>2.2621156772152071</v>
      </c>
      <c r="AW113" s="21">
        <f>EXP(-LN(2)/2)*AW112+(1-EXP(-LN(2)/2))/(LN(2)/2)*AQ113*AT113*VLOOKUP('Données projet'!$B$10,Paramètres!$A$1:$I$89,3,0)*0.475*44/12</f>
        <v>1.8363439725103584E-11</v>
      </c>
      <c r="AX113" s="21">
        <f t="shared" si="60"/>
        <v>3.6881292878377896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252.98248842635206</v>
      </c>
      <c r="BJ113" s="59">
        <f t="shared" si="92"/>
        <v>207.11938580878308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4.5474735088646412E-13</v>
      </c>
      <c r="BZ113" s="13">
        <f>BY113*VLOOKUP('Données projet'!$B$12,Paramètres!$A$1:$I$89,3,0)*VLOOKUP('Données projet'!$B$12,Paramètres!$A$1:$I$89,5,0)</f>
        <v>2.5420376914553347E-13</v>
      </c>
      <c r="CA113" s="13">
        <f t="shared" si="93"/>
        <v>3.4258699088369875E-12</v>
      </c>
      <c r="CB113" s="20">
        <f t="shared" si="64"/>
        <v>6.4094616558195571E-12</v>
      </c>
      <c r="CC113" s="59">
        <f t="shared" si="65"/>
        <v>293.33333333333974</v>
      </c>
      <c r="CD113" s="59">
        <f ca="1">AVERAGE(OFFSET($CC$3,0,0,'Données projet'!$E$12+1,1))-AVERAGE(OFFSET($H$3,0,0,'Données projet'!$E$12+1,1))</f>
        <v>401.06118089678654</v>
      </c>
      <c r="CE113" s="59">
        <f t="shared" si="94"/>
        <v>399.58193819355591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2.1078263681743628</v>
      </c>
      <c r="CL113" s="21">
        <f>EXP(-LN(2)/25)*CL112+(1-EXP(-LN(2)/25))/(LN(2)/25)*Calculateur!CG113*Calculateur!CI113*VLOOKUP('Données projet'!$B$12,Paramètres!$A$1:$I$89,3,0)*0.475*44/12</f>
        <v>3.6351643682200954</v>
      </c>
      <c r="CM113" s="21">
        <f>EXP(-LN(2)/2)*CM112+(1-EXP(-LN(2)/2))/(LN(2)/2)*CG113*CJ113*VLOOKUP('Données projet'!$B$12,Paramètres!$A$1:$I$89,3,0)*0.475*44/12</f>
        <v>2.9767547440663382E-11</v>
      </c>
      <c r="CN113" s="22">
        <f t="shared" si="66"/>
        <v>5.7429907364242254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285.77483300338548</v>
      </c>
      <c r="CZ113" s="59">
        <f t="shared" si="96"/>
        <v>320.55212417690637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1.7112163327250649</v>
      </c>
      <c r="DG113" s="21">
        <f>EXP(-LN(2)/25)*DG112+(1-EXP(-LN(2)/25))/(LN(2)/25)*Calculateur!DB113*Calculateur!DD113*VLOOKUP('Données projet'!$B$13,Paramètres!$A$1:$I$89,3,0)*0.475*44/12</f>
        <v>3.0327661292258234</v>
      </c>
      <c r="DH113" s="21">
        <f>EXP(-LN(2)/2)*DH112+(1-EXP(-LN(2)/2))/(LN(2)/2)*DB113*DE113*VLOOKUP('Données projet'!$B$13,Paramètres!$A$1:$I$89,3,0)*0.475*44/12</f>
        <v>2.219275405596989E-11</v>
      </c>
      <c r="DI113" s="22">
        <f t="shared" si="69"/>
        <v>4.743982461973081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-5.6843418860808015E-13</v>
      </c>
      <c r="O114" s="13">
        <f>N114*VLOOKUP('Données projet'!$B$9,Paramètres!$A$1:$I$89,3,0)*VLOOKUP('Données projet'!$B$9,Paramètres!$A$1:$I$89,5,0)</f>
        <v>-3.177547114319168E-13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356.67698551373468</v>
      </c>
      <c r="T114" s="59">
        <f t="shared" si="88"/>
        <v>353.21836615408171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0.91844141277404578</v>
      </c>
      <c r="AA114" s="21">
        <f>EXP(-LN(2)/25)*AA113+(1-EXP(-LN(2)/25))/(LN(2)/25)*Calculateur!V114*Calculateur!X114*VLOOKUP('Données projet'!$B$9,Paramètres!$A$1:$I$89,3,0)*0.475*44/12</f>
        <v>3.193600313317456</v>
      </c>
      <c r="AB114" s="21">
        <f>EXP(-LN(2)/2)*AB113+(1-EXP(-LN(2)/2))/(LN(2)/2)*V114*Y114*VLOOKUP('Données projet'!$B$9,Paramètres!$A$1:$I$89,3,0)*0.475*44/12</f>
        <v>2.091527605906132E-11</v>
      </c>
      <c r="AC114" s="22">
        <f t="shared" si="57"/>
        <v>4.1120417261124178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3.9017322706058616E-13</v>
      </c>
      <c r="AK114" s="13">
        <f t="shared" si="89"/>
        <v>5.0025007393608908E-12</v>
      </c>
      <c r="AL114" s="20">
        <f t="shared" si="58"/>
        <v>9.3922404915174053E-12</v>
      </c>
      <c r="AM114" s="59">
        <f t="shared" si="59"/>
        <v>293.33333333334269</v>
      </c>
      <c r="AN114" s="59">
        <f ca="1">AVERAGE(OFFSET($AM$3,0,0,'Données projet'!$E$10+1,1))-AVERAGE(OFFSET($H$3,0,0,'Données projet'!$E$10+1,1))</f>
        <v>240.30073883588199</v>
      </c>
      <c r="AO114" s="59">
        <f t="shared" si="90"/>
        <v>263.20351282678843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1.3980503534826889</v>
      </c>
      <c r="AV114" s="21">
        <f>EXP(-LN(2)/25)*AV113+(1-EXP(-LN(2)/25))/(LN(2)/25)*Calculateur!AQ114*Calculateur!AS114*VLOOKUP('Données projet'!$B$10,Paramètres!$A$1:$I$89,3,0)*0.475*44/12</f>
        <v>2.2002580050622638</v>
      </c>
      <c r="AW114" s="21">
        <f>EXP(-LN(2)/2)*AW113+(1-EXP(-LN(2)/2))/(LN(2)/2)*AQ114*AT114*VLOOKUP('Données projet'!$B$10,Paramètres!$A$1:$I$89,3,0)*0.475*44/12</f>
        <v>1.2984912755531175E-11</v>
      </c>
      <c r="AX114" s="21">
        <f t="shared" si="60"/>
        <v>3.5983083585579374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252.98248842635206</v>
      </c>
      <c r="BJ114" s="59">
        <f t="shared" si="92"/>
        <v>207.11938580878308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4.5474735088646412E-13</v>
      </c>
      <c r="BZ114" s="13">
        <f>BY114*VLOOKUP('Données projet'!$B$12,Paramètres!$A$1:$I$89,3,0)*VLOOKUP('Données projet'!$B$12,Paramètres!$A$1:$I$89,5,0)</f>
        <v>2.5420376914553347E-13</v>
      </c>
      <c r="CA114" s="13">
        <f t="shared" si="93"/>
        <v>3.4258699088369875E-12</v>
      </c>
      <c r="CB114" s="20">
        <f t="shared" si="64"/>
        <v>6.4094616558195571E-12</v>
      </c>
      <c r="CC114" s="59">
        <f t="shared" si="65"/>
        <v>293.33333333333974</v>
      </c>
      <c r="CD114" s="59">
        <f ca="1">AVERAGE(OFFSET($CC$3,0,0,'Données projet'!$E$12+1,1))-AVERAGE(OFFSET($H$3,0,0,'Données projet'!$E$12+1,1))</f>
        <v>401.06118089678654</v>
      </c>
      <c r="CE114" s="59">
        <f t="shared" si="94"/>
        <v>399.58193819355591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2.066493178741601</v>
      </c>
      <c r="CL114" s="21">
        <f>EXP(-LN(2)/25)*CL113+(1-EXP(-LN(2)/25))/(LN(2)/25)*Calculateur!CG114*Calculateur!CI114*VLOOKUP('Données projet'!$B$12,Paramètres!$A$1:$I$89,3,0)*0.475*44/12</f>
        <v>3.535760607406131</v>
      </c>
      <c r="CM114" s="21">
        <f>EXP(-LN(2)/2)*CM113+(1-EXP(-LN(2)/2))/(LN(2)/2)*CG114*CJ114*VLOOKUP('Données projet'!$B$12,Paramètres!$A$1:$I$89,3,0)*0.475*44/12</f>
        <v>2.1048834654585336E-11</v>
      </c>
      <c r="CN114" s="22">
        <f t="shared" si="66"/>
        <v>5.6022537861687809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285.77483300338548</v>
      </c>
      <c r="CZ114" s="59">
        <f t="shared" si="96"/>
        <v>320.55212417690637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1.6776604241792288</v>
      </c>
      <c r="DG114" s="21">
        <f>EXP(-LN(2)/25)*DG113+(1-EXP(-LN(2)/25))/(LN(2)/25)*Calculateur!DB114*Calculateur!DD114*VLOOKUP('Données projet'!$B$13,Paramètres!$A$1:$I$89,3,0)*0.475*44/12</f>
        <v>2.949834979935904</v>
      </c>
      <c r="DH114" s="21">
        <f>EXP(-LN(2)/2)*DH113+(1-EXP(-LN(2)/2))/(LN(2)/2)*DB114*DE114*VLOOKUP('Données projet'!$B$13,Paramètres!$A$1:$I$89,3,0)*0.475*44/12</f>
        <v>1.5692646886181566E-11</v>
      </c>
      <c r="DI114" s="22">
        <f t="shared" si="69"/>
        <v>4.6274954041308254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-5.6843418860808015E-13</v>
      </c>
      <c r="O115" s="13">
        <f>N115*VLOOKUP('Données projet'!$B$9,Paramètres!$A$1:$I$89,3,0)*VLOOKUP('Données projet'!$B$9,Paramètres!$A$1:$I$89,5,0)</f>
        <v>-3.177547114319168E-13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356.67698551373468</v>
      </c>
      <c r="T115" s="59">
        <f t="shared" si="88"/>
        <v>353.21836615408171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0.90043133686349397</v>
      </c>
      <c r="AA115" s="21">
        <f>EXP(-LN(2)/25)*AA114+(1-EXP(-LN(2)/25))/(LN(2)/25)*Calculateur!V115*Calculateur!X115*VLOOKUP('Données projet'!$B$9,Paramètres!$A$1:$I$89,3,0)*0.475*44/12</f>
        <v>3.1062711448056488</v>
      </c>
      <c r="AB115" s="21">
        <f>EXP(-LN(2)/2)*AB114+(1-EXP(-LN(2)/2))/(LN(2)/2)*V115*Y115*VLOOKUP('Données projet'!$B$9,Paramètres!$A$1:$I$89,3,0)*0.475*44/12</f>
        <v>1.4789333531750909E-11</v>
      </c>
      <c r="AC115" s="22">
        <f t="shared" si="57"/>
        <v>4.0067024816839316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3.9017322706058616E-13</v>
      </c>
      <c r="AK115" s="13">
        <f t="shared" si="89"/>
        <v>5.0025007393608908E-12</v>
      </c>
      <c r="AL115" s="20">
        <f t="shared" si="58"/>
        <v>9.3922404915174053E-12</v>
      </c>
      <c r="AM115" s="59">
        <f t="shared" si="59"/>
        <v>293.33333333334269</v>
      </c>
      <c r="AN115" s="59">
        <f ca="1">AVERAGE(OFFSET($AM$3,0,0,'Données projet'!$E$10+1,1))-AVERAGE(OFFSET($H$3,0,0,'Données projet'!$E$10+1,1))</f>
        <v>240.30073883588199</v>
      </c>
      <c r="AO115" s="59">
        <f t="shared" si="90"/>
        <v>263.20351282678843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1.3706354387774093</v>
      </c>
      <c r="AV115" s="21">
        <f>EXP(-LN(2)/25)*AV114+(1-EXP(-LN(2)/25))/(LN(2)/25)*Calculateur!AQ115*Calculateur!AS115*VLOOKUP('Données projet'!$B$10,Paramètres!$A$1:$I$89,3,0)*0.475*44/12</f>
        <v>2.1400918342072965</v>
      </c>
      <c r="AW115" s="21">
        <f>EXP(-LN(2)/2)*AW114+(1-EXP(-LN(2)/2))/(LN(2)/2)*AQ115*AT115*VLOOKUP('Données projet'!$B$10,Paramètres!$A$1:$I$89,3,0)*0.475*44/12</f>
        <v>9.1817198625517922E-12</v>
      </c>
      <c r="AX115" s="21">
        <f t="shared" si="60"/>
        <v>3.5107272729938876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252.98248842635206</v>
      </c>
      <c r="BJ115" s="59">
        <f t="shared" si="92"/>
        <v>207.11938580878308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4.5474735088646412E-13</v>
      </c>
      <c r="BZ115" s="13">
        <f>BY115*VLOOKUP('Données projet'!$B$12,Paramètres!$A$1:$I$89,3,0)*VLOOKUP('Données projet'!$B$12,Paramètres!$A$1:$I$89,5,0)</f>
        <v>2.5420376914553347E-13</v>
      </c>
      <c r="CA115" s="13">
        <f t="shared" si="93"/>
        <v>3.4258699088369875E-12</v>
      </c>
      <c r="CB115" s="20">
        <f t="shared" si="64"/>
        <v>6.4094616558195571E-12</v>
      </c>
      <c r="CC115" s="59">
        <f t="shared" si="65"/>
        <v>293.33333333333974</v>
      </c>
      <c r="CD115" s="59">
        <f ca="1">AVERAGE(OFFSET($CC$3,0,0,'Données projet'!$E$12+1,1))-AVERAGE(OFFSET($H$3,0,0,'Données projet'!$E$12+1,1))</f>
        <v>401.06118089678654</v>
      </c>
      <c r="CE115" s="59">
        <f t="shared" si="94"/>
        <v>399.58193819355591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2.0259705079428594</v>
      </c>
      <c r="CL115" s="21">
        <f>EXP(-LN(2)/25)*CL114+(1-EXP(-LN(2)/25))/(LN(2)/25)*Calculateur!CG115*Calculateur!CI115*VLOOKUP('Données projet'!$B$12,Paramètres!$A$1:$I$89,3,0)*0.475*44/12</f>
        <v>3.439075047659041</v>
      </c>
      <c r="CM115" s="21">
        <f>EXP(-LN(2)/2)*CM114+(1-EXP(-LN(2)/2))/(LN(2)/2)*CG115*CJ115*VLOOKUP('Données projet'!$B$12,Paramètres!$A$1:$I$89,3,0)*0.475*44/12</f>
        <v>1.4883773720331691E-11</v>
      </c>
      <c r="CN115" s="22">
        <f t="shared" si="66"/>
        <v>5.4650455556167845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285.77483300338548</v>
      </c>
      <c r="CZ115" s="59">
        <f t="shared" si="96"/>
        <v>320.55212417690637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1.6447625265328931</v>
      </c>
      <c r="DG115" s="21">
        <f>EXP(-LN(2)/25)*DG114+(1-EXP(-LN(2)/25))/(LN(2)/25)*Calculateur!DB115*Calculateur!DD115*VLOOKUP('Données projet'!$B$13,Paramètres!$A$1:$I$89,3,0)*0.475*44/12</f>
        <v>2.8691715872844772</v>
      </c>
      <c r="DH115" s="21">
        <f>EXP(-LN(2)/2)*DH114+(1-EXP(-LN(2)/2))/(LN(2)/2)*DB115*DE115*VLOOKUP('Données projet'!$B$13,Paramètres!$A$1:$I$89,3,0)*0.475*44/12</f>
        <v>1.1096377027984945E-11</v>
      </c>
      <c r="DI115" s="22">
        <f t="shared" si="69"/>
        <v>4.5139341138284665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-5.6843418860808015E-13</v>
      </c>
      <c r="O116" s="13">
        <f>N116*VLOOKUP('Données projet'!$B$9,Paramètres!$A$1:$I$89,3,0)*VLOOKUP('Données projet'!$B$9,Paramètres!$A$1:$I$89,5,0)</f>
        <v>-3.177547114319168E-13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356.67698551373468</v>
      </c>
      <c r="T116" s="59">
        <f t="shared" si="88"/>
        <v>353.21836615408171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0.8827744275564865</v>
      </c>
      <c r="AA116" s="21">
        <f>EXP(-LN(2)/25)*AA115+(1-EXP(-LN(2)/25))/(LN(2)/25)*Calculateur!V116*Calculateur!X116*VLOOKUP('Données projet'!$B$9,Paramètres!$A$1:$I$89,3,0)*0.475*44/12</f>
        <v>3.0213299969992384</v>
      </c>
      <c r="AB116" s="21">
        <f>EXP(-LN(2)/2)*AB115+(1-EXP(-LN(2)/2))/(LN(2)/2)*V116*Y116*VLOOKUP('Données projet'!$B$9,Paramètres!$A$1:$I$89,3,0)*0.475*44/12</f>
        <v>1.045763802953066E-11</v>
      </c>
      <c r="AC116" s="22">
        <f t="shared" si="57"/>
        <v>3.9041044245661829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3.9017322706058616E-13</v>
      </c>
      <c r="AK116" s="13">
        <f t="shared" si="89"/>
        <v>5.0025007393608908E-12</v>
      </c>
      <c r="AL116" s="20">
        <f t="shared" si="58"/>
        <v>9.3922404915174053E-12</v>
      </c>
      <c r="AM116" s="59">
        <f t="shared" si="59"/>
        <v>293.33333333334269</v>
      </c>
      <c r="AN116" s="59">
        <f ca="1">AVERAGE(OFFSET($AM$3,0,0,'Données projet'!$E$10+1,1))-AVERAGE(OFFSET($H$3,0,0,'Données projet'!$E$10+1,1))</f>
        <v>240.30073883588199</v>
      </c>
      <c r="AO116" s="59">
        <f t="shared" si="90"/>
        <v>263.20351282678843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1.3437581138280534</v>
      </c>
      <c r="AV116" s="21">
        <f>EXP(-LN(2)/25)*AV115+(1-EXP(-LN(2)/25))/(LN(2)/25)*Calculateur!AQ116*Calculateur!AS116*VLOOKUP('Données projet'!$B$10,Paramètres!$A$1:$I$89,3,0)*0.475*44/12</f>
        <v>2.0815709104583595</v>
      </c>
      <c r="AW116" s="21">
        <f>EXP(-LN(2)/2)*AW115+(1-EXP(-LN(2)/2))/(LN(2)/2)*AQ116*AT116*VLOOKUP('Données projet'!$B$10,Paramètres!$A$1:$I$89,3,0)*0.475*44/12</f>
        <v>6.4924563777655874E-12</v>
      </c>
      <c r="AX116" s="21">
        <f t="shared" si="60"/>
        <v>3.4253290242929055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252.98248842635206</v>
      </c>
      <c r="BJ116" s="59">
        <f t="shared" si="92"/>
        <v>207.11938580878308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4.5474735088646412E-13</v>
      </c>
      <c r="BZ116" s="13">
        <f>BY116*VLOOKUP('Données projet'!$B$12,Paramètres!$A$1:$I$89,3,0)*VLOOKUP('Données projet'!$B$12,Paramètres!$A$1:$I$89,5,0)</f>
        <v>2.5420376914553347E-13</v>
      </c>
      <c r="CA116" s="13">
        <f t="shared" si="93"/>
        <v>3.4258699088369875E-12</v>
      </c>
      <c r="CB116" s="20">
        <f t="shared" si="64"/>
        <v>6.4094616558195571E-12</v>
      </c>
      <c r="CC116" s="59">
        <f t="shared" si="65"/>
        <v>293.33333333333974</v>
      </c>
      <c r="CD116" s="59">
        <f ca="1">AVERAGE(OFFSET($CC$3,0,0,'Données projet'!$E$12+1,1))-AVERAGE(OFFSET($H$3,0,0,'Données projet'!$E$12+1,1))</f>
        <v>401.06118089678654</v>
      </c>
      <c r="CE116" s="59">
        <f t="shared" si="94"/>
        <v>399.58193819355591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1.9862424620020926</v>
      </c>
      <c r="CL116" s="21">
        <f>EXP(-LN(2)/25)*CL115+(1-EXP(-LN(2)/25))/(LN(2)/25)*Calculateur!CG116*Calculateur!CI116*VLOOKUP('Données projet'!$B$12,Paramètres!$A$1:$I$89,3,0)*0.475*44/12</f>
        <v>3.345033359627708</v>
      </c>
      <c r="CM116" s="21">
        <f>EXP(-LN(2)/2)*CM115+(1-EXP(-LN(2)/2))/(LN(2)/2)*CG116*CJ116*VLOOKUP('Données projet'!$B$12,Paramètres!$A$1:$I$89,3,0)*0.475*44/12</f>
        <v>1.0524417327292668E-11</v>
      </c>
      <c r="CN116" s="22">
        <f t="shared" si="66"/>
        <v>5.3312758216403244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285.77483300338548</v>
      </c>
      <c r="CZ116" s="59">
        <f t="shared" si="96"/>
        <v>320.55212417690637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1.6125097365936658</v>
      </c>
      <c r="DG116" s="21">
        <f>EXP(-LN(2)/25)*DG115+(1-EXP(-LN(2)/25))/(LN(2)/25)*Calculateur!DB116*Calculateur!DD116*VLOOKUP('Données projet'!$B$13,Paramètres!$A$1:$I$89,3,0)*0.475*44/12</f>
        <v>2.7907139393470071</v>
      </c>
      <c r="DH116" s="21">
        <f>EXP(-LN(2)/2)*DH115+(1-EXP(-LN(2)/2))/(LN(2)/2)*DB116*DE116*VLOOKUP('Données projet'!$B$13,Paramètres!$A$1:$I$89,3,0)*0.475*44/12</f>
        <v>7.8463234430907829E-12</v>
      </c>
      <c r="DI116" s="22">
        <f t="shared" si="69"/>
        <v>4.403223675948519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-5.6843418860808015E-13</v>
      </c>
      <c r="O117" s="13">
        <f>N117*VLOOKUP('Données projet'!$B$9,Paramètres!$A$1:$I$89,3,0)*VLOOKUP('Données projet'!$B$9,Paramètres!$A$1:$I$89,5,0)</f>
        <v>-3.177547114319168E-13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356.67698551373468</v>
      </c>
      <c r="T117" s="59">
        <f t="shared" si="88"/>
        <v>353.21836615408171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0.86546375947133813</v>
      </c>
      <c r="AA117" s="21">
        <f>EXP(-LN(2)/25)*AA116+(1-EXP(-LN(2)/25))/(LN(2)/25)*Calculateur!V117*Calculateur!X117*VLOOKUP('Données projet'!$B$9,Paramètres!$A$1:$I$89,3,0)*0.475*44/12</f>
        <v>2.9387115693464549</v>
      </c>
      <c r="AB117" s="21">
        <f>EXP(-LN(2)/2)*AB116+(1-EXP(-LN(2)/2))/(LN(2)/2)*V117*Y117*VLOOKUP('Données projet'!$B$9,Paramètres!$A$1:$I$89,3,0)*0.475*44/12</f>
        <v>7.3946667658754545E-12</v>
      </c>
      <c r="AC117" s="22">
        <f t="shared" si="57"/>
        <v>3.8041753288251878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3.9017322706058616E-13</v>
      </c>
      <c r="AK117" s="13">
        <f t="shared" si="89"/>
        <v>5.0025007393608908E-12</v>
      </c>
      <c r="AL117" s="20">
        <f t="shared" si="58"/>
        <v>9.3922404915174053E-12</v>
      </c>
      <c r="AM117" s="59">
        <f t="shared" si="59"/>
        <v>293.33333333334269</v>
      </c>
      <c r="AN117" s="59">
        <f ca="1">AVERAGE(OFFSET($AM$3,0,0,'Données projet'!$E$10+1,1))-AVERAGE(OFFSET($H$3,0,0,'Données projet'!$E$10+1,1))</f>
        <v>240.30073883588199</v>
      </c>
      <c r="AO117" s="59">
        <f t="shared" si="90"/>
        <v>263.20351282678843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1.3174078368274049</v>
      </c>
      <c r="AV117" s="21">
        <f>EXP(-LN(2)/25)*AV116+(1-EXP(-LN(2)/25))/(LN(2)/25)*Calculateur!AQ117*Calculateur!AS117*VLOOKUP('Données projet'!$B$10,Paramètres!$A$1:$I$89,3,0)*0.475*44/12</f>
        <v>2.0246502444468191</v>
      </c>
      <c r="AW117" s="21">
        <f>EXP(-LN(2)/2)*AW116+(1-EXP(-LN(2)/2))/(LN(2)/2)*AQ117*AT117*VLOOKUP('Données projet'!$B$10,Paramètres!$A$1:$I$89,3,0)*0.475*44/12</f>
        <v>4.5908599312758961E-12</v>
      </c>
      <c r="AX117" s="21">
        <f t="shared" si="60"/>
        <v>3.342058081278815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252.98248842635206</v>
      </c>
      <c r="BJ117" s="59">
        <f t="shared" si="92"/>
        <v>207.11938580878308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4.5474735088646412E-13</v>
      </c>
      <c r="BZ117" s="13">
        <f>BY117*VLOOKUP('Données projet'!$B$12,Paramètres!$A$1:$I$89,3,0)*VLOOKUP('Données projet'!$B$12,Paramètres!$A$1:$I$89,5,0)</f>
        <v>2.5420376914553347E-13</v>
      </c>
      <c r="CA117" s="13">
        <f t="shared" si="93"/>
        <v>3.4258699088369875E-12</v>
      </c>
      <c r="CB117" s="20">
        <f t="shared" si="64"/>
        <v>6.4094616558195571E-12</v>
      </c>
      <c r="CC117" s="59">
        <f t="shared" si="65"/>
        <v>293.33333333333974</v>
      </c>
      <c r="CD117" s="59">
        <f ca="1">AVERAGE(OFFSET($CC$3,0,0,'Données projet'!$E$12+1,1))-AVERAGE(OFFSET($H$3,0,0,'Données projet'!$E$12+1,1))</f>
        <v>401.06118089678654</v>
      </c>
      <c r="CE117" s="59">
        <f t="shared" si="94"/>
        <v>399.58193819355591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1.9472934588105089</v>
      </c>
      <c r="CL117" s="21">
        <f>EXP(-LN(2)/25)*CL116+(1-EXP(-LN(2)/25))/(LN(2)/25)*Calculateur!CG117*Calculateur!CI117*VLOOKUP('Données projet'!$B$12,Paramètres!$A$1:$I$89,3,0)*0.475*44/12</f>
        <v>3.2535632465010291</v>
      </c>
      <c r="CM117" s="21">
        <f>EXP(-LN(2)/2)*CM116+(1-EXP(-LN(2)/2))/(LN(2)/2)*CG117*CJ117*VLOOKUP('Données projet'!$B$12,Paramètres!$A$1:$I$89,3,0)*0.475*44/12</f>
        <v>7.4418868601658455E-12</v>
      </c>
      <c r="CN117" s="22">
        <f t="shared" si="66"/>
        <v>5.20085670531898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285.77483300338548</v>
      </c>
      <c r="CZ117" s="59">
        <f t="shared" si="96"/>
        <v>320.55212417690637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1.5808894041928874</v>
      </c>
      <c r="DG117" s="21">
        <f>EXP(-LN(2)/25)*DG116+(1-EXP(-LN(2)/25))/(LN(2)/25)*Calculateur!DB117*Calculateur!DD117*VLOOKUP('Données projet'!$B$13,Paramètres!$A$1:$I$89,3,0)*0.475*44/12</f>
        <v>2.7144017199182953</v>
      </c>
      <c r="DH117" s="21">
        <f>EXP(-LN(2)/2)*DH116+(1-EXP(-LN(2)/2))/(LN(2)/2)*DB117*DE117*VLOOKUP('Données projet'!$B$13,Paramètres!$A$1:$I$89,3,0)*0.475*44/12</f>
        <v>5.5481885139924725E-12</v>
      </c>
      <c r="DI117" s="22">
        <f t="shared" si="69"/>
        <v>4.2952911241167309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-5.6843418860808015E-13</v>
      </c>
      <c r="O118" s="13">
        <f>N118*VLOOKUP('Données projet'!$B$9,Paramètres!$A$1:$I$89,3,0)*VLOOKUP('Données projet'!$B$9,Paramètres!$A$1:$I$89,5,0)</f>
        <v>-3.177547114319168E-13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356.67698551373468</v>
      </c>
      <c r="T118" s="59">
        <f t="shared" si="88"/>
        <v>353.21836615408171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0.84849254302887456</v>
      </c>
      <c r="AA118" s="21">
        <f>EXP(-LN(2)/25)*AA117+(1-EXP(-LN(2)/25))/(LN(2)/25)*Calculateur!V118*Calculateur!X118*VLOOKUP('Données projet'!$B$9,Paramètres!$A$1:$I$89,3,0)*0.475*44/12</f>
        <v>2.8583523469425511</v>
      </c>
      <c r="AB118" s="21">
        <f>EXP(-LN(2)/2)*AB117+(1-EXP(-LN(2)/2))/(LN(2)/2)*V118*Y118*VLOOKUP('Données projet'!$B$9,Paramètres!$A$1:$I$89,3,0)*0.475*44/12</f>
        <v>5.22881901476533E-12</v>
      </c>
      <c r="AC118" s="22">
        <f t="shared" si="57"/>
        <v>3.7068448899766544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3.9017322706058616E-13</v>
      </c>
      <c r="AK118" s="13">
        <f t="shared" si="89"/>
        <v>5.0025007393608908E-12</v>
      </c>
      <c r="AL118" s="20">
        <f t="shared" si="58"/>
        <v>9.3922404915174053E-12</v>
      </c>
      <c r="AM118" s="59">
        <f t="shared" si="59"/>
        <v>293.33333333334269</v>
      </c>
      <c r="AN118" s="59">
        <f ca="1">AVERAGE(OFFSET($AM$3,0,0,'Données projet'!$E$10+1,1))-AVERAGE(OFFSET($H$3,0,0,'Données projet'!$E$10+1,1))</f>
        <v>240.30073883588199</v>
      </c>
      <c r="AO118" s="59">
        <f t="shared" si="90"/>
        <v>263.20351282678843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1.291574272686657</v>
      </c>
      <c r="AV118" s="21">
        <f>EXP(-LN(2)/25)*AV117+(1-EXP(-LN(2)/25))/(LN(2)/25)*Calculateur!AQ118*Calculateur!AS118*VLOOKUP('Données projet'!$B$10,Paramètres!$A$1:$I$89,3,0)*0.475*44/12</f>
        <v>1.9692860770406919</v>
      </c>
      <c r="AW118" s="21">
        <f>EXP(-LN(2)/2)*AW117+(1-EXP(-LN(2)/2))/(LN(2)/2)*AQ118*AT118*VLOOKUP('Données projet'!$B$10,Paramètres!$A$1:$I$89,3,0)*0.475*44/12</f>
        <v>3.2462281888827937E-12</v>
      </c>
      <c r="AX118" s="21">
        <f t="shared" si="60"/>
        <v>3.2608603497305952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252.98248842635206</v>
      </c>
      <c r="BJ118" s="59">
        <f t="shared" si="92"/>
        <v>207.11938580878308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4.5474735088646412E-13</v>
      </c>
      <c r="BZ118" s="13">
        <f>BY118*VLOOKUP('Données projet'!$B$12,Paramètres!$A$1:$I$89,3,0)*VLOOKUP('Données projet'!$B$12,Paramètres!$A$1:$I$89,5,0)</f>
        <v>2.5420376914553347E-13</v>
      </c>
      <c r="CA118" s="13">
        <f t="shared" si="93"/>
        <v>3.4258699088369875E-12</v>
      </c>
      <c r="CB118" s="20">
        <f t="shared" si="64"/>
        <v>6.4094616558195571E-12</v>
      </c>
      <c r="CC118" s="59">
        <f t="shared" si="65"/>
        <v>293.33333333333974</v>
      </c>
      <c r="CD118" s="59">
        <f ca="1">AVERAGE(OFFSET($CC$3,0,0,'Données projet'!$E$12+1,1))-AVERAGE(OFFSET($H$3,0,0,'Données projet'!$E$12+1,1))</f>
        <v>401.06118089678654</v>
      </c>
      <c r="CE118" s="59">
        <f t="shared" si="94"/>
        <v>399.58193819355591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1.909108221814966</v>
      </c>
      <c r="CL118" s="21">
        <f>EXP(-LN(2)/25)*CL117+(1-EXP(-LN(2)/25))/(LN(2)/25)*Calculateur!CG118*Calculateur!CI118*VLOOKUP('Données projet'!$B$12,Paramètres!$A$1:$I$89,3,0)*0.475*44/12</f>
        <v>3.1645943884280037</v>
      </c>
      <c r="CM118" s="21">
        <f>EXP(-LN(2)/2)*CM117+(1-EXP(-LN(2)/2))/(LN(2)/2)*CG118*CJ118*VLOOKUP('Données projet'!$B$12,Paramètres!$A$1:$I$89,3,0)*0.475*44/12</f>
        <v>5.2622086636463339E-12</v>
      </c>
      <c r="CN118" s="22">
        <f t="shared" si="66"/>
        <v>5.0737026102482323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285.77483300338548</v>
      </c>
      <c r="CZ118" s="59">
        <f t="shared" si="96"/>
        <v>320.55212417690637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1.5498891272239899</v>
      </c>
      <c r="DG118" s="21">
        <f>EXP(-LN(2)/25)*DG117+(1-EXP(-LN(2)/25))/(LN(2)/25)*Calculateur!DB118*Calculateur!DD118*VLOOKUP('Données projet'!$B$13,Paramètres!$A$1:$I$89,3,0)*0.475*44/12</f>
        <v>2.6401762621429468</v>
      </c>
      <c r="DH118" s="21">
        <f>EXP(-LN(2)/2)*DH117+(1-EXP(-LN(2)/2))/(LN(2)/2)*DB118*DE118*VLOOKUP('Données projet'!$B$13,Paramètres!$A$1:$I$89,3,0)*0.475*44/12</f>
        <v>3.9231617215453914E-12</v>
      </c>
      <c r="DI118" s="22">
        <f t="shared" si="69"/>
        <v>4.1900653893708597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-5.6843418860808015E-13</v>
      </c>
      <c r="O119" s="13">
        <f>N119*VLOOKUP('Données projet'!$B$9,Paramètres!$A$1:$I$89,3,0)*VLOOKUP('Données projet'!$B$9,Paramètres!$A$1:$I$89,5,0)</f>
        <v>-3.177547114319168E-13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356.67698551373468</v>
      </c>
      <c r="T119" s="59">
        <f t="shared" si="88"/>
        <v>353.21836615408171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0.83185412178942775</v>
      </c>
      <c r="AA119" s="21">
        <f>EXP(-LN(2)/25)*AA118+(1-EXP(-LN(2)/25))/(LN(2)/25)*Calculateur!V119*Calculateur!X119*VLOOKUP('Données projet'!$B$9,Paramètres!$A$1:$I$89,3,0)*0.475*44/12</f>
        <v>2.7801905517011898</v>
      </c>
      <c r="AB119" s="21">
        <f>EXP(-LN(2)/2)*AB118+(1-EXP(-LN(2)/2))/(LN(2)/2)*V119*Y119*VLOOKUP('Données projet'!$B$9,Paramètres!$A$1:$I$89,3,0)*0.475*44/12</f>
        <v>3.6973333829377272E-12</v>
      </c>
      <c r="AC119" s="22">
        <f t="shared" si="57"/>
        <v>3.612044673494315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3.9017322706058616E-13</v>
      </c>
      <c r="AK119" s="13">
        <f t="shared" si="89"/>
        <v>5.0025007393608908E-12</v>
      </c>
      <c r="AL119" s="20">
        <f t="shared" si="58"/>
        <v>9.3922404915174053E-12</v>
      </c>
      <c r="AM119" s="59">
        <f t="shared" si="59"/>
        <v>293.33333333334269</v>
      </c>
      <c r="AN119" s="59">
        <f ca="1">AVERAGE(OFFSET($AM$3,0,0,'Données projet'!$E$10+1,1))-AVERAGE(OFFSET($H$3,0,0,'Données projet'!$E$10+1,1))</f>
        <v>240.30073883588199</v>
      </c>
      <c r="AO119" s="59">
        <f t="shared" si="90"/>
        <v>263.20351282678843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1.2662472889817911</v>
      </c>
      <c r="AV119" s="21">
        <f>EXP(-LN(2)/25)*AV118+(1-EXP(-LN(2)/25))/(LN(2)/25)*Calculateur!AQ119*Calculateur!AS119*VLOOKUP('Données projet'!$B$10,Paramètres!$A$1:$I$89,3,0)*0.475*44/12</f>
        <v>1.9154358457037604</v>
      </c>
      <c r="AW119" s="21">
        <f>EXP(-LN(2)/2)*AW118+(1-EXP(-LN(2)/2))/(LN(2)/2)*AQ119*AT119*VLOOKUP('Données projet'!$B$10,Paramètres!$A$1:$I$89,3,0)*0.475*44/12</f>
        <v>2.295429965637948E-12</v>
      </c>
      <c r="AX119" s="21">
        <f t="shared" si="60"/>
        <v>3.1816831346878467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252.98248842635206</v>
      </c>
      <c r="BJ119" s="59">
        <f t="shared" si="92"/>
        <v>207.11938580878308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4.5474735088646412E-13</v>
      </c>
      <c r="BZ119" s="13">
        <f>BY119*VLOOKUP('Données projet'!$B$12,Paramètres!$A$1:$I$89,3,0)*VLOOKUP('Données projet'!$B$12,Paramètres!$A$1:$I$89,5,0)</f>
        <v>2.5420376914553347E-13</v>
      </c>
      <c r="CA119" s="13">
        <f t="shared" si="93"/>
        <v>3.4258699088369875E-12</v>
      </c>
      <c r="CB119" s="20">
        <f t="shared" si="64"/>
        <v>6.4094616558195571E-12</v>
      </c>
      <c r="CC119" s="59">
        <f t="shared" si="65"/>
        <v>293.33333333333974</v>
      </c>
      <c r="CD119" s="59">
        <f ca="1">AVERAGE(OFFSET($CC$3,0,0,'Données projet'!$E$12+1,1))-AVERAGE(OFFSET($H$3,0,0,'Données projet'!$E$12+1,1))</f>
        <v>401.06118089678654</v>
      </c>
      <c r="CE119" s="59">
        <f t="shared" si="94"/>
        <v>399.58193819355591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1.8716717740262108</v>
      </c>
      <c r="CL119" s="21">
        <f>EXP(-LN(2)/25)*CL118+(1-EXP(-LN(2)/25))/(LN(2)/25)*Calculateur!CG119*Calculateur!CI119*VLOOKUP('Données projet'!$B$12,Paramètres!$A$1:$I$89,3,0)*0.475*44/12</f>
        <v>3.078058388457654</v>
      </c>
      <c r="CM119" s="21">
        <f>EXP(-LN(2)/2)*CM118+(1-EXP(-LN(2)/2))/(LN(2)/2)*CG119*CJ119*VLOOKUP('Données projet'!$B$12,Paramètres!$A$1:$I$89,3,0)*0.475*44/12</f>
        <v>3.7209434300829227E-12</v>
      </c>
      <c r="CN119" s="22">
        <f t="shared" si="66"/>
        <v>4.9497301624875858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285.77483300338548</v>
      </c>
      <c r="CZ119" s="59">
        <f t="shared" si="96"/>
        <v>320.55212417690637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1.5194967467781506</v>
      </c>
      <c r="DG119" s="21">
        <f>EXP(-LN(2)/25)*DG118+(1-EXP(-LN(2)/25))/(LN(2)/25)*Calculateur!DB119*Calculateur!DD119*VLOOKUP('Données projet'!$B$13,Paramètres!$A$1:$I$89,3,0)*0.475*44/12</f>
        <v>2.5679805034138123</v>
      </c>
      <c r="DH119" s="21">
        <f>EXP(-LN(2)/2)*DH118+(1-EXP(-LN(2)/2))/(LN(2)/2)*DB119*DE119*VLOOKUP('Données projet'!$B$13,Paramètres!$A$1:$I$89,3,0)*0.475*44/12</f>
        <v>2.7740942569962362E-12</v>
      </c>
      <c r="DI119" s="22">
        <f t="shared" si="69"/>
        <v>4.0874772501947367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-5.6843418860808015E-13</v>
      </c>
      <c r="O120" s="13">
        <f>N120*VLOOKUP('Données projet'!$B$9,Paramètres!$A$1:$I$89,3,0)*VLOOKUP('Données projet'!$B$9,Paramètres!$A$1:$I$89,5,0)</f>
        <v>-3.177547114319168E-13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356.67698551373468</v>
      </c>
      <c r="T120" s="59">
        <f t="shared" si="88"/>
        <v>353.21836615408171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0.81554196984205163</v>
      </c>
      <c r="AA120" s="21">
        <f>EXP(-LN(2)/25)*AA119+(1-EXP(-LN(2)/25))/(LN(2)/25)*Calculateur!V120*Calculateur!X120*VLOOKUP('Données projet'!$B$9,Paramètres!$A$1:$I$89,3,0)*0.475*44/12</f>
        <v>2.704166094861054</v>
      </c>
      <c r="AB120" s="21">
        <f>EXP(-LN(2)/2)*AB119+(1-EXP(-LN(2)/2))/(LN(2)/2)*V120*Y120*VLOOKUP('Données projet'!$B$9,Paramètres!$A$1:$I$89,3,0)*0.475*44/12</f>
        <v>2.614409507382665E-12</v>
      </c>
      <c r="AC120" s="22">
        <f t="shared" si="57"/>
        <v>3.51970806470572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3.9017322706058616E-13</v>
      </c>
      <c r="AK120" s="13">
        <f t="shared" si="89"/>
        <v>5.0025007393608908E-12</v>
      </c>
      <c r="AL120" s="20">
        <f t="shared" si="58"/>
        <v>9.3922404915174053E-12</v>
      </c>
      <c r="AM120" s="59">
        <f t="shared" si="59"/>
        <v>293.33333333334269</v>
      </c>
      <c r="AN120" s="59">
        <f ca="1">AVERAGE(OFFSET($AM$3,0,0,'Données projet'!$E$10+1,1))-AVERAGE(OFFSET($H$3,0,0,'Données projet'!$E$10+1,1))</f>
        <v>240.30073883588199</v>
      </c>
      <c r="AO120" s="59">
        <f t="shared" si="90"/>
        <v>263.20351282678843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1.2414169519794427</v>
      </c>
      <c r="AV120" s="21">
        <f>EXP(-LN(2)/25)*AV119+(1-EXP(-LN(2)/25))/(LN(2)/25)*Calculateur!AQ120*Calculateur!AS120*VLOOKUP('Données projet'!$B$10,Paramètres!$A$1:$I$89,3,0)*0.475*44/12</f>
        <v>1.8630581517745977</v>
      </c>
      <c r="AW120" s="21">
        <f>EXP(-LN(2)/2)*AW119+(1-EXP(-LN(2)/2))/(LN(2)/2)*AQ120*AT120*VLOOKUP('Données projet'!$B$10,Paramètres!$A$1:$I$89,3,0)*0.475*44/12</f>
        <v>1.6231140944413969E-12</v>
      </c>
      <c r="AX120" s="21">
        <f t="shared" si="60"/>
        <v>3.1044751037556635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252.98248842635206</v>
      </c>
      <c r="BJ120" s="59">
        <f t="shared" si="92"/>
        <v>207.11938580878308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4.5474735088646412E-13</v>
      </c>
      <c r="BZ120" s="13">
        <f>BY120*VLOOKUP('Données projet'!$B$12,Paramètres!$A$1:$I$89,3,0)*VLOOKUP('Données projet'!$B$12,Paramètres!$A$1:$I$89,5,0)</f>
        <v>2.5420376914553347E-13</v>
      </c>
      <c r="CA120" s="13">
        <f t="shared" si="93"/>
        <v>3.4258699088369875E-12</v>
      </c>
      <c r="CB120" s="20">
        <f t="shared" si="64"/>
        <v>6.4094616558195571E-12</v>
      </c>
      <c r="CC120" s="59">
        <f t="shared" si="65"/>
        <v>293.33333333333974</v>
      </c>
      <c r="CD120" s="59">
        <f ca="1">AVERAGE(OFFSET($CC$3,0,0,'Données projet'!$E$12+1,1))-AVERAGE(OFFSET($H$3,0,0,'Données projet'!$E$12+1,1))</f>
        <v>401.06118089678654</v>
      </c>
      <c r="CE120" s="59">
        <f t="shared" si="94"/>
        <v>399.58193819355591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1.8349694321446146</v>
      </c>
      <c r="CL120" s="21">
        <f>EXP(-LN(2)/25)*CL119+(1-EXP(-LN(2)/25))/(LN(2)/25)*Calculateur!CG120*Calculateur!CI120*VLOOKUP('Données projet'!$B$12,Paramètres!$A$1:$I$89,3,0)*0.475*44/12</f>
        <v>2.9938887199572237</v>
      </c>
      <c r="CM120" s="21">
        <f>EXP(-LN(2)/2)*CM119+(1-EXP(-LN(2)/2))/(LN(2)/2)*CG120*CJ120*VLOOKUP('Données projet'!$B$12,Paramètres!$A$1:$I$89,3,0)*0.475*44/12</f>
        <v>2.6311043318231669E-12</v>
      </c>
      <c r="CN120" s="22">
        <f t="shared" si="66"/>
        <v>4.8288581521044689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285.77483300338548</v>
      </c>
      <c r="CZ120" s="59">
        <f t="shared" si="96"/>
        <v>320.55212417690637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1.4897003423753326</v>
      </c>
      <c r="DG120" s="21">
        <f>EXP(-LN(2)/25)*DG119+(1-EXP(-LN(2)/25))/(LN(2)/25)*Calculateur!DB120*Calculateur!DD120*VLOOKUP('Données projet'!$B$13,Paramètres!$A$1:$I$89,3,0)*0.475*44/12</f>
        <v>2.497758941503736</v>
      </c>
      <c r="DH120" s="21">
        <f>EXP(-LN(2)/2)*DH119+(1-EXP(-LN(2)/2))/(LN(2)/2)*DB120*DE120*VLOOKUP('Données projet'!$B$13,Paramètres!$A$1:$I$89,3,0)*0.475*44/12</f>
        <v>1.9615808607726957E-12</v>
      </c>
      <c r="DI120" s="22">
        <f t="shared" si="69"/>
        <v>3.9874592838810301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-5.6843418860808015E-13</v>
      </c>
      <c r="O121" s="13">
        <f>N121*VLOOKUP('Données projet'!$B$9,Paramètres!$A$1:$I$89,3,0)*VLOOKUP('Données projet'!$B$9,Paramètres!$A$1:$I$89,5,0)</f>
        <v>-3.177547114319168E-13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356.67698551373468</v>
      </c>
      <c r="T121" s="59">
        <f t="shared" si="88"/>
        <v>353.21836615408171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0.7995496892449333</v>
      </c>
      <c r="AA121" s="21">
        <f>EXP(-LN(2)/25)*AA120+(1-EXP(-LN(2)/25))/(LN(2)/25)*Calculateur!V121*Calculateur!X121*VLOOKUP('Données projet'!$B$9,Paramètres!$A$1:$I$89,3,0)*0.475*44/12</f>
        <v>2.6302205307911639</v>
      </c>
      <c r="AB121" s="21">
        <f>EXP(-LN(2)/2)*AB120+(1-EXP(-LN(2)/2))/(LN(2)/2)*V121*Y121*VLOOKUP('Données projet'!$B$9,Paramètres!$A$1:$I$89,3,0)*0.475*44/12</f>
        <v>1.8486666914688636E-12</v>
      </c>
      <c r="AC121" s="22">
        <f t="shared" si="57"/>
        <v>3.4297702200379461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3.9017322706058616E-13</v>
      </c>
      <c r="AK121" s="13">
        <f t="shared" si="89"/>
        <v>5.0025007393608908E-12</v>
      </c>
      <c r="AL121" s="20">
        <f t="shared" si="58"/>
        <v>9.3922404915174053E-12</v>
      </c>
      <c r="AM121" s="59">
        <f t="shared" si="59"/>
        <v>293.33333333334269</v>
      </c>
      <c r="AN121" s="59">
        <f ca="1">AVERAGE(OFFSET($AM$3,0,0,'Données projet'!$E$10+1,1))-AVERAGE(OFFSET($H$3,0,0,'Données projet'!$E$10+1,1))</f>
        <v>240.30073883588199</v>
      </c>
      <c r="AO121" s="59">
        <f t="shared" si="90"/>
        <v>263.20351282678843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1.2170735227407004</v>
      </c>
      <c r="AV121" s="21">
        <f>EXP(-LN(2)/25)*AV120+(1-EXP(-LN(2)/25))/(LN(2)/25)*Calculateur!AQ121*Calculateur!AS121*VLOOKUP('Données projet'!$B$10,Paramètres!$A$1:$I$89,3,0)*0.475*44/12</f>
        <v>1.8121127286403511</v>
      </c>
      <c r="AW121" s="21">
        <f>EXP(-LN(2)/2)*AW120+(1-EXP(-LN(2)/2))/(LN(2)/2)*AQ121*AT121*VLOOKUP('Données projet'!$B$10,Paramètres!$A$1:$I$89,3,0)*0.475*44/12</f>
        <v>1.147714982818974E-12</v>
      </c>
      <c r="AX121" s="21">
        <f t="shared" si="60"/>
        <v>3.0291862513821988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252.98248842635206</v>
      </c>
      <c r="BJ121" s="59">
        <f t="shared" si="92"/>
        <v>207.11938580878308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4.5474735088646412E-13</v>
      </c>
      <c r="BZ121" s="13">
        <f>BY121*VLOOKUP('Données projet'!$B$12,Paramètres!$A$1:$I$89,3,0)*VLOOKUP('Données projet'!$B$12,Paramètres!$A$1:$I$89,5,0)</f>
        <v>2.5420376914553347E-13</v>
      </c>
      <c r="CA121" s="13">
        <f t="shared" si="93"/>
        <v>3.4258699088369875E-12</v>
      </c>
      <c r="CB121" s="20">
        <f t="shared" si="64"/>
        <v>6.4094616558195571E-12</v>
      </c>
      <c r="CC121" s="59">
        <f t="shared" si="65"/>
        <v>293.33333333333974</v>
      </c>
      <c r="CD121" s="59">
        <f ca="1">AVERAGE(OFFSET($CC$3,0,0,'Données projet'!$E$12+1,1))-AVERAGE(OFFSET($H$3,0,0,'Données projet'!$E$12+1,1))</f>
        <v>401.06118089678654</v>
      </c>
      <c r="CE121" s="59">
        <f t="shared" si="94"/>
        <v>399.58193819355591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1.7989868008010985</v>
      </c>
      <c r="CL121" s="21">
        <f>EXP(-LN(2)/25)*CL120+(1-EXP(-LN(2)/25))/(LN(2)/25)*Calculateur!CG121*Calculateur!CI121*VLOOKUP('Données projet'!$B$12,Paramètres!$A$1:$I$89,3,0)*0.475*44/12</f>
        <v>2.9120206754682281</v>
      </c>
      <c r="CM121" s="21">
        <f>EXP(-LN(2)/2)*CM120+(1-EXP(-LN(2)/2))/(LN(2)/2)*CG121*CJ121*VLOOKUP('Données projet'!$B$12,Paramètres!$A$1:$I$89,3,0)*0.475*44/12</f>
        <v>1.8604717150414614E-12</v>
      </c>
      <c r="CN121" s="22">
        <f t="shared" si="66"/>
        <v>4.7110074762711873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285.77483300338548</v>
      </c>
      <c r="CZ121" s="59">
        <f t="shared" si="96"/>
        <v>320.55212417690637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1.4604882272888415</v>
      </c>
      <c r="DG121" s="21">
        <f>EXP(-LN(2)/25)*DG120+(1-EXP(-LN(2)/25))/(LN(2)/25)*Calculateur!DB121*Calculateur!DD121*VLOOKUP('Données projet'!$B$13,Paramètres!$A$1:$I$89,3,0)*0.475*44/12</f>
        <v>2.4294575918968824</v>
      </c>
      <c r="DH121" s="21">
        <f>EXP(-LN(2)/2)*DH120+(1-EXP(-LN(2)/2))/(LN(2)/2)*DB121*DE121*VLOOKUP('Données projet'!$B$13,Paramètres!$A$1:$I$89,3,0)*0.475*44/12</f>
        <v>1.3870471284981181E-12</v>
      </c>
      <c r="DI121" s="22">
        <f t="shared" si="69"/>
        <v>3.8899458191871106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-5.6843418860808015E-13</v>
      </c>
      <c r="O122" s="13">
        <f>N122*VLOOKUP('Données projet'!$B$9,Paramètres!$A$1:$I$89,3,0)*VLOOKUP('Données projet'!$B$9,Paramètres!$A$1:$I$89,5,0)</f>
        <v>-3.177547114319168E-13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356.67698551373468</v>
      </c>
      <c r="T122" s="59">
        <f t="shared" si="88"/>
        <v>353.21836615408171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0.78387100751599648</v>
      </c>
      <c r="AA122" s="21">
        <f>EXP(-LN(2)/25)*AA121+(1-EXP(-LN(2)/25))/(LN(2)/25)*Calculateur!V122*Calculateur!X122*VLOOKUP('Données projet'!$B$9,Paramètres!$A$1:$I$89,3,0)*0.475*44/12</f>
        <v>2.5582970120593931</v>
      </c>
      <c r="AB122" s="21">
        <f>EXP(-LN(2)/2)*AB121+(1-EXP(-LN(2)/2))/(LN(2)/2)*V122*Y122*VLOOKUP('Données projet'!$B$9,Paramètres!$A$1:$I$89,3,0)*0.475*44/12</f>
        <v>1.3072047536913325E-12</v>
      </c>
      <c r="AC122" s="22">
        <f t="shared" si="57"/>
        <v>3.3421680195766967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3.9017322706058616E-13</v>
      </c>
      <c r="AK122" s="13">
        <f t="shared" si="89"/>
        <v>5.0025007393608908E-12</v>
      </c>
      <c r="AL122" s="20">
        <f t="shared" si="58"/>
        <v>9.3922404915174053E-12</v>
      </c>
      <c r="AM122" s="59">
        <f t="shared" si="59"/>
        <v>293.33333333334269</v>
      </c>
      <c r="AN122" s="59">
        <f ca="1">AVERAGE(OFFSET($AM$3,0,0,'Données projet'!$E$10+1,1))-AVERAGE(OFFSET($H$3,0,0,'Données projet'!$E$10+1,1))</f>
        <v>240.30073883588199</v>
      </c>
      <c r="AO122" s="59">
        <f t="shared" si="90"/>
        <v>263.20351282678843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1.193207453301304</v>
      </c>
      <c r="AV122" s="21">
        <f>EXP(-LN(2)/25)*AV121+(1-EXP(-LN(2)/25))/(LN(2)/25)*Calculateur!AQ122*Calculateur!AS122*VLOOKUP('Données projet'!$B$10,Paramètres!$A$1:$I$89,3,0)*0.475*44/12</f>
        <v>1.7625604107808139</v>
      </c>
      <c r="AW122" s="21">
        <f>EXP(-LN(2)/2)*AW121+(1-EXP(-LN(2)/2))/(LN(2)/2)*AQ122*AT122*VLOOKUP('Données projet'!$B$10,Paramètres!$A$1:$I$89,3,0)*0.475*44/12</f>
        <v>8.1155704722069843E-13</v>
      </c>
      <c r="AX122" s="21">
        <f t="shared" si="60"/>
        <v>2.955767864082929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252.98248842635206</v>
      </c>
      <c r="BJ122" s="59">
        <f t="shared" si="92"/>
        <v>207.11938580878308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4.5474735088646412E-13</v>
      </c>
      <c r="BZ122" s="13">
        <f>BY122*VLOOKUP('Données projet'!$B$12,Paramètres!$A$1:$I$89,3,0)*VLOOKUP('Données projet'!$B$12,Paramètres!$A$1:$I$89,5,0)</f>
        <v>2.5420376914553347E-13</v>
      </c>
      <c r="CA122" s="13">
        <f t="shared" si="93"/>
        <v>3.4258699088369875E-12</v>
      </c>
      <c r="CB122" s="20">
        <f t="shared" si="64"/>
        <v>6.4094616558195571E-12</v>
      </c>
      <c r="CC122" s="59">
        <f t="shared" si="65"/>
        <v>293.33333333333974</v>
      </c>
      <c r="CD122" s="59">
        <f ca="1">AVERAGE(OFFSET($CC$3,0,0,'Données projet'!$E$12+1,1))-AVERAGE(OFFSET($H$3,0,0,'Données projet'!$E$12+1,1))</f>
        <v>401.06118089678654</v>
      </c>
      <c r="CE122" s="59">
        <f t="shared" si="94"/>
        <v>399.58193819355591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1.7637097669109907</v>
      </c>
      <c r="CL122" s="21">
        <f>EXP(-LN(2)/25)*CL121+(1-EXP(-LN(2)/25))/(LN(2)/25)*Calculateur!CG122*Calculateur!CI122*VLOOKUP('Données projet'!$B$12,Paramètres!$A$1:$I$89,3,0)*0.475*44/12</f>
        <v>2.8323913169610377</v>
      </c>
      <c r="CM122" s="21">
        <f>EXP(-LN(2)/2)*CM121+(1-EXP(-LN(2)/2))/(LN(2)/2)*CG122*CJ122*VLOOKUP('Données projet'!$B$12,Paramètres!$A$1:$I$89,3,0)*0.475*44/12</f>
        <v>1.3155521659115835E-12</v>
      </c>
      <c r="CN122" s="22">
        <f t="shared" si="66"/>
        <v>4.5961010838733438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285.77483300338548</v>
      </c>
      <c r="CZ122" s="59">
        <f t="shared" si="96"/>
        <v>320.55212417690637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1.4318489439615658</v>
      </c>
      <c r="DG122" s="21">
        <f>EXP(-LN(2)/25)*DG121+(1-EXP(-LN(2)/25))/(LN(2)/25)*Calculateur!DB122*Calculateur!DD122*VLOOKUP('Données projet'!$B$13,Paramètres!$A$1:$I$89,3,0)*0.475*44/12</f>
        <v>2.3630239462868401</v>
      </c>
      <c r="DH122" s="21">
        <f>EXP(-LN(2)/2)*DH121+(1-EXP(-LN(2)/2))/(LN(2)/2)*DB122*DE122*VLOOKUP('Données projet'!$B$13,Paramètres!$A$1:$I$89,3,0)*0.475*44/12</f>
        <v>9.8079043038634786E-13</v>
      </c>
      <c r="DI122" s="22">
        <f t="shared" si="69"/>
        <v>3.7948728902493869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-5.6843418860808015E-13</v>
      </c>
      <c r="O123" s="13">
        <f>N123*VLOOKUP('Données projet'!$B$9,Paramètres!$A$1:$I$89,3,0)*VLOOKUP('Données projet'!$B$9,Paramètres!$A$1:$I$89,5,0)</f>
        <v>-3.177547114319168E-13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356.67698551373468</v>
      </c>
      <c r="T123" s="59">
        <f t="shared" si="88"/>
        <v>353.21836615408171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0.76849977517271251</v>
      </c>
      <c r="AA123" s="21">
        <f>EXP(-LN(2)/25)*AA122+(1-EXP(-LN(2)/25))/(LN(2)/25)*Calculateur!V123*Calculateur!X123*VLOOKUP('Données projet'!$B$9,Paramètres!$A$1:$I$89,3,0)*0.475*44/12</f>
        <v>2.4883402457296362</v>
      </c>
      <c r="AB123" s="21">
        <f>EXP(-LN(2)/2)*AB122+(1-EXP(-LN(2)/2))/(LN(2)/2)*V123*Y123*VLOOKUP('Données projet'!$B$9,Paramètres!$A$1:$I$89,3,0)*0.475*44/12</f>
        <v>9.2433334573443181E-13</v>
      </c>
      <c r="AC123" s="22">
        <f t="shared" si="57"/>
        <v>3.2568400209032728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3.9017322706058616E-13</v>
      </c>
      <c r="AK123" s="13">
        <f t="shared" si="89"/>
        <v>5.0025007393608908E-12</v>
      </c>
      <c r="AL123" s="20">
        <f t="shared" si="58"/>
        <v>9.3922404915174053E-12</v>
      </c>
      <c r="AM123" s="59">
        <f t="shared" si="59"/>
        <v>293.33333333334269</v>
      </c>
      <c r="AN123" s="59">
        <f ca="1">AVERAGE(OFFSET($AM$3,0,0,'Données projet'!$E$10+1,1))-AVERAGE(OFFSET($H$3,0,0,'Données projet'!$E$10+1,1))</f>
        <v>240.30073883588199</v>
      </c>
      <c r="AO123" s="59">
        <f t="shared" si="90"/>
        <v>263.20351282678843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1.1698093829267491</v>
      </c>
      <c r="AV123" s="21">
        <f>EXP(-LN(2)/25)*AV122+(1-EXP(-LN(2)/25))/(LN(2)/25)*Calculateur!AQ123*Calculateur!AS123*VLOOKUP('Données projet'!$B$10,Paramètres!$A$1:$I$89,3,0)*0.475*44/12</f>
        <v>1.714363103658989</v>
      </c>
      <c r="AW123" s="21">
        <f>EXP(-LN(2)/2)*AW122+(1-EXP(-LN(2)/2))/(LN(2)/2)*AQ123*AT123*VLOOKUP('Données projet'!$B$10,Paramètres!$A$1:$I$89,3,0)*0.475*44/12</f>
        <v>5.7385749140948701E-13</v>
      </c>
      <c r="AX123" s="21">
        <f t="shared" si="60"/>
        <v>2.8841724865863121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252.98248842635206</v>
      </c>
      <c r="BJ123" s="59">
        <f t="shared" si="92"/>
        <v>207.11938580878308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4.5474735088646412E-13</v>
      </c>
      <c r="BZ123" s="13">
        <f>BY123*VLOOKUP('Données projet'!$B$12,Paramètres!$A$1:$I$89,3,0)*VLOOKUP('Données projet'!$B$12,Paramètres!$A$1:$I$89,5,0)</f>
        <v>2.5420376914553347E-13</v>
      </c>
      <c r="CA123" s="13">
        <f t="shared" si="93"/>
        <v>3.4258699088369875E-12</v>
      </c>
      <c r="CB123" s="20">
        <f t="shared" si="64"/>
        <v>6.4094616558195571E-12</v>
      </c>
      <c r="CC123" s="59">
        <f t="shared" si="65"/>
        <v>293.33333333333974</v>
      </c>
      <c r="CD123" s="59">
        <f ca="1">AVERAGE(OFFSET($CC$3,0,0,'Données projet'!$E$12+1,1))-AVERAGE(OFFSET($H$3,0,0,'Données projet'!$E$12+1,1))</f>
        <v>401.06118089678654</v>
      </c>
      <c r="CE123" s="59">
        <f t="shared" si="94"/>
        <v>399.58193819355591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1.7291244941386019</v>
      </c>
      <c r="CL123" s="21">
        <f>EXP(-LN(2)/25)*CL122+(1-EXP(-LN(2)/25))/(LN(2)/25)*Calculateur!CG123*Calculateur!CI123*VLOOKUP('Données projet'!$B$12,Paramètres!$A$1:$I$89,3,0)*0.475*44/12</f>
        <v>2.7549394274497523</v>
      </c>
      <c r="CM123" s="21">
        <f>EXP(-LN(2)/2)*CM122+(1-EXP(-LN(2)/2))/(LN(2)/2)*CG123*CJ123*VLOOKUP('Données projet'!$B$12,Paramètres!$A$1:$I$89,3,0)*0.475*44/12</f>
        <v>9.3023585752073068E-13</v>
      </c>
      <c r="CN123" s="22">
        <f t="shared" si="66"/>
        <v>4.4840639215892839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285.77483300338548</v>
      </c>
      <c r="CZ123" s="59">
        <f t="shared" si="96"/>
        <v>320.55212417690637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1.4037712595120999</v>
      </c>
      <c r="DG123" s="21">
        <f>EXP(-LN(2)/25)*DG122+(1-EXP(-LN(2)/25))/(LN(2)/25)*Calculateur!DB123*Calculateur!DD123*VLOOKUP('Données projet'!$B$13,Paramètres!$A$1:$I$89,3,0)*0.475*44/12</f>
        <v>2.2984069322095979</v>
      </c>
      <c r="DH123" s="21">
        <f>EXP(-LN(2)/2)*DH122+(1-EXP(-LN(2)/2))/(LN(2)/2)*DB123*DE123*VLOOKUP('Données projet'!$B$13,Paramètres!$A$1:$I$89,3,0)*0.475*44/12</f>
        <v>6.9352356424905906E-13</v>
      </c>
      <c r="DI123" s="22">
        <f t="shared" si="69"/>
        <v>3.7021781917223917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-3.177547114319168E-13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356.67698551373468</v>
      </c>
      <c r="T124" s="59">
        <f t="shared" si="88"/>
        <v>353.21836615408171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0.75342996332015433</v>
      </c>
      <c r="AA124" s="21">
        <f>EXP(-LN(2)/25)*AA123+(1-EXP(-LN(2)/25))/(LN(2)/25)*Calculateur!V124*Calculateur!X124*VLOOKUP('Données projet'!$B$9,Paramètres!$A$1:$I$89,3,0)*0.475*44/12</f>
        <v>2.4202964508540328</v>
      </c>
      <c r="AB124" s="21">
        <f>EXP(-LN(2)/2)*AB123+(1-EXP(-LN(2)/2))/(LN(2)/2)*V124*Y124*VLOOKUP('Données projet'!$B$9,Paramètres!$A$1:$I$89,3,0)*0.475*44/12</f>
        <v>6.5360237684566625E-13</v>
      </c>
      <c r="AC124" s="22">
        <f t="shared" si="57"/>
        <v>3.1737264141748409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3.9017322706058616E-13</v>
      </c>
      <c r="AK124" s="13">
        <f t="shared" si="89"/>
        <v>5.0025007393608908E-12</v>
      </c>
      <c r="AL124" s="20">
        <f t="shared" si="58"/>
        <v>9.3922404915174053E-12</v>
      </c>
      <c r="AM124" s="59">
        <f t="shared" si="59"/>
        <v>293.33333333334269</v>
      </c>
      <c r="AN124" s="59">
        <f ca="1">AVERAGE(OFFSET($AM$3,0,0,'Données projet'!$E$10+1,1))-AVERAGE(OFFSET($H$3,0,0,'Données projet'!$E$10+1,1))</f>
        <v>240.30073883588199</v>
      </c>
      <c r="AO124" s="59">
        <f t="shared" si="90"/>
        <v>263.20351282678843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1.1468701344408254</v>
      </c>
      <c r="AV124" s="21">
        <f>EXP(-LN(2)/25)*AV123+(1-EXP(-LN(2)/25))/(LN(2)/25)*Calculateur!AQ124*Calculateur!AS124*VLOOKUP('Données projet'!$B$10,Paramètres!$A$1:$I$89,3,0)*0.475*44/12</f>
        <v>1.6674837544349965</v>
      </c>
      <c r="AW124" s="21">
        <f>EXP(-LN(2)/2)*AW123+(1-EXP(-LN(2)/2))/(LN(2)/2)*AQ124*AT124*VLOOKUP('Données projet'!$B$10,Paramètres!$A$1:$I$89,3,0)*0.475*44/12</f>
        <v>4.0577852361034921E-13</v>
      </c>
      <c r="AX124" s="21">
        <f t="shared" si="60"/>
        <v>2.8143538888762278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252.98248842635206</v>
      </c>
      <c r="BJ124" s="59">
        <f t="shared" si="92"/>
        <v>207.11938580878308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4.5474735088646412E-13</v>
      </c>
      <c r="BZ124" s="13">
        <f>BY124*VLOOKUP('Données projet'!$B$12,Paramètres!$A$1:$I$89,3,0)*VLOOKUP('Données projet'!$B$12,Paramètres!$A$1:$I$89,5,0)</f>
        <v>2.5420376914553347E-13</v>
      </c>
      <c r="CA124" s="13">
        <f t="shared" si="93"/>
        <v>3.4258699088369875E-12</v>
      </c>
      <c r="CB124" s="20">
        <f t="shared" si="64"/>
        <v>6.4094616558195571E-12</v>
      </c>
      <c r="CC124" s="59">
        <f t="shared" si="65"/>
        <v>293.33333333333974</v>
      </c>
      <c r="CD124" s="59">
        <f ca="1">AVERAGE(OFFSET($CC$3,0,0,'Données projet'!$E$12+1,1))-AVERAGE(OFFSET($H$3,0,0,'Données projet'!$E$12+1,1))</f>
        <v>401.06118089678654</v>
      </c>
      <c r="CE124" s="59">
        <f t="shared" si="94"/>
        <v>399.58193819355591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1.6952174174703463</v>
      </c>
      <c r="CL124" s="21">
        <f>EXP(-LN(2)/25)*CL123+(1-EXP(-LN(2)/25))/(LN(2)/25)*Calculateur!CG124*Calculateur!CI124*VLOOKUP('Données projet'!$B$12,Paramètres!$A$1:$I$89,3,0)*0.475*44/12</f>
        <v>2.6796054639301707</v>
      </c>
      <c r="CM124" s="21">
        <f>EXP(-LN(2)/2)*CM123+(1-EXP(-LN(2)/2))/(LN(2)/2)*CG124*CJ124*VLOOKUP('Données projet'!$B$12,Paramètres!$A$1:$I$89,3,0)*0.475*44/12</f>
        <v>6.5777608295579173E-13</v>
      </c>
      <c r="CN124" s="22">
        <f t="shared" si="66"/>
        <v>4.3748228814011751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285.77483300338548</v>
      </c>
      <c r="CZ124" s="59">
        <f t="shared" si="96"/>
        <v>320.55212417690637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1.3762441613289917</v>
      </c>
      <c r="DG124" s="21">
        <f>EXP(-LN(2)/25)*DG123+(1-EXP(-LN(2)/25))/(LN(2)/25)*Calculateur!DB124*Calculateur!DD124*VLOOKUP('Données projet'!$B$13,Paramètres!$A$1:$I$89,3,0)*0.475*44/12</f>
        <v>2.2355568737803591</v>
      </c>
      <c r="DH124" s="21">
        <f>EXP(-LN(2)/2)*DH123+(1-EXP(-LN(2)/2))/(LN(2)/2)*DB124*DE124*VLOOKUP('Données projet'!$B$13,Paramètres!$A$1:$I$89,3,0)*0.475*44/12</f>
        <v>4.9039521519317393E-13</v>
      </c>
      <c r="DI124" s="22">
        <f t="shared" si="69"/>
        <v>3.6118010351098411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-3.177547114319168E-13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356.67698551373468</v>
      </c>
      <c r="T125" s="59">
        <f t="shared" si="88"/>
        <v>353.21836615408171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0.73865566128634719</v>
      </c>
      <c r="AA125" s="21">
        <f>EXP(-LN(2)/25)*AA124+(1-EXP(-LN(2)/25))/(LN(2)/25)*Calculateur!V125*Calculateur!X125*VLOOKUP('Données projet'!$B$9,Paramètres!$A$1:$I$89,3,0)*0.475*44/12</f>
        <v>2.3541133171275708</v>
      </c>
      <c r="AB125" s="21">
        <f>EXP(-LN(2)/2)*AB124+(1-EXP(-LN(2)/2))/(LN(2)/2)*V125*Y125*VLOOKUP('Données projet'!$B$9,Paramètres!$A$1:$I$89,3,0)*0.475*44/12</f>
        <v>4.621666728672159E-13</v>
      </c>
      <c r="AC125" s="22">
        <f t="shared" si="57"/>
        <v>3.0927689784143801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3.9017322706058616E-13</v>
      </c>
      <c r="AK125" s="13">
        <f t="shared" si="89"/>
        <v>5.0025007393608908E-12</v>
      </c>
      <c r="AL125" s="20">
        <f t="shared" si="58"/>
        <v>9.3922404915174053E-12</v>
      </c>
      <c r="AM125" s="59">
        <f t="shared" si="59"/>
        <v>293.33333333334269</v>
      </c>
      <c r="AN125" s="59">
        <f ca="1">AVERAGE(OFFSET($AM$3,0,0,'Données projet'!$E$10+1,1))-AVERAGE(OFFSET($H$3,0,0,'Données projet'!$E$10+1,1))</f>
        <v>240.30073883588199</v>
      </c>
      <c r="AO125" s="59">
        <f t="shared" si="90"/>
        <v>263.20351282678843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1.1243807106261507</v>
      </c>
      <c r="AV125" s="21">
        <f>EXP(-LN(2)/25)*AV124+(1-EXP(-LN(2)/25))/(LN(2)/25)*Calculateur!AQ125*Calculateur!AS125*VLOOKUP('Données projet'!$B$10,Paramètres!$A$1:$I$89,3,0)*0.475*44/12</f>
        <v>1.6218863234808121</v>
      </c>
      <c r="AW125" s="21">
        <f>EXP(-LN(2)/2)*AW124+(1-EXP(-LN(2)/2))/(LN(2)/2)*AQ125*AT125*VLOOKUP('Données projet'!$B$10,Paramètres!$A$1:$I$89,3,0)*0.475*44/12</f>
        <v>2.8692874570474351E-13</v>
      </c>
      <c r="AX125" s="21">
        <f t="shared" si="60"/>
        <v>2.7462670341072499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252.98248842635206</v>
      </c>
      <c r="BJ125" s="59">
        <f t="shared" si="92"/>
        <v>207.11938580878308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4.5474735088646412E-13</v>
      </c>
      <c r="BZ125" s="13">
        <f>BY125*VLOOKUP('Données projet'!$B$12,Paramètres!$A$1:$I$89,3,0)*VLOOKUP('Données projet'!$B$12,Paramètres!$A$1:$I$89,5,0)</f>
        <v>2.5420376914553347E-13</v>
      </c>
      <c r="CA125" s="13">
        <f t="shared" si="93"/>
        <v>3.4258699088369875E-12</v>
      </c>
      <c r="CB125" s="20">
        <f t="shared" si="64"/>
        <v>6.4094616558195571E-12</v>
      </c>
      <c r="CC125" s="59">
        <f t="shared" si="65"/>
        <v>293.33333333333974</v>
      </c>
      <c r="CD125" s="59">
        <f ca="1">AVERAGE(OFFSET($CC$3,0,0,'Données projet'!$E$12+1,1))-AVERAGE(OFFSET($H$3,0,0,'Données projet'!$E$12+1,1))</f>
        <v>401.06118089678654</v>
      </c>
      <c r="CE125" s="59">
        <f t="shared" si="94"/>
        <v>399.58193819355591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1.6619752378942803</v>
      </c>
      <c r="CL125" s="21">
        <f>EXP(-LN(2)/25)*CL124+(1-EXP(-LN(2)/25))/(LN(2)/25)*Calculateur!CG125*Calculateur!CI125*VLOOKUP('Données projet'!$B$12,Paramètres!$A$1:$I$89,3,0)*0.475*44/12</f>
        <v>2.6063315116046732</v>
      </c>
      <c r="CM125" s="21">
        <f>EXP(-LN(2)/2)*CM124+(1-EXP(-LN(2)/2))/(LN(2)/2)*CG125*CJ125*VLOOKUP('Données projet'!$B$12,Paramètres!$A$1:$I$89,3,0)*0.475*44/12</f>
        <v>4.6511792876036534E-13</v>
      </c>
      <c r="CN125" s="22">
        <f t="shared" si="66"/>
        <v>4.2683067494994189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285.77483300338548</v>
      </c>
      <c r="CZ125" s="59">
        <f t="shared" si="96"/>
        <v>320.55212417690637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1.3492568527513822</v>
      </c>
      <c r="DG125" s="21">
        <f>EXP(-LN(2)/25)*DG124+(1-EXP(-LN(2)/25))/(LN(2)/25)*Calculateur!DB125*Calculateur!DD125*VLOOKUP('Données projet'!$B$13,Paramètres!$A$1:$I$89,3,0)*0.475*44/12</f>
        <v>2.1744254535040084</v>
      </c>
      <c r="DH125" s="21">
        <f>EXP(-LN(2)/2)*DH124+(1-EXP(-LN(2)/2))/(LN(2)/2)*DB125*DE125*VLOOKUP('Données projet'!$B$13,Paramètres!$A$1:$I$89,3,0)*0.475*44/12</f>
        <v>3.4676178212452953E-13</v>
      </c>
      <c r="DI125" s="22">
        <f t="shared" si="69"/>
        <v>3.5236823062557376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-3.177547114319168E-13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356.67698551373468</v>
      </c>
      <c r="T126" s="59">
        <f t="shared" si="88"/>
        <v>353.21836615408171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0.72417107430398864</v>
      </c>
      <c r="AA126" s="21">
        <f>EXP(-LN(2)/25)*AA125+(1-EXP(-LN(2)/25))/(LN(2)/25)*Calculateur!V126*Calculateur!X126*VLOOKUP('Données projet'!$B$9,Paramètres!$A$1:$I$89,3,0)*0.475*44/12</f>
        <v>2.2897399646732786</v>
      </c>
      <c r="AB126" s="21">
        <f>EXP(-LN(2)/2)*AB125+(1-EXP(-LN(2)/2))/(LN(2)/2)*V126*Y126*VLOOKUP('Données projet'!$B$9,Paramètres!$A$1:$I$89,3,0)*0.475*44/12</f>
        <v>3.2680118842283312E-13</v>
      </c>
      <c r="AC126" s="22">
        <f t="shared" si="57"/>
        <v>3.0139110389775938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3.9017322706058616E-13</v>
      </c>
      <c r="AK126" s="13">
        <f t="shared" si="89"/>
        <v>5.0025007393608908E-12</v>
      </c>
      <c r="AL126" s="20">
        <f t="shared" si="58"/>
        <v>9.3922404915174053E-12</v>
      </c>
      <c r="AM126" s="59">
        <f t="shared" si="59"/>
        <v>293.33333333334269</v>
      </c>
      <c r="AN126" s="59">
        <f ca="1">AVERAGE(OFFSET($AM$3,0,0,'Données projet'!$E$10+1,1))-AVERAGE(OFFSET($H$3,0,0,'Données projet'!$E$10+1,1))</f>
        <v>240.30073883588199</v>
      </c>
      <c r="AO126" s="59">
        <f t="shared" si="90"/>
        <v>263.20351282678843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1.1023322906952879</v>
      </c>
      <c r="AV126" s="21">
        <f>EXP(-LN(2)/25)*AV125+(1-EXP(-LN(2)/25))/(LN(2)/25)*Calculateur!AQ126*Calculateur!AS126*VLOOKUP('Données projet'!$B$10,Paramètres!$A$1:$I$89,3,0)*0.475*44/12</f>
        <v>1.5775357566739343</v>
      </c>
      <c r="AW126" s="21">
        <f>EXP(-LN(2)/2)*AW125+(1-EXP(-LN(2)/2))/(LN(2)/2)*AQ126*AT126*VLOOKUP('Données projet'!$B$10,Paramètres!$A$1:$I$89,3,0)*0.475*44/12</f>
        <v>2.0288926180517461E-13</v>
      </c>
      <c r="AX126" s="21">
        <f t="shared" si="60"/>
        <v>2.6798680473694252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252.98248842635206</v>
      </c>
      <c r="BJ126" s="59">
        <f t="shared" si="92"/>
        <v>207.11938580878308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4.5474735088646412E-13</v>
      </c>
      <c r="BZ126" s="13">
        <f>BY126*VLOOKUP('Données projet'!$B$12,Paramètres!$A$1:$I$89,3,0)*VLOOKUP('Données projet'!$B$12,Paramètres!$A$1:$I$89,5,0)</f>
        <v>2.5420376914553347E-13</v>
      </c>
      <c r="CA126" s="13">
        <f t="shared" si="93"/>
        <v>3.4258699088369875E-12</v>
      </c>
      <c r="CB126" s="20">
        <f t="shared" si="64"/>
        <v>6.4094616558195571E-12</v>
      </c>
      <c r="CC126" s="59">
        <f t="shared" si="65"/>
        <v>293.33333333333974</v>
      </c>
      <c r="CD126" s="59">
        <f ca="1">AVERAGE(OFFSET($CC$3,0,0,'Données projet'!$E$12+1,1))-AVERAGE(OFFSET($H$3,0,0,'Données projet'!$E$12+1,1))</f>
        <v>401.06118089678654</v>
      </c>
      <c r="CE126" s="59">
        <f t="shared" si="94"/>
        <v>399.58193819355591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1.6293849171839736</v>
      </c>
      <c r="CL126" s="21">
        <f>EXP(-LN(2)/25)*CL125+(1-EXP(-LN(2)/25))/(LN(2)/25)*Calculateur!CG126*Calculateur!CI126*VLOOKUP('Données projet'!$B$12,Paramètres!$A$1:$I$89,3,0)*0.475*44/12</f>
        <v>2.5350612393588263</v>
      </c>
      <c r="CM126" s="21">
        <f>EXP(-LN(2)/2)*CM125+(1-EXP(-LN(2)/2))/(LN(2)/2)*CG126*CJ126*VLOOKUP('Données projet'!$B$12,Paramètres!$A$1:$I$89,3,0)*0.475*44/12</f>
        <v>3.2888804147789587E-13</v>
      </c>
      <c r="CN126" s="22">
        <f t="shared" si="66"/>
        <v>4.1644461565431286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285.77483300338548</v>
      </c>
      <c r="CZ126" s="59">
        <f t="shared" si="96"/>
        <v>320.55212417690637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1.3227987488343467</v>
      </c>
      <c r="DG126" s="21">
        <f>EXP(-LN(2)/25)*DG125+(1-EXP(-LN(2)/25))/(LN(2)/25)*Calculateur!DB126*Calculateur!DD126*VLOOKUP('Données projet'!$B$13,Paramètres!$A$1:$I$89,3,0)*0.475*44/12</f>
        <v>2.1149656751298762</v>
      </c>
      <c r="DH126" s="21">
        <f>EXP(-LN(2)/2)*DH125+(1-EXP(-LN(2)/2))/(LN(2)/2)*DB126*DE126*VLOOKUP('Données projet'!$B$13,Paramètres!$A$1:$I$89,3,0)*0.475*44/12</f>
        <v>2.4519760759658697E-13</v>
      </c>
      <c r="DI126" s="22">
        <f t="shared" si="69"/>
        <v>3.437764423964468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-3.177547114319168E-13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356.67698551373468</v>
      </c>
      <c r="T127" s="59">
        <f t="shared" si="88"/>
        <v>353.21836615408171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0.70997052123762838</v>
      </c>
      <c r="AA127" s="21">
        <f>EXP(-LN(2)/25)*AA126+(1-EXP(-LN(2)/25))/(LN(2)/25)*Calculateur!V127*Calculateur!X127*VLOOKUP('Données projet'!$B$9,Paramètres!$A$1:$I$89,3,0)*0.475*44/12</f>
        <v>2.2271269049270961</v>
      </c>
      <c r="AB127" s="21">
        <f>EXP(-LN(2)/2)*AB126+(1-EXP(-LN(2)/2))/(LN(2)/2)*V127*Y127*VLOOKUP('Données projet'!$B$9,Paramètres!$A$1:$I$89,3,0)*0.475*44/12</f>
        <v>2.3108333643360795E-13</v>
      </c>
      <c r="AC127" s="22">
        <f t="shared" si="57"/>
        <v>2.9370974261649554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3.9017322706058616E-13</v>
      </c>
      <c r="AK127" s="13">
        <f t="shared" si="89"/>
        <v>5.0025007393608908E-12</v>
      </c>
      <c r="AL127" s="20">
        <f t="shared" si="58"/>
        <v>9.3922404915174053E-12</v>
      </c>
      <c r="AM127" s="59">
        <f t="shared" si="59"/>
        <v>293.33333333334269</v>
      </c>
      <c r="AN127" s="59">
        <f ca="1">AVERAGE(OFFSET($AM$3,0,0,'Données projet'!$E$10+1,1))-AVERAGE(OFFSET($H$3,0,0,'Données projet'!$E$10+1,1))</f>
        <v>240.30073883588199</v>
      </c>
      <c r="AO127" s="59">
        <f t="shared" si="90"/>
        <v>263.20351282678843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1.0807162268310611</v>
      </c>
      <c r="AV127" s="21">
        <f>EXP(-LN(2)/25)*AV126+(1-EXP(-LN(2)/25))/(LN(2)/25)*Calculateur!AQ127*Calculateur!AS127*VLOOKUP('Données projet'!$B$10,Paramètres!$A$1:$I$89,3,0)*0.475*44/12</f>
        <v>1.5343979584486855</v>
      </c>
      <c r="AW127" s="21">
        <f>EXP(-LN(2)/2)*AW126+(1-EXP(-LN(2)/2))/(LN(2)/2)*AQ127*AT127*VLOOKUP('Données projet'!$B$10,Paramètres!$A$1:$I$89,3,0)*0.475*44/12</f>
        <v>1.4346437285237175E-13</v>
      </c>
      <c r="AX127" s="21">
        <f t="shared" si="60"/>
        <v>2.6151141852798898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252.98248842635206</v>
      </c>
      <c r="BJ127" s="59">
        <f t="shared" si="92"/>
        <v>207.11938580878308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4.5474735088646412E-13</v>
      </c>
      <c r="BZ127" s="13">
        <f>BY127*VLOOKUP('Données projet'!$B$12,Paramètres!$A$1:$I$89,3,0)*VLOOKUP('Données projet'!$B$12,Paramètres!$A$1:$I$89,5,0)</f>
        <v>2.5420376914553347E-13</v>
      </c>
      <c r="CA127" s="13">
        <f t="shared" si="93"/>
        <v>3.4258699088369875E-12</v>
      </c>
      <c r="CB127" s="20">
        <f t="shared" si="64"/>
        <v>6.4094616558195571E-12</v>
      </c>
      <c r="CC127" s="59">
        <f t="shared" si="65"/>
        <v>293.33333333333974</v>
      </c>
      <c r="CD127" s="59">
        <f ca="1">AVERAGE(OFFSET($CC$3,0,0,'Données projet'!$E$12+1,1))-AVERAGE(OFFSET($H$3,0,0,'Données projet'!$E$12+1,1))</f>
        <v>401.06118089678654</v>
      </c>
      <c r="CE127" s="59">
        <f t="shared" si="94"/>
        <v>399.58193819355591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1.5974336727846632</v>
      </c>
      <c r="CL127" s="21">
        <f>EXP(-LN(2)/25)*CL126+(1-EXP(-LN(2)/25))/(LN(2)/25)*Calculateur!CG127*Calculateur!CI127*VLOOKUP('Données projet'!$B$12,Paramètres!$A$1:$I$89,3,0)*0.475*44/12</f>
        <v>2.4657398564554827</v>
      </c>
      <c r="CM127" s="21">
        <f>EXP(-LN(2)/2)*CM126+(1-EXP(-LN(2)/2))/(LN(2)/2)*CG127*CJ127*VLOOKUP('Données projet'!$B$12,Paramètres!$A$1:$I$89,3,0)*0.475*44/12</f>
        <v>2.3255896438018267E-13</v>
      </c>
      <c r="CN127" s="22">
        <f t="shared" si="66"/>
        <v>4.0631735292403786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285.77483300338548</v>
      </c>
      <c r="CZ127" s="59">
        <f t="shared" si="96"/>
        <v>320.55212417690637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1.2968594721972744</v>
      </c>
      <c r="DG127" s="21">
        <f>EXP(-LN(2)/25)*DG126+(1-EXP(-LN(2)/25))/(LN(2)/25)*Calculateur!DB127*Calculateur!DD127*VLOOKUP('Données projet'!$B$13,Paramètres!$A$1:$I$89,3,0)*0.475*44/12</f>
        <v>2.0571318275222388</v>
      </c>
      <c r="DH127" s="21">
        <f>EXP(-LN(2)/2)*DH126+(1-EXP(-LN(2)/2))/(LN(2)/2)*DB127*DE127*VLOOKUP('Données projet'!$B$13,Paramètres!$A$1:$I$89,3,0)*0.475*44/12</f>
        <v>1.7338089106226477E-13</v>
      </c>
      <c r="DI127" s="22">
        <f t="shared" si="69"/>
        <v>3.3539912997196861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-3.177547114319168E-13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356.67698551373468</v>
      </c>
      <c r="T128" s="59">
        <f t="shared" si="88"/>
        <v>353.21836615408171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0.69604843235541736</v>
      </c>
      <c r="AA128" s="21">
        <f>EXP(-LN(2)/25)*AA127+(1-EXP(-LN(2)/25))/(LN(2)/25)*Calculateur!V128*Calculateur!X128*VLOOKUP('Données projet'!$B$9,Paramètres!$A$1:$I$89,3,0)*0.475*44/12</f>
        <v>2.1662260025923508</v>
      </c>
      <c r="AB128" s="21">
        <f>EXP(-LN(2)/2)*AB127+(1-EXP(-LN(2)/2))/(LN(2)/2)*V128*Y128*VLOOKUP('Données projet'!$B$9,Paramètres!$A$1:$I$89,3,0)*0.475*44/12</f>
        <v>1.6340059421141656E-13</v>
      </c>
      <c r="AC128" s="22">
        <f t="shared" si="57"/>
        <v>2.8622744349479317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3.9017322706058616E-13</v>
      </c>
      <c r="AK128" s="13">
        <f t="shared" si="89"/>
        <v>5.0025007393608908E-12</v>
      </c>
      <c r="AL128" s="20">
        <f t="shared" si="58"/>
        <v>9.3922404915174053E-12</v>
      </c>
      <c r="AM128" s="59">
        <f t="shared" si="59"/>
        <v>293.33333333334269</v>
      </c>
      <c r="AN128" s="59">
        <f ca="1">AVERAGE(OFFSET($AM$3,0,0,'Données projet'!$E$10+1,1))-AVERAGE(OFFSET($H$3,0,0,'Données projet'!$E$10+1,1))</f>
        <v>240.30073883588199</v>
      </c>
      <c r="AO128" s="59">
        <f t="shared" si="90"/>
        <v>263.20351282678843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1.0595240407947144</v>
      </c>
      <c r="AV128" s="21">
        <f>EXP(-LN(2)/25)*AV127+(1-EXP(-LN(2)/25))/(LN(2)/25)*Calculateur!AQ128*Calculateur!AS128*VLOOKUP('Données projet'!$B$10,Paramètres!$A$1:$I$89,3,0)*0.475*44/12</f>
        <v>1.4924397655844246</v>
      </c>
      <c r="AW128" s="21">
        <f>EXP(-LN(2)/2)*AW127+(1-EXP(-LN(2)/2))/(LN(2)/2)*AQ128*AT128*VLOOKUP('Données projet'!$B$10,Paramètres!$A$1:$I$89,3,0)*0.475*44/12</f>
        <v>1.014446309025873E-13</v>
      </c>
      <c r="AX128" s="21">
        <f t="shared" si="60"/>
        <v>2.5519638063792405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252.98248842635206</v>
      </c>
      <c r="BJ128" s="59">
        <f t="shared" si="92"/>
        <v>207.11938580878308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4.5474735088646412E-13</v>
      </c>
      <c r="BZ128" s="13">
        <f>BY128*VLOOKUP('Données projet'!$B$12,Paramètres!$A$1:$I$89,3,0)*VLOOKUP('Données projet'!$B$12,Paramètres!$A$1:$I$89,5,0)</f>
        <v>2.5420376914553347E-13</v>
      </c>
      <c r="CA128" s="13">
        <f t="shared" si="93"/>
        <v>3.4258699088369875E-12</v>
      </c>
      <c r="CB128" s="20">
        <f t="shared" si="64"/>
        <v>6.4094616558195571E-12</v>
      </c>
      <c r="CC128" s="59">
        <f t="shared" si="65"/>
        <v>293.33333333333974</v>
      </c>
      <c r="CD128" s="59">
        <f ca="1">AVERAGE(OFFSET($CC$3,0,0,'Données projet'!$E$12+1,1))-AVERAGE(OFFSET($H$3,0,0,'Données projet'!$E$12+1,1))</f>
        <v>401.06118089678654</v>
      </c>
      <c r="CE128" s="59">
        <f t="shared" si="94"/>
        <v>399.58193819355591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1.5661089727996884</v>
      </c>
      <c r="CL128" s="21">
        <f>EXP(-LN(2)/25)*CL127+(1-EXP(-LN(2)/25))/(LN(2)/25)*Calculateur!CG128*Calculateur!CI128*VLOOKUP('Données projet'!$B$12,Paramètres!$A$1:$I$89,3,0)*0.475*44/12</f>
        <v>2.3983140704130839</v>
      </c>
      <c r="CM128" s="21">
        <f>EXP(-LN(2)/2)*CM127+(1-EXP(-LN(2)/2))/(LN(2)/2)*CG128*CJ128*VLOOKUP('Données projet'!$B$12,Paramètres!$A$1:$I$89,3,0)*0.475*44/12</f>
        <v>1.6444402073894793E-13</v>
      </c>
      <c r="CN128" s="22">
        <f t="shared" si="66"/>
        <v>3.9644230432129364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285.77483300338548</v>
      </c>
      <c r="CZ128" s="59">
        <f t="shared" si="96"/>
        <v>320.55212417690637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1.2714288489536585</v>
      </c>
      <c r="DG128" s="21">
        <f>EXP(-LN(2)/25)*DG127+(1-EXP(-LN(2)/25))/(LN(2)/25)*Calculateur!DB128*Calculateur!DD128*VLOOKUP('Données projet'!$B$13,Paramètres!$A$1:$I$89,3,0)*0.475*44/12</f>
        <v>2.000879449518782</v>
      </c>
      <c r="DH128" s="21">
        <f>EXP(-LN(2)/2)*DH127+(1-EXP(-LN(2)/2))/(LN(2)/2)*DB128*DE128*VLOOKUP('Données projet'!$B$13,Paramètres!$A$1:$I$89,3,0)*0.475*44/12</f>
        <v>1.2259880379829348E-13</v>
      </c>
      <c r="DI128" s="22">
        <f t="shared" si="69"/>
        <v>3.2723082984725629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-3.177547114319168E-13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356.67698551373468</v>
      </c>
      <c r="T129" s="59">
        <f t="shared" si="88"/>
        <v>353.21836615408171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0.68239934714455075</v>
      </c>
      <c r="AA129" s="21">
        <f>EXP(-LN(2)/25)*AA128+(1-EXP(-LN(2)/25))/(LN(2)/25)*Calculateur!V129*Calculateur!X129*VLOOKUP('Données projet'!$B$9,Paramètres!$A$1:$I$89,3,0)*0.475*44/12</f>
        <v>2.1069904386345883</v>
      </c>
      <c r="AB129" s="21">
        <f>EXP(-LN(2)/2)*AB128+(1-EXP(-LN(2)/2))/(LN(2)/2)*V129*Y129*VLOOKUP('Données projet'!$B$9,Paramètres!$A$1:$I$89,3,0)*0.475*44/12</f>
        <v>1.1554166821680398E-13</v>
      </c>
      <c r="AC129" s="22">
        <f t="shared" si="57"/>
        <v>2.7893897857792544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3.9017322706058616E-13</v>
      </c>
      <c r="AK129" s="13">
        <f t="shared" si="89"/>
        <v>5.0025007393608908E-12</v>
      </c>
      <c r="AL129" s="20">
        <f t="shared" si="58"/>
        <v>9.3922404915174053E-12</v>
      </c>
      <c r="AM129" s="59">
        <f t="shared" si="59"/>
        <v>293.33333333334269</v>
      </c>
      <c r="AN129" s="59">
        <f ca="1">AVERAGE(OFFSET($AM$3,0,0,'Données projet'!$E$10+1,1))-AVERAGE(OFFSET($H$3,0,0,'Données projet'!$E$10+1,1))</f>
        <v>240.30073883588199</v>
      </c>
      <c r="AO129" s="59">
        <f t="shared" si="90"/>
        <v>263.20351282678843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1.0387474206005836</v>
      </c>
      <c r="AV129" s="21">
        <f>EXP(-LN(2)/25)*AV128+(1-EXP(-LN(2)/25))/(LN(2)/25)*Calculateur!AQ129*Calculateur!AS129*VLOOKUP('Données projet'!$B$10,Paramètres!$A$1:$I$89,3,0)*0.475*44/12</f>
        <v>1.4516289217105223</v>
      </c>
      <c r="AW129" s="21">
        <f>EXP(-LN(2)/2)*AW128+(1-EXP(-LN(2)/2))/(LN(2)/2)*AQ129*AT129*VLOOKUP('Données projet'!$B$10,Paramètres!$A$1:$I$89,3,0)*0.475*44/12</f>
        <v>7.1732186426185876E-14</v>
      </c>
      <c r="AX129" s="21">
        <f t="shared" si="60"/>
        <v>2.490376342311178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252.98248842635206</v>
      </c>
      <c r="BJ129" s="59">
        <f t="shared" si="92"/>
        <v>207.11938580878308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4.5474735088646412E-13</v>
      </c>
      <c r="BZ129" s="13">
        <f>BY129*VLOOKUP('Données projet'!$B$12,Paramètres!$A$1:$I$89,3,0)*VLOOKUP('Données projet'!$B$12,Paramètres!$A$1:$I$89,5,0)</f>
        <v>2.5420376914553347E-13</v>
      </c>
      <c r="CA129" s="13">
        <f t="shared" si="93"/>
        <v>3.4258699088369875E-12</v>
      </c>
      <c r="CB129" s="20">
        <f t="shared" si="64"/>
        <v>6.4094616558195571E-12</v>
      </c>
      <c r="CC129" s="59">
        <f t="shared" si="65"/>
        <v>293.33333333333974</v>
      </c>
      <c r="CD129" s="59">
        <f ca="1">AVERAGE(OFFSET($CC$3,0,0,'Données projet'!$E$12+1,1))-AVERAGE(OFFSET($H$3,0,0,'Données projet'!$E$12+1,1))</f>
        <v>401.06118089678654</v>
      </c>
      <c r="CE129" s="59">
        <f t="shared" si="94"/>
        <v>399.58193819355591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1.5353985310752385</v>
      </c>
      <c r="CL129" s="21">
        <f>EXP(-LN(2)/25)*CL128+(1-EXP(-LN(2)/25))/(LN(2)/25)*Calculateur!CG129*Calculateur!CI129*VLOOKUP('Données projet'!$B$12,Paramètres!$A$1:$I$89,3,0)*0.475*44/12</f>
        <v>2.3327320460357823</v>
      </c>
      <c r="CM129" s="21">
        <f>EXP(-LN(2)/2)*CM128+(1-EXP(-LN(2)/2))/(LN(2)/2)*CG129*CJ129*VLOOKUP('Données projet'!$B$12,Paramètres!$A$1:$I$89,3,0)*0.475*44/12</f>
        <v>1.1627948219009134E-13</v>
      </c>
      <c r="CN129" s="22">
        <f t="shared" si="66"/>
        <v>3.8681305771111374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285.77483300338548</v>
      </c>
      <c r="CZ129" s="59">
        <f t="shared" si="96"/>
        <v>320.55212417690637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1.2464969047207013</v>
      </c>
      <c r="DG129" s="21">
        <f>EXP(-LN(2)/25)*DG128+(1-EXP(-LN(2)/25))/(LN(2)/25)*Calculateur!DB129*Calculateur!DD129*VLOOKUP('Données projet'!$B$13,Paramètres!$A$1:$I$89,3,0)*0.475*44/12</f>
        <v>1.9461652957500137</v>
      </c>
      <c r="DH129" s="21">
        <f>EXP(-LN(2)/2)*DH128+(1-EXP(-LN(2)/2))/(LN(2)/2)*DB129*DE129*VLOOKUP('Données projet'!$B$13,Paramètres!$A$1:$I$89,3,0)*0.475*44/12</f>
        <v>8.6690445531132383E-14</v>
      </c>
      <c r="DI129" s="22">
        <f t="shared" si="69"/>
        <v>3.1926622004708016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-3.177547114319168E-13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356.67698551373468</v>
      </c>
      <c r="T130" s="59">
        <f t="shared" si="88"/>
        <v>353.21836615408171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0.66901791216954931</v>
      </c>
      <c r="AA130" s="21">
        <f>EXP(-LN(2)/25)*AA129+(1-EXP(-LN(2)/25))/(LN(2)/25)*Calculateur!V130*Calculateur!X130*VLOOKUP('Données projet'!$B$9,Paramètres!$A$1:$I$89,3,0)*0.475*44/12</f>
        <v>2.0493746742883139</v>
      </c>
      <c r="AB130" s="21">
        <f>EXP(-LN(2)/2)*AB129+(1-EXP(-LN(2)/2))/(LN(2)/2)*V130*Y130*VLOOKUP('Données projet'!$B$9,Paramètres!$A$1:$I$89,3,0)*0.475*44/12</f>
        <v>8.1700297105708281E-14</v>
      </c>
      <c r="AC130" s="22">
        <f t="shared" si="57"/>
        <v>2.718392586457945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3.9017322706058616E-13</v>
      </c>
      <c r="AK130" s="13">
        <f t="shared" si="89"/>
        <v>5.0025007393608908E-12</v>
      </c>
      <c r="AL130" s="20">
        <f t="shared" si="58"/>
        <v>9.3922404915174053E-12</v>
      </c>
      <c r="AM130" s="59">
        <f t="shared" si="59"/>
        <v>293.33333333334269</v>
      </c>
      <c r="AN130" s="59">
        <f ca="1">AVERAGE(OFFSET($AM$3,0,0,'Données projet'!$E$10+1,1))-AVERAGE(OFFSET($H$3,0,0,'Données projet'!$E$10+1,1))</f>
        <v>240.30073883588199</v>
      </c>
      <c r="AO130" s="59">
        <f t="shared" si="90"/>
        <v>263.20351282678843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1.0183782172559726</v>
      </c>
      <c r="AV130" s="21">
        <f>EXP(-LN(2)/25)*AV129+(1-EXP(-LN(2)/25))/(LN(2)/25)*Calculateur!AQ130*Calculateur!AS130*VLOOKUP('Données projet'!$B$10,Paramètres!$A$1:$I$89,3,0)*0.475*44/12</f>
        <v>1.4119340525085007</v>
      </c>
      <c r="AW130" s="21">
        <f>EXP(-LN(2)/2)*AW129+(1-EXP(-LN(2)/2))/(LN(2)/2)*AQ130*AT130*VLOOKUP('Données projet'!$B$10,Paramètres!$A$1:$I$89,3,0)*0.475*44/12</f>
        <v>5.0722315451293652E-14</v>
      </c>
      <c r="AX130" s="21">
        <f t="shared" si="60"/>
        <v>2.4303122697645239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252.98248842635206</v>
      </c>
      <c r="BJ130" s="59">
        <f t="shared" si="92"/>
        <v>207.11938580878308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4.5474735088646412E-13</v>
      </c>
      <c r="BZ130" s="13">
        <f>BY130*VLOOKUP('Données projet'!$B$12,Paramètres!$A$1:$I$89,3,0)*VLOOKUP('Données projet'!$B$12,Paramètres!$A$1:$I$89,5,0)</f>
        <v>2.5420376914553347E-13</v>
      </c>
      <c r="CA130" s="13">
        <f t="shared" si="93"/>
        <v>3.4258699088369875E-12</v>
      </c>
      <c r="CB130" s="20">
        <f t="shared" si="64"/>
        <v>6.4094616558195571E-12</v>
      </c>
      <c r="CC130" s="59">
        <f t="shared" si="65"/>
        <v>293.33333333333974</v>
      </c>
      <c r="CD130" s="59">
        <f ca="1">AVERAGE(OFFSET($CC$3,0,0,'Données projet'!$E$12+1,1))-AVERAGE(OFFSET($H$3,0,0,'Données projet'!$E$12+1,1))</f>
        <v>401.06118089678654</v>
      </c>
      <c r="CE130" s="59">
        <f t="shared" si="94"/>
        <v>399.58193819355591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1.5052903023814852</v>
      </c>
      <c r="CL130" s="21">
        <f>EXP(-LN(2)/25)*CL129+(1-EXP(-LN(2)/25))/(LN(2)/25)*Calculateur!CG130*Calculateur!CI130*VLOOKUP('Données projet'!$B$12,Paramètres!$A$1:$I$89,3,0)*0.475*44/12</f>
        <v>2.2689433655638869</v>
      </c>
      <c r="CM130" s="21">
        <f>EXP(-LN(2)/2)*CM129+(1-EXP(-LN(2)/2))/(LN(2)/2)*CG130*CJ130*VLOOKUP('Données projet'!$B$12,Paramètres!$A$1:$I$89,3,0)*0.475*44/12</f>
        <v>8.2222010369473967E-14</v>
      </c>
      <c r="CN130" s="22">
        <f t="shared" si="66"/>
        <v>3.7742336679454542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285.77483300338548</v>
      </c>
      <c r="CZ130" s="59">
        <f t="shared" si="96"/>
        <v>320.55212417690637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1.222053860707168</v>
      </c>
      <c r="DG130" s="21">
        <f>EXP(-LN(2)/25)*DG129+(1-EXP(-LN(2)/25))/(LN(2)/25)*Calculateur!DB130*Calculateur!DD130*VLOOKUP('Données projet'!$B$13,Paramètres!$A$1:$I$89,3,0)*0.475*44/12</f>
        <v>1.8929473033933448</v>
      </c>
      <c r="DH130" s="21">
        <f>EXP(-LN(2)/2)*DH129+(1-EXP(-LN(2)/2))/(LN(2)/2)*DB130*DE130*VLOOKUP('Données projet'!$B$13,Paramètres!$A$1:$I$89,3,0)*0.475*44/12</f>
        <v>6.1299401899146741E-14</v>
      </c>
      <c r="DI130" s="22">
        <f t="shared" si="69"/>
        <v>3.1150011641005744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-3.177547114319168E-13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356.67698551373468</v>
      </c>
      <c r="T131" s="59">
        <f t="shared" si="88"/>
        <v>353.21836615408171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0.65589887897253818</v>
      </c>
      <c r="AA131" s="21">
        <f>EXP(-LN(2)/25)*AA130+(1-EXP(-LN(2)/25))/(LN(2)/25)*Calculateur!V131*Calculateur!X131*VLOOKUP('Données projet'!$B$9,Paramètres!$A$1:$I$89,3,0)*0.475*44/12</f>
        <v>1.9933344160479698</v>
      </c>
      <c r="AB131" s="21">
        <f>EXP(-LN(2)/2)*AB130+(1-EXP(-LN(2)/2))/(LN(2)/2)*V131*Y131*VLOOKUP('Données projet'!$B$9,Paramètres!$A$1:$I$89,3,0)*0.475*44/12</f>
        <v>5.7770834108401988E-14</v>
      </c>
      <c r="AC131" s="22">
        <f t="shared" si="57"/>
        <v>2.6492332950205659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3.9017322706058616E-13</v>
      </c>
      <c r="AK131" s="13">
        <f t="shared" si="89"/>
        <v>5.0025007393608908E-12</v>
      </c>
      <c r="AL131" s="20">
        <f t="shared" si="58"/>
        <v>9.3922404915174053E-12</v>
      </c>
      <c r="AM131" s="59">
        <f t="shared" si="59"/>
        <v>293.33333333334269</v>
      </c>
      <c r="AN131" s="59">
        <f ca="1">AVERAGE(OFFSET($AM$3,0,0,'Données projet'!$E$10+1,1))-AVERAGE(OFFSET($H$3,0,0,'Données projet'!$E$10+1,1))</f>
        <v>240.30073883588199</v>
      </c>
      <c r="AO131" s="59">
        <f t="shared" si="90"/>
        <v>263.20351282678843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0.998408441564962</v>
      </c>
      <c r="AV131" s="21">
        <f>EXP(-LN(2)/25)*AV130+(1-EXP(-LN(2)/25))/(LN(2)/25)*Calculateur!AQ131*Calculateur!AS131*VLOOKUP('Données projet'!$B$10,Paramètres!$A$1:$I$89,3,0)*0.475*44/12</f>
        <v>1.3733246415922709</v>
      </c>
      <c r="AW131" s="21">
        <f>EXP(-LN(2)/2)*AW130+(1-EXP(-LN(2)/2))/(LN(2)/2)*AQ131*AT131*VLOOKUP('Données projet'!$B$10,Paramètres!$A$1:$I$89,3,0)*0.475*44/12</f>
        <v>3.5866093213092938E-14</v>
      </c>
      <c r="AX131" s="21">
        <f t="shared" si="60"/>
        <v>2.3717330831572689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252.98248842635206</v>
      </c>
      <c r="BJ131" s="59">
        <f t="shared" si="92"/>
        <v>207.11938580878308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4.5474735088646412E-13</v>
      </c>
      <c r="BZ131" s="13">
        <f>BY131*VLOOKUP('Données projet'!$B$12,Paramètres!$A$1:$I$89,3,0)*VLOOKUP('Données projet'!$B$12,Paramètres!$A$1:$I$89,5,0)</f>
        <v>2.5420376914553347E-13</v>
      </c>
      <c r="CA131" s="13">
        <f t="shared" si="93"/>
        <v>3.4258699088369875E-12</v>
      </c>
      <c r="CB131" s="20">
        <f t="shared" si="64"/>
        <v>6.4094616558195571E-12</v>
      </c>
      <c r="CC131" s="59">
        <f t="shared" si="65"/>
        <v>293.33333333333974</v>
      </c>
      <c r="CD131" s="59">
        <f ca="1">AVERAGE(OFFSET($CC$3,0,0,'Données projet'!$E$12+1,1))-AVERAGE(OFFSET($H$3,0,0,'Données projet'!$E$12+1,1))</f>
        <v>401.06118089678654</v>
      </c>
      <c r="CE131" s="59">
        <f t="shared" si="94"/>
        <v>399.58193819355591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1.4757724776882102</v>
      </c>
      <c r="CL131" s="21">
        <f>EXP(-LN(2)/25)*CL130+(1-EXP(-LN(2)/25))/(LN(2)/25)*Calculateur!CG131*Calculateur!CI131*VLOOKUP('Données projet'!$B$12,Paramètres!$A$1:$I$89,3,0)*0.475*44/12</f>
        <v>2.2068989899139964</v>
      </c>
      <c r="CM131" s="21">
        <f>EXP(-LN(2)/2)*CM130+(1-EXP(-LN(2)/2))/(LN(2)/2)*CG131*CJ131*VLOOKUP('Données projet'!$B$12,Paramètres!$A$1:$I$89,3,0)*0.475*44/12</f>
        <v>5.8139741095045668E-14</v>
      </c>
      <c r="CN131" s="22">
        <f t="shared" si="66"/>
        <v>3.6826714676022649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285.77483300338548</v>
      </c>
      <c r="CZ131" s="59">
        <f t="shared" si="96"/>
        <v>320.55212417690637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1.1980901298779554</v>
      </c>
      <c r="DG131" s="21">
        <f>EXP(-LN(2)/25)*DG130+(1-EXP(-LN(2)/25))/(LN(2)/25)*Calculateur!DB131*Calculateur!DD131*VLOOKUP('Données projet'!$B$13,Paramètres!$A$1:$I$89,3,0)*0.475*44/12</f>
        <v>1.8411845598362815</v>
      </c>
      <c r="DH131" s="21">
        <f>EXP(-LN(2)/2)*DH130+(1-EXP(-LN(2)/2))/(LN(2)/2)*DB131*DE131*VLOOKUP('Données projet'!$B$13,Paramètres!$A$1:$I$89,3,0)*0.475*44/12</f>
        <v>4.3345222765566191E-14</v>
      </c>
      <c r="DI131" s="22">
        <f t="shared" si="69"/>
        <v>3.0392746897142802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-3.177547114319168E-13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356.67698551373468</v>
      </c>
      <c r="T132" s="59">
        <f t="shared" si="88"/>
        <v>353.21836615408171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0.64303710201470032</v>
      </c>
      <c r="AA132" s="21">
        <f>EXP(-LN(2)/25)*AA131+(1-EXP(-LN(2)/25))/(LN(2)/25)*Calculateur!V132*Calculateur!X132*VLOOKUP('Données projet'!$B$9,Paramètres!$A$1:$I$89,3,0)*0.475*44/12</f>
        <v>1.9388265816162369</v>
      </c>
      <c r="AB132" s="21">
        <f>EXP(-LN(2)/2)*AB131+(1-EXP(-LN(2)/2))/(LN(2)/2)*V132*Y132*VLOOKUP('Données projet'!$B$9,Paramètres!$A$1:$I$89,3,0)*0.475*44/12</f>
        <v>4.0850148552854141E-14</v>
      </c>
      <c r="AC132" s="22">
        <f t="shared" ref="AC132:AC153" si="111">SUM(Z132:AB132)</f>
        <v>2.5818636836309778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3.9017322706058616E-13</v>
      </c>
      <c r="AK132" s="13">
        <f t="shared" si="89"/>
        <v>5.0025007393608908E-12</v>
      </c>
      <c r="AL132" s="20">
        <f t="shared" ref="AL132:AL153" si="112">(AJ132+AK132)*0.475*44/12</f>
        <v>9.3922404915174053E-12</v>
      </c>
      <c r="AM132" s="59">
        <f t="shared" ref="AM132:AM195" si="113">AL132+(AD132+AE132)*44/12</f>
        <v>293.33333333334269</v>
      </c>
      <c r="AN132" s="59">
        <f ca="1">AVERAGE(OFFSET($AM$3,0,0,'Données projet'!$E$10+1,1))-AVERAGE(OFFSET($H$3,0,0,'Données projet'!$E$10+1,1))</f>
        <v>240.30073883588199</v>
      </c>
      <c r="AO132" s="59">
        <f t="shared" si="90"/>
        <v>263.20351282678843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0.97883026099489179</v>
      </c>
      <c r="AV132" s="21">
        <f>EXP(-LN(2)/25)*AV131+(1-EXP(-LN(2)/25))/(LN(2)/25)*Calculateur!AQ132*Calculateur!AS132*VLOOKUP('Données projet'!$B$10,Paramètres!$A$1:$I$89,3,0)*0.475*44/12</f>
        <v>1.3357710070479261</v>
      </c>
      <c r="AW132" s="21">
        <f>EXP(-LN(2)/2)*AW131+(1-EXP(-LN(2)/2))/(LN(2)/2)*AQ132*AT132*VLOOKUP('Données projet'!$B$10,Paramètres!$A$1:$I$89,3,0)*0.475*44/12</f>
        <v>2.5361157725646826E-14</v>
      </c>
      <c r="AX132" s="21">
        <f t="shared" ref="AX132:AX153" si="114">SUM(AU132:AW132)</f>
        <v>2.3146012680428432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252.98248842635206</v>
      </c>
      <c r="BJ132" s="59">
        <f t="shared" si="92"/>
        <v>207.11938580878308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4.5474735088646412E-13</v>
      </c>
      <c r="BZ132" s="13">
        <f>BY132*VLOOKUP('Données projet'!$B$12,Paramètres!$A$1:$I$89,3,0)*VLOOKUP('Données projet'!$B$12,Paramètres!$A$1:$I$89,5,0)</f>
        <v>2.5420376914553347E-13</v>
      </c>
      <c r="CA132" s="13">
        <f t="shared" si="93"/>
        <v>3.4258699088369875E-12</v>
      </c>
      <c r="CB132" s="20">
        <f t="shared" ref="CB132:CB153" si="118">(BZ132+CA132)*0.475*44/12</f>
        <v>6.4094616558195571E-12</v>
      </c>
      <c r="CC132" s="59">
        <f t="shared" ref="CC132:CC195" si="119">CB132+(BT132+BU132)*44/12</f>
        <v>293.33333333333974</v>
      </c>
      <c r="CD132" s="59">
        <f ca="1">AVERAGE(OFFSET($CC$3,0,0,'Données projet'!$E$12+1,1))-AVERAGE(OFFSET($H$3,0,0,'Données projet'!$E$12+1,1))</f>
        <v>401.06118089678654</v>
      </c>
      <c r="CE132" s="59">
        <f t="shared" si="94"/>
        <v>399.58193819355591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1.4468334795330751</v>
      </c>
      <c r="CL132" s="21">
        <f>EXP(-LN(2)/25)*CL131+(1-EXP(-LN(2)/25))/(LN(2)/25)*Calculateur!CG132*Calculateur!CI132*VLOOKUP('Données projet'!$B$12,Paramètres!$A$1:$I$89,3,0)*0.475*44/12</f>
        <v>2.1465512209790241</v>
      </c>
      <c r="CM132" s="21">
        <f>EXP(-LN(2)/2)*CM131+(1-EXP(-LN(2)/2))/(LN(2)/2)*CG132*CJ132*VLOOKUP('Données projet'!$B$12,Paramètres!$A$1:$I$89,3,0)*0.475*44/12</f>
        <v>4.1111005184736983E-14</v>
      </c>
      <c r="CN132" s="22">
        <f t="shared" ref="CN132:CN153" si="120">SUM(CK132:CM132)</f>
        <v>3.5933847005121407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285.77483300338548</v>
      </c>
      <c r="CZ132" s="59">
        <f t="shared" si="96"/>
        <v>320.55212417690637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1.174596313193871</v>
      </c>
      <c r="DG132" s="21">
        <f>EXP(-LN(2)/25)*DG131+(1-EXP(-LN(2)/25))/(LN(2)/25)*Calculateur!DB132*Calculateur!DD132*VLOOKUP('Données projet'!$B$13,Paramètres!$A$1:$I$89,3,0)*0.475*44/12</f>
        <v>1.7908372712238705</v>
      </c>
      <c r="DH132" s="21">
        <f>EXP(-LN(2)/2)*DH131+(1-EXP(-LN(2)/2))/(LN(2)/2)*DB132*DE132*VLOOKUP('Données projet'!$B$13,Paramètres!$A$1:$I$89,3,0)*0.475*44/12</f>
        <v>3.0649700949573371E-14</v>
      </c>
      <c r="DI132" s="22">
        <f t="shared" ref="DI132:DI153" si="123">SUM(DF132:DH132)</f>
        <v>2.9654335844177724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-3.177547114319168E-13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356.67698551373468</v>
      </c>
      <c r="T133" s="59">
        <f t="shared" ref="T133:T196" si="142">$T$3</f>
        <v>353.21836615408171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0.63042753665809637</v>
      </c>
      <c r="AA133" s="21">
        <f>EXP(-LN(2)/25)*AA132+(1-EXP(-LN(2)/25))/(LN(2)/25)*Calculateur!V133*Calculateur!X133*VLOOKUP('Données projet'!$B$9,Paramètres!$A$1:$I$89,3,0)*0.475*44/12</f>
        <v>1.8858092667834823</v>
      </c>
      <c r="AB133" s="21">
        <f>EXP(-LN(2)/2)*AB132+(1-EXP(-LN(2)/2))/(LN(2)/2)*V133*Y133*VLOOKUP('Données projet'!$B$9,Paramètres!$A$1:$I$89,3,0)*0.475*44/12</f>
        <v>2.8885417054200994E-14</v>
      </c>
      <c r="AC133" s="22">
        <f t="shared" si="111"/>
        <v>2.5162368034416076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3.9017322706058616E-13</v>
      </c>
      <c r="AK133" s="13">
        <f t="shared" ref="AK133:AK153" si="143">EXP(-1.0587+0.8836*LN(AJ133)+0.284)</f>
        <v>5.0025007393608908E-12</v>
      </c>
      <c r="AL133" s="20">
        <f t="shared" si="112"/>
        <v>9.3922404915174053E-12</v>
      </c>
      <c r="AM133" s="59">
        <f t="shared" si="113"/>
        <v>293.33333333334269</v>
      </c>
      <c r="AN133" s="59">
        <f ca="1">AVERAGE(OFFSET($AM$3,0,0,'Données projet'!$E$10+1,1))-AVERAGE(OFFSET($H$3,0,0,'Données projet'!$E$10+1,1))</f>
        <v>240.30073883588199</v>
      </c>
      <c r="AO133" s="59">
        <f t="shared" ref="AO133:AO196" si="144">$AO$3</f>
        <v>263.20351282678843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0.95963599660428955</v>
      </c>
      <c r="AV133" s="21">
        <f>EXP(-LN(2)/25)*AV132+(1-EXP(-LN(2)/25))/(LN(2)/25)*Calculateur!AQ133*Calculateur!AS133*VLOOKUP('Données projet'!$B$10,Paramètres!$A$1:$I$89,3,0)*0.475*44/12</f>
        <v>1.2992442786150562</v>
      </c>
      <c r="AW133" s="21">
        <f>EXP(-LN(2)/2)*AW132+(1-EXP(-LN(2)/2))/(LN(2)/2)*AQ133*AT133*VLOOKUP('Données projet'!$B$10,Paramètres!$A$1:$I$89,3,0)*0.475*44/12</f>
        <v>1.7933046606546469E-14</v>
      </c>
      <c r="AX133" s="21">
        <f t="shared" si="114"/>
        <v>2.2588802752193633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252.98248842635206</v>
      </c>
      <c r="BJ133" s="59">
        <f t="shared" ref="BJ133:BJ196" si="146">$BJ$3</f>
        <v>207.11938580878308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4.5474735088646412E-13</v>
      </c>
      <c r="BZ133" s="13">
        <f>BY133*VLOOKUP('Données projet'!$B$12,Paramètres!$A$1:$I$89,3,0)*VLOOKUP('Données projet'!$B$12,Paramètres!$A$1:$I$89,5,0)</f>
        <v>2.5420376914553347E-13</v>
      </c>
      <c r="CA133" s="13">
        <f t="shared" ref="CA133:CA153" si="147">EXP(-1.0587+0.8836*LN(BZ133)+0.284)</f>
        <v>3.4258699088369875E-12</v>
      </c>
      <c r="CB133" s="20">
        <f t="shared" si="118"/>
        <v>6.4094616558195571E-12</v>
      </c>
      <c r="CC133" s="59">
        <f t="shared" si="119"/>
        <v>293.33333333333974</v>
      </c>
      <c r="CD133" s="59">
        <f ca="1">AVERAGE(OFFSET($CC$3,0,0,'Données projet'!$E$12+1,1))-AVERAGE(OFFSET($H$3,0,0,'Données projet'!$E$12+1,1))</f>
        <v>401.06118089678654</v>
      </c>
      <c r="CE133" s="59">
        <f t="shared" ref="CE133:CE196" si="148">$CE$3</f>
        <v>399.58193819355591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1.4184619574807162</v>
      </c>
      <c r="CL133" s="21">
        <f>EXP(-LN(2)/25)*CL132+(1-EXP(-LN(2)/25))/(LN(2)/25)*Calculateur!CG133*Calculateur!CI133*VLOOKUP('Données projet'!$B$12,Paramètres!$A$1:$I$89,3,0)*0.475*44/12</f>
        <v>2.0878536649591299</v>
      </c>
      <c r="CM133" s="21">
        <f>EXP(-LN(2)/2)*CM132+(1-EXP(-LN(2)/2))/(LN(2)/2)*CG133*CJ133*VLOOKUP('Données projet'!$B$12,Paramètres!$A$1:$I$89,3,0)*0.475*44/12</f>
        <v>2.9069870547522834E-14</v>
      </c>
      <c r="CN133" s="22">
        <f t="shared" si="120"/>
        <v>3.506315622439875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285.77483300338548</v>
      </c>
      <c r="CZ133" s="59">
        <f t="shared" ref="CZ133:CZ196" si="150">$CZ$3</f>
        <v>320.55212417690637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1.1515631959251484</v>
      </c>
      <c r="DG133" s="21">
        <f>EXP(-LN(2)/25)*DG132+(1-EXP(-LN(2)/25))/(LN(2)/25)*Calculateur!DB133*Calculateur!DD133*VLOOKUP('Données projet'!$B$13,Paramètres!$A$1:$I$89,3,0)*0.475*44/12</f>
        <v>1.7418667318662147</v>
      </c>
      <c r="DH133" s="21">
        <f>EXP(-LN(2)/2)*DH132+(1-EXP(-LN(2)/2))/(LN(2)/2)*DB133*DE133*VLOOKUP('Données projet'!$B$13,Paramètres!$A$1:$I$89,3,0)*0.475*44/12</f>
        <v>2.1672611382783096E-14</v>
      </c>
      <c r="DI133" s="22">
        <f t="shared" si="123"/>
        <v>2.8934299277913849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-3.177547114319168E-13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356.67698551373468</v>
      </c>
      <c r="T134" s="59">
        <f t="shared" si="142"/>
        <v>353.21836615408171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0.61806523718705997</v>
      </c>
      <c r="AA134" s="21">
        <f>EXP(-LN(2)/25)*AA133+(1-EXP(-LN(2)/25))/(LN(2)/25)*Calculateur!V134*Calculateur!X134*VLOOKUP('Données projet'!$B$9,Paramètres!$A$1:$I$89,3,0)*0.475*44/12</f>
        <v>1.8342417132128888</v>
      </c>
      <c r="AB134" s="21">
        <f>EXP(-LN(2)/2)*AB133+(1-EXP(-LN(2)/2))/(LN(2)/2)*V134*Y134*VLOOKUP('Données projet'!$B$9,Paramètres!$A$1:$I$89,3,0)*0.475*44/12</f>
        <v>2.042507427642707E-14</v>
      </c>
      <c r="AC134" s="22">
        <f t="shared" si="111"/>
        <v>2.452306950399969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3.9017322706058616E-13</v>
      </c>
      <c r="AK134" s="13">
        <f t="shared" si="143"/>
        <v>5.0025007393608908E-12</v>
      </c>
      <c r="AL134" s="20">
        <f t="shared" si="112"/>
        <v>9.3922404915174053E-12</v>
      </c>
      <c r="AM134" s="59">
        <f t="shared" si="113"/>
        <v>293.33333333334269</v>
      </c>
      <c r="AN134" s="59">
        <f ca="1">AVERAGE(OFFSET($AM$3,0,0,'Données projet'!$E$10+1,1))-AVERAGE(OFFSET($H$3,0,0,'Données projet'!$E$10+1,1))</f>
        <v>240.30073883588199</v>
      </c>
      <c r="AO134" s="59">
        <f t="shared" si="144"/>
        <v>263.20351282678843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0.94081812003104182</v>
      </c>
      <c r="AV134" s="21">
        <f>EXP(-LN(2)/25)*AV133+(1-EXP(-LN(2)/25))/(LN(2)/25)*Calculateur!AQ134*Calculateur!AS134*VLOOKUP('Données projet'!$B$10,Paramètres!$A$1:$I$89,3,0)*0.475*44/12</f>
        <v>1.2637163754920404</v>
      </c>
      <c r="AW134" s="21">
        <f>EXP(-LN(2)/2)*AW133+(1-EXP(-LN(2)/2))/(LN(2)/2)*AQ134*AT134*VLOOKUP('Données projet'!$B$10,Paramètres!$A$1:$I$89,3,0)*0.475*44/12</f>
        <v>1.2680578862823413E-14</v>
      </c>
      <c r="AX134" s="21">
        <f t="shared" si="114"/>
        <v>2.2045344955230952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252.98248842635206</v>
      </c>
      <c r="BJ134" s="59">
        <f t="shared" si="146"/>
        <v>207.11938580878308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4.5474735088646412E-13</v>
      </c>
      <c r="BZ134" s="13">
        <f>BY134*VLOOKUP('Données projet'!$B$12,Paramètres!$A$1:$I$89,3,0)*VLOOKUP('Données projet'!$B$12,Paramètres!$A$1:$I$89,5,0)</f>
        <v>2.5420376914553347E-13</v>
      </c>
      <c r="CA134" s="13">
        <f t="shared" si="147"/>
        <v>3.4258699088369875E-12</v>
      </c>
      <c r="CB134" s="20">
        <f t="shared" si="118"/>
        <v>6.4094616558195571E-12</v>
      </c>
      <c r="CC134" s="59">
        <f t="shared" si="119"/>
        <v>293.33333333333974</v>
      </c>
      <c r="CD134" s="59">
        <f ca="1">AVERAGE(OFFSET($CC$3,0,0,'Données projet'!$E$12+1,1))-AVERAGE(OFFSET($H$3,0,0,'Données projet'!$E$12+1,1))</f>
        <v>401.06118089678654</v>
      </c>
      <c r="CE134" s="59">
        <f t="shared" si="148"/>
        <v>399.58193819355591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1.3906467836708845</v>
      </c>
      <c r="CL134" s="21">
        <f>EXP(-LN(2)/25)*CL133+(1-EXP(-LN(2)/25))/(LN(2)/25)*Calculateur!CG134*Calculateur!CI134*VLOOKUP('Données projet'!$B$12,Paramètres!$A$1:$I$89,3,0)*0.475*44/12</f>
        <v>2.0307611966953703</v>
      </c>
      <c r="CM134" s="21">
        <f>EXP(-LN(2)/2)*CM133+(1-EXP(-LN(2)/2))/(LN(2)/2)*CG134*CJ134*VLOOKUP('Données projet'!$B$12,Paramètres!$A$1:$I$89,3,0)*0.475*44/12</f>
        <v>2.0555502592368492E-14</v>
      </c>
      <c r="CN134" s="22">
        <f t="shared" si="120"/>
        <v>3.4214079803662751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285.77483300338548</v>
      </c>
      <c r="CZ134" s="59">
        <f t="shared" si="150"/>
        <v>320.55212417690637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1.1289817440372512</v>
      </c>
      <c r="DG134" s="21">
        <f>EXP(-LN(2)/25)*DG133+(1-EXP(-LN(2)/25))/(LN(2)/25)*Calculateur!DB134*Calculateur!DD134*VLOOKUP('Données projet'!$B$13,Paramètres!$A$1:$I$89,3,0)*0.475*44/12</f>
        <v>1.6942352944825427</v>
      </c>
      <c r="DH134" s="21">
        <f>EXP(-LN(2)/2)*DH133+(1-EXP(-LN(2)/2))/(LN(2)/2)*DB134*DE134*VLOOKUP('Données projet'!$B$13,Paramètres!$A$1:$I$89,3,0)*0.475*44/12</f>
        <v>1.5324850474786685E-14</v>
      </c>
      <c r="DI134" s="22">
        <f t="shared" si="123"/>
        <v>2.8232170385198097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-3.177547114319168E-13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356.67698551373468</v>
      </c>
      <c r="T135" s="59">
        <f t="shared" si="142"/>
        <v>353.21836615408171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0.60594535486839252</v>
      </c>
      <c r="AA135" s="21">
        <f>EXP(-LN(2)/25)*AA134+(1-EXP(-LN(2)/25))/(LN(2)/25)*Calculateur!V135*Calculateur!X135*VLOOKUP('Données projet'!$B$9,Paramètres!$A$1:$I$89,3,0)*0.475*44/12</f>
        <v>1.7840842771065029</v>
      </c>
      <c r="AB135" s="21">
        <f>EXP(-LN(2)/2)*AB134+(1-EXP(-LN(2)/2))/(LN(2)/2)*V135*Y135*VLOOKUP('Données projet'!$B$9,Paramètres!$A$1:$I$89,3,0)*0.475*44/12</f>
        <v>1.4442708527100497E-14</v>
      </c>
      <c r="AC135" s="22">
        <f t="shared" si="111"/>
        <v>2.3900296319749099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3.9017322706058616E-13</v>
      </c>
      <c r="AK135" s="13">
        <f t="shared" si="143"/>
        <v>5.0025007393608908E-12</v>
      </c>
      <c r="AL135" s="20">
        <f t="shared" si="112"/>
        <v>9.3922404915174053E-12</v>
      </c>
      <c r="AM135" s="59">
        <f t="shared" si="113"/>
        <v>293.33333333334269</v>
      </c>
      <c r="AN135" s="59">
        <f ca="1">AVERAGE(OFFSET($AM$3,0,0,'Données projet'!$E$10+1,1))-AVERAGE(OFFSET($H$3,0,0,'Données projet'!$E$10+1,1))</f>
        <v>240.30073883588199</v>
      </c>
      <c r="AO135" s="59">
        <f t="shared" si="144"/>
        <v>263.20351282678843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0.92236925053962404</v>
      </c>
      <c r="AV135" s="21">
        <f>EXP(-LN(2)/25)*AV134+(1-EXP(-LN(2)/25))/(LN(2)/25)*Calculateur!AQ135*Calculateur!AS135*VLOOKUP('Données projet'!$B$10,Paramètres!$A$1:$I$89,3,0)*0.475*44/12</f>
        <v>1.2291599847482546</v>
      </c>
      <c r="AW135" s="21">
        <f>EXP(-LN(2)/2)*AW134+(1-EXP(-LN(2)/2))/(LN(2)/2)*AQ135*AT135*VLOOKUP('Données projet'!$B$10,Paramètres!$A$1:$I$89,3,0)*0.475*44/12</f>
        <v>8.9665233032732346E-15</v>
      </c>
      <c r="AX135" s="21">
        <f t="shared" si="114"/>
        <v>2.1515292352878874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252.98248842635206</v>
      </c>
      <c r="BJ135" s="59">
        <f t="shared" si="146"/>
        <v>207.11938580878308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4.5474735088646412E-13</v>
      </c>
      <c r="BZ135" s="13">
        <f>BY135*VLOOKUP('Données projet'!$B$12,Paramètres!$A$1:$I$89,3,0)*VLOOKUP('Données projet'!$B$12,Paramètres!$A$1:$I$89,5,0)</f>
        <v>2.5420376914553347E-13</v>
      </c>
      <c r="CA135" s="13">
        <f t="shared" si="147"/>
        <v>3.4258699088369875E-12</v>
      </c>
      <c r="CB135" s="20">
        <f t="shared" si="118"/>
        <v>6.4094616558195571E-12</v>
      </c>
      <c r="CC135" s="59">
        <f t="shared" si="119"/>
        <v>293.33333333333974</v>
      </c>
      <c r="CD135" s="59">
        <f ca="1">AVERAGE(OFFSET($CC$3,0,0,'Données projet'!$E$12+1,1))-AVERAGE(OFFSET($H$3,0,0,'Données projet'!$E$12+1,1))</f>
        <v>401.06118089678654</v>
      </c>
      <c r="CE135" s="59">
        <f t="shared" si="148"/>
        <v>399.58193819355591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1.3633770484538825</v>
      </c>
      <c r="CL135" s="21">
        <f>EXP(-LN(2)/25)*CL134+(1-EXP(-LN(2)/25))/(LN(2)/25)*Calculateur!CG135*Calculateur!CI135*VLOOKUP('Données projet'!$B$12,Paramètres!$A$1:$I$89,3,0)*0.475*44/12</f>
        <v>1.9752299249786454</v>
      </c>
      <c r="CM135" s="21">
        <f>EXP(-LN(2)/2)*CM134+(1-EXP(-LN(2)/2))/(LN(2)/2)*CG135*CJ135*VLOOKUP('Données projet'!$B$12,Paramètres!$A$1:$I$89,3,0)*0.475*44/12</f>
        <v>1.4534935273761417E-14</v>
      </c>
      <c r="CN135" s="22">
        <f t="shared" si="120"/>
        <v>3.3386069734325425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285.77483300338548</v>
      </c>
      <c r="CZ135" s="59">
        <f t="shared" si="150"/>
        <v>320.55212417690637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1.1068431006475499</v>
      </c>
      <c r="DG135" s="21">
        <f>EXP(-LN(2)/25)*DG134+(1-EXP(-LN(2)/25))/(LN(2)/25)*Calculateur!DB135*Calculateur!DD135*VLOOKUP('Données projet'!$B$13,Paramètres!$A$1:$I$89,3,0)*0.475*44/12</f>
        <v>1.6479063412589556</v>
      </c>
      <c r="DH135" s="21">
        <f>EXP(-LN(2)/2)*DH134+(1-EXP(-LN(2)/2))/(LN(2)/2)*DB135*DE135*VLOOKUP('Données projet'!$B$13,Paramètres!$A$1:$I$89,3,0)*0.475*44/12</f>
        <v>1.0836305691391548E-14</v>
      </c>
      <c r="DI135" s="22">
        <f t="shared" si="123"/>
        <v>2.7547494419065162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-3.177547114319168E-13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356.67698551373468</v>
      </c>
      <c r="T136" s="59">
        <f t="shared" si="142"/>
        <v>353.21836615408171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0.59406313604959582</v>
      </c>
      <c r="AA136" s="21">
        <f>EXP(-LN(2)/25)*AA135+(1-EXP(-LN(2)/25))/(LN(2)/25)*Calculateur!V136*Calculateur!X136*VLOOKUP('Données projet'!$B$9,Paramètres!$A$1:$I$89,3,0)*0.475*44/12</f>
        <v>1.735298398728111</v>
      </c>
      <c r="AB136" s="21">
        <f>EXP(-LN(2)/2)*AB135+(1-EXP(-LN(2)/2))/(LN(2)/2)*V136*Y136*VLOOKUP('Données projet'!$B$9,Paramètres!$A$1:$I$89,3,0)*0.475*44/12</f>
        <v>1.0212537138213535E-14</v>
      </c>
      <c r="AC136" s="22">
        <f t="shared" si="111"/>
        <v>2.3293615347777172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3.9017322706058616E-13</v>
      </c>
      <c r="AK136" s="13">
        <f t="shared" si="143"/>
        <v>5.0025007393608908E-12</v>
      </c>
      <c r="AL136" s="20">
        <f t="shared" si="112"/>
        <v>9.3922404915174053E-12</v>
      </c>
      <c r="AM136" s="59">
        <f t="shared" si="113"/>
        <v>293.33333333334269</v>
      </c>
      <c r="AN136" s="59">
        <f ca="1">AVERAGE(OFFSET($AM$3,0,0,'Données projet'!$E$10+1,1))-AVERAGE(OFFSET($H$3,0,0,'Données projet'!$E$10+1,1))</f>
        <v>240.30073883588199</v>
      </c>
      <c r="AO136" s="59">
        <f t="shared" si="144"/>
        <v>263.20351282678843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0.90428215212623375</v>
      </c>
      <c r="AV136" s="21">
        <f>EXP(-LN(2)/25)*AV135+(1-EXP(-LN(2)/25))/(LN(2)/25)*Calculateur!AQ136*Calculateur!AS136*VLOOKUP('Données projet'!$B$10,Paramètres!$A$1:$I$89,3,0)*0.475*44/12</f>
        <v>1.1955485403265993</v>
      </c>
      <c r="AW136" s="21">
        <f>EXP(-LN(2)/2)*AW135+(1-EXP(-LN(2)/2))/(LN(2)/2)*AQ136*AT136*VLOOKUP('Données projet'!$B$10,Paramètres!$A$1:$I$89,3,0)*0.475*44/12</f>
        <v>6.3402894314117065E-15</v>
      </c>
      <c r="AX136" s="21">
        <f t="shared" si="114"/>
        <v>2.0998306924528394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252.98248842635206</v>
      </c>
      <c r="BJ136" s="59">
        <f t="shared" si="146"/>
        <v>207.11938580878308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4.5474735088646412E-13</v>
      </c>
      <c r="BZ136" s="13">
        <f>BY136*VLOOKUP('Données projet'!$B$12,Paramètres!$A$1:$I$89,3,0)*VLOOKUP('Données projet'!$B$12,Paramètres!$A$1:$I$89,5,0)</f>
        <v>2.5420376914553347E-13</v>
      </c>
      <c r="CA136" s="13">
        <f t="shared" si="147"/>
        <v>3.4258699088369875E-12</v>
      </c>
      <c r="CB136" s="20">
        <f t="shared" si="118"/>
        <v>6.4094616558195571E-12</v>
      </c>
      <c r="CC136" s="59">
        <f t="shared" si="119"/>
        <v>293.33333333333974</v>
      </c>
      <c r="CD136" s="59">
        <f ca="1">AVERAGE(OFFSET($CC$3,0,0,'Données projet'!$E$12+1,1))-AVERAGE(OFFSET($H$3,0,0,'Données projet'!$E$12+1,1))</f>
        <v>401.06118089678654</v>
      </c>
      <c r="CE136" s="59">
        <f t="shared" si="148"/>
        <v>399.58193819355591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1.3366420561115899</v>
      </c>
      <c r="CL136" s="21">
        <f>EXP(-LN(2)/25)*CL135+(1-EXP(-LN(2)/25))/(LN(2)/25)*Calculateur!CG136*Calculateur!CI136*VLOOKUP('Données projet'!$B$12,Paramètres!$A$1:$I$89,3,0)*0.475*44/12</f>
        <v>1.9212171588072771</v>
      </c>
      <c r="CM136" s="21">
        <f>EXP(-LN(2)/2)*CM135+(1-EXP(-LN(2)/2))/(LN(2)/2)*CG136*CJ136*VLOOKUP('Données projet'!$B$12,Paramètres!$A$1:$I$89,3,0)*0.475*44/12</f>
        <v>1.0277751296184246E-14</v>
      </c>
      <c r="CN136" s="22">
        <f t="shared" si="120"/>
        <v>3.2578592149188772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285.77483300338548</v>
      </c>
      <c r="CZ136" s="59">
        <f t="shared" si="150"/>
        <v>320.55212417690637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1.0851385825514814</v>
      </c>
      <c r="DG136" s="21">
        <f>EXP(-LN(2)/25)*DG135+(1-EXP(-LN(2)/25))/(LN(2)/25)*Calculateur!DB136*Calculateur!DD136*VLOOKUP('Données projet'!$B$13,Paramètres!$A$1:$I$89,3,0)*0.475*44/12</f>
        <v>1.6028442556976013</v>
      </c>
      <c r="DH136" s="21">
        <f>EXP(-LN(2)/2)*DH135+(1-EXP(-LN(2)/2))/(LN(2)/2)*DB136*DE136*VLOOKUP('Données projet'!$B$13,Paramètres!$A$1:$I$89,3,0)*0.475*44/12</f>
        <v>7.6624252373933427E-15</v>
      </c>
      <c r="DI136" s="22">
        <f t="shared" si="123"/>
        <v>2.68798283824909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-3.177547114319168E-13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356.67698551373468</v>
      </c>
      <c r="T137" s="59">
        <f t="shared" si="142"/>
        <v>353.21836615408171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0.58241392029439787</v>
      </c>
      <c r="AA137" s="21">
        <f>EXP(-LN(2)/25)*AA136+(1-EXP(-LN(2)/25))/(LN(2)/25)*Calculateur!V137*Calculateur!X137*VLOOKUP('Données projet'!$B$9,Paramètres!$A$1:$I$89,3,0)*0.475*44/12</f>
        <v>1.687846572759514</v>
      </c>
      <c r="AB137" s="21">
        <f>EXP(-LN(2)/2)*AB136+(1-EXP(-LN(2)/2))/(LN(2)/2)*V137*Y137*VLOOKUP('Données projet'!$B$9,Paramètres!$A$1:$I$89,3,0)*0.475*44/12</f>
        <v>7.2213542635502485E-15</v>
      </c>
      <c r="AC137" s="22">
        <f t="shared" si="111"/>
        <v>2.270260493053919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3.9017322706058616E-13</v>
      </c>
      <c r="AK137" s="13">
        <f t="shared" si="143"/>
        <v>5.0025007393608908E-12</v>
      </c>
      <c r="AL137" s="20">
        <f t="shared" si="112"/>
        <v>9.3922404915174053E-12</v>
      </c>
      <c r="AM137" s="59">
        <f t="shared" si="113"/>
        <v>293.33333333334269</v>
      </c>
      <c r="AN137" s="59">
        <f ca="1">AVERAGE(OFFSET($AM$3,0,0,'Données projet'!$E$10+1,1))-AVERAGE(OFFSET($H$3,0,0,'Données projet'!$E$10+1,1))</f>
        <v>240.30073883588199</v>
      </c>
      <c r="AO137" s="59">
        <f t="shared" si="144"/>
        <v>263.20351282678843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0.88654973068068932</v>
      </c>
      <c r="AV137" s="21">
        <f>EXP(-LN(2)/25)*AV136+(1-EXP(-LN(2)/25))/(LN(2)/25)*Calculateur!AQ137*Calculateur!AS137*VLOOKUP('Données projet'!$B$10,Paramètres!$A$1:$I$89,3,0)*0.475*44/12</f>
        <v>1.1628562026202032</v>
      </c>
      <c r="AW137" s="21">
        <f>EXP(-LN(2)/2)*AW136+(1-EXP(-LN(2)/2))/(LN(2)/2)*AQ137*AT137*VLOOKUP('Données projet'!$B$10,Paramètres!$A$1:$I$89,3,0)*0.475*44/12</f>
        <v>4.4832616516366173E-15</v>
      </c>
      <c r="AX137" s="21">
        <f t="shared" si="114"/>
        <v>2.0494059333008972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252.98248842635206</v>
      </c>
      <c r="BJ137" s="59">
        <f t="shared" si="146"/>
        <v>207.11938580878308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4.5474735088646412E-13</v>
      </c>
      <c r="BZ137" s="13">
        <f>BY137*VLOOKUP('Données projet'!$B$12,Paramètres!$A$1:$I$89,3,0)*VLOOKUP('Données projet'!$B$12,Paramètres!$A$1:$I$89,5,0)</f>
        <v>2.5420376914553347E-13</v>
      </c>
      <c r="CA137" s="13">
        <f t="shared" si="147"/>
        <v>3.4258699088369875E-12</v>
      </c>
      <c r="CB137" s="20">
        <f t="shared" si="118"/>
        <v>6.4094616558195571E-12</v>
      </c>
      <c r="CC137" s="59">
        <f t="shared" si="119"/>
        <v>293.33333333333974</v>
      </c>
      <c r="CD137" s="59">
        <f ca="1">AVERAGE(OFFSET($CC$3,0,0,'Données projet'!$E$12+1,1))-AVERAGE(OFFSET($H$3,0,0,'Données projet'!$E$12+1,1))</f>
        <v>401.06118089678654</v>
      </c>
      <c r="CE137" s="59">
        <f t="shared" si="148"/>
        <v>399.58193819355591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1.3104313206623945</v>
      </c>
      <c r="CL137" s="21">
        <f>EXP(-LN(2)/25)*CL136+(1-EXP(-LN(2)/25))/(LN(2)/25)*Calculateur!CG137*Calculateur!CI137*VLOOKUP('Données projet'!$B$12,Paramètres!$A$1:$I$89,3,0)*0.475*44/12</f>
        <v>1.8686813745672728</v>
      </c>
      <c r="CM137" s="21">
        <f>EXP(-LN(2)/2)*CM136+(1-EXP(-LN(2)/2))/(LN(2)/2)*CG137*CJ137*VLOOKUP('Données projet'!$B$12,Paramètres!$A$1:$I$89,3,0)*0.475*44/12</f>
        <v>7.2674676368807085E-15</v>
      </c>
      <c r="CN137" s="22">
        <f t="shared" si="120"/>
        <v>3.1791126952296747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285.77483300338548</v>
      </c>
      <c r="CZ137" s="59">
        <f t="shared" si="150"/>
        <v>320.55212417690637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1.063859676816828</v>
      </c>
      <c r="DG137" s="21">
        <f>EXP(-LN(2)/25)*DG136+(1-EXP(-LN(2)/25))/(LN(2)/25)*Calculateur!DB137*Calculateur!DD137*VLOOKUP('Données projet'!$B$13,Paramètres!$A$1:$I$89,3,0)*0.475*44/12</f>
        <v>1.5590143952356343</v>
      </c>
      <c r="DH137" s="21">
        <f>EXP(-LN(2)/2)*DH136+(1-EXP(-LN(2)/2))/(LN(2)/2)*DB137*DE137*VLOOKUP('Données projet'!$B$13,Paramètres!$A$1:$I$89,3,0)*0.475*44/12</f>
        <v>5.4181528456957739E-15</v>
      </c>
      <c r="DI137" s="22">
        <f t="shared" si="123"/>
        <v>2.6228740720524675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-3.177547114319168E-13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356.67698551373468</v>
      </c>
      <c r="T138" s="59">
        <f t="shared" si="142"/>
        <v>353.21836615408171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0.57099313855483935</v>
      </c>
      <c r="AA138" s="21">
        <f>EXP(-LN(2)/25)*AA137+(1-EXP(-LN(2)/25))/(LN(2)/25)*Calculateur!V138*Calculateur!X138*VLOOKUP('Données projet'!$B$9,Paramètres!$A$1:$I$89,3,0)*0.475*44/12</f>
        <v>1.6416923194674113</v>
      </c>
      <c r="AB138" s="21">
        <f>EXP(-LN(2)/2)*AB137+(1-EXP(-LN(2)/2))/(LN(2)/2)*V138*Y138*VLOOKUP('Données projet'!$B$9,Paramètres!$A$1:$I$89,3,0)*0.475*44/12</f>
        <v>5.1062685691067676E-15</v>
      </c>
      <c r="AC138" s="22">
        <f t="shared" si="111"/>
        <v>2.2126854580222557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3.9017322706058616E-13</v>
      </c>
      <c r="AK138" s="13">
        <f t="shared" si="143"/>
        <v>5.0025007393608908E-12</v>
      </c>
      <c r="AL138" s="20">
        <f t="shared" si="112"/>
        <v>9.3922404915174053E-12</v>
      </c>
      <c r="AM138" s="59">
        <f t="shared" si="113"/>
        <v>293.33333333334269</v>
      </c>
      <c r="AN138" s="59">
        <f ca="1">AVERAGE(OFFSET($AM$3,0,0,'Données projet'!$E$10+1,1))-AVERAGE(OFFSET($H$3,0,0,'Données projet'!$E$10+1,1))</f>
        <v>240.30073883588199</v>
      </c>
      <c r="AO138" s="59">
        <f t="shared" si="144"/>
        <v>263.20351282678843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0.86916503120398292</v>
      </c>
      <c r="AV138" s="21">
        <f>EXP(-LN(2)/25)*AV137+(1-EXP(-LN(2)/25))/(LN(2)/25)*Calculateur!AQ138*Calculateur!AS138*VLOOKUP('Données projet'!$B$10,Paramètres!$A$1:$I$89,3,0)*0.475*44/12</f>
        <v>1.1310578386076038</v>
      </c>
      <c r="AW138" s="21">
        <f>EXP(-LN(2)/2)*AW137+(1-EXP(-LN(2)/2))/(LN(2)/2)*AQ138*AT138*VLOOKUP('Données projet'!$B$10,Paramètres!$A$1:$I$89,3,0)*0.475*44/12</f>
        <v>3.1701447157058532E-15</v>
      </c>
      <c r="AX138" s="21">
        <f t="shared" si="114"/>
        <v>2.0002228698115898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252.98248842635206</v>
      </c>
      <c r="BJ138" s="59">
        <f t="shared" si="146"/>
        <v>207.11938580878308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4.5474735088646412E-13</v>
      </c>
      <c r="BZ138" s="13">
        <f>BY138*VLOOKUP('Données projet'!$B$12,Paramètres!$A$1:$I$89,3,0)*VLOOKUP('Données projet'!$B$12,Paramètres!$A$1:$I$89,5,0)</f>
        <v>2.5420376914553347E-13</v>
      </c>
      <c r="CA138" s="13">
        <f t="shared" si="147"/>
        <v>3.4258699088369875E-12</v>
      </c>
      <c r="CB138" s="20">
        <f t="shared" si="118"/>
        <v>6.4094616558195571E-12</v>
      </c>
      <c r="CC138" s="59">
        <f t="shared" si="119"/>
        <v>293.33333333333974</v>
      </c>
      <c r="CD138" s="59">
        <f ca="1">AVERAGE(OFFSET($CC$3,0,0,'Données projet'!$E$12+1,1))-AVERAGE(OFFSET($H$3,0,0,'Données projet'!$E$12+1,1))</f>
        <v>401.06118089678654</v>
      </c>
      <c r="CE138" s="59">
        <f t="shared" si="148"/>
        <v>399.58193819355591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1.2847345617483878</v>
      </c>
      <c r="CL138" s="21">
        <f>EXP(-LN(2)/25)*CL137+(1-EXP(-LN(2)/25))/(LN(2)/25)*Calculateur!CG138*Calculateur!CI138*VLOOKUP('Données projet'!$B$12,Paramètres!$A$1:$I$89,3,0)*0.475*44/12</f>
        <v>1.8175821841100481</v>
      </c>
      <c r="CM138" s="21">
        <f>EXP(-LN(2)/2)*CM137+(1-EXP(-LN(2)/2))/(LN(2)/2)*CG138*CJ138*VLOOKUP('Données projet'!$B$12,Paramètres!$A$1:$I$89,3,0)*0.475*44/12</f>
        <v>5.1388756480921229E-15</v>
      </c>
      <c r="CN138" s="22">
        <f t="shared" si="120"/>
        <v>3.1023167458584413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285.77483300338548</v>
      </c>
      <c r="CZ138" s="59">
        <f t="shared" si="150"/>
        <v>320.55212417690637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1.0429980374447803</v>
      </c>
      <c r="DG138" s="21">
        <f>EXP(-LN(2)/25)*DG137+(1-EXP(-LN(2)/25))/(LN(2)/25)*Calculateur!DB138*Calculateur!DD138*VLOOKUP('Données projet'!$B$13,Paramètres!$A$1:$I$89,3,0)*0.475*44/12</f>
        <v>1.5163830646129119</v>
      </c>
      <c r="DH138" s="21">
        <f>EXP(-LN(2)/2)*DH137+(1-EXP(-LN(2)/2))/(LN(2)/2)*DB138*DE138*VLOOKUP('Données projet'!$B$13,Paramètres!$A$1:$I$89,3,0)*0.475*44/12</f>
        <v>3.8312126186966713E-15</v>
      </c>
      <c r="DI138" s="22">
        <f t="shared" si="123"/>
        <v>2.5593811020576962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-3.177547114319168E-13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356.67698551373468</v>
      </c>
      <c r="T139" s="59">
        <f t="shared" si="142"/>
        <v>353.21836615408171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0.55979631137920449</v>
      </c>
      <c r="AA139" s="21">
        <f>EXP(-LN(2)/25)*AA138+(1-EXP(-LN(2)/25))/(LN(2)/25)*Calculateur!V139*Calculateur!X139*VLOOKUP('Données projet'!$B$9,Paramètres!$A$1:$I$89,3,0)*0.475*44/12</f>
        <v>1.596800156658728</v>
      </c>
      <c r="AB139" s="21">
        <f>EXP(-LN(2)/2)*AB138+(1-EXP(-LN(2)/2))/(LN(2)/2)*V139*Y139*VLOOKUP('Données projet'!$B$9,Paramètres!$A$1:$I$89,3,0)*0.475*44/12</f>
        <v>3.6106771317751242E-15</v>
      </c>
      <c r="AC139" s="22">
        <f t="shared" si="111"/>
        <v>2.1565964680379359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3.9017322706058616E-13</v>
      </c>
      <c r="AK139" s="13">
        <f t="shared" si="143"/>
        <v>5.0025007393608908E-12</v>
      </c>
      <c r="AL139" s="20">
        <f t="shared" si="112"/>
        <v>9.3922404915174053E-12</v>
      </c>
      <c r="AM139" s="59">
        <f t="shared" si="113"/>
        <v>293.33333333334269</v>
      </c>
      <c r="AN139" s="59">
        <f ca="1">AVERAGE(OFFSET($AM$3,0,0,'Données projet'!$E$10+1,1))-AVERAGE(OFFSET($H$3,0,0,'Données projet'!$E$10+1,1))</f>
        <v>240.30073883588199</v>
      </c>
      <c r="AO139" s="59">
        <f t="shared" si="144"/>
        <v>263.20351282678843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0.85212123508039506</v>
      </c>
      <c r="AV139" s="21">
        <f>EXP(-LN(2)/25)*AV138+(1-EXP(-LN(2)/25))/(LN(2)/25)*Calculateur!AQ139*Calculateur!AS139*VLOOKUP('Données projet'!$B$10,Paramètres!$A$1:$I$89,3,0)*0.475*44/12</f>
        <v>1.1001290025311321</v>
      </c>
      <c r="AW139" s="21">
        <f>EXP(-LN(2)/2)*AW138+(1-EXP(-LN(2)/2))/(LN(2)/2)*AQ139*AT139*VLOOKUP('Données projet'!$B$10,Paramètres!$A$1:$I$89,3,0)*0.475*44/12</f>
        <v>2.2416308258183086E-15</v>
      </c>
      <c r="AX139" s="21">
        <f t="shared" si="114"/>
        <v>1.9522502376115294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252.98248842635206</v>
      </c>
      <c r="BJ139" s="59">
        <f t="shared" si="146"/>
        <v>207.11938580878308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4.5474735088646412E-13</v>
      </c>
      <c r="BZ139" s="13">
        <f>BY139*VLOOKUP('Données projet'!$B$12,Paramètres!$A$1:$I$89,3,0)*VLOOKUP('Données projet'!$B$12,Paramètres!$A$1:$I$89,5,0)</f>
        <v>2.5420376914553347E-13</v>
      </c>
      <c r="CA139" s="13">
        <f t="shared" si="147"/>
        <v>3.4258699088369875E-12</v>
      </c>
      <c r="CB139" s="20">
        <f t="shared" si="118"/>
        <v>6.4094616558195571E-12</v>
      </c>
      <c r="CC139" s="59">
        <f t="shared" si="119"/>
        <v>293.33333333333974</v>
      </c>
      <c r="CD139" s="59">
        <f ca="1">AVERAGE(OFFSET($CC$3,0,0,'Données projet'!$E$12+1,1))-AVERAGE(OFFSET($H$3,0,0,'Données projet'!$E$12+1,1))</f>
        <v>401.06118089678654</v>
      </c>
      <c r="CE139" s="59">
        <f t="shared" si="148"/>
        <v>399.58193819355591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1.2595417006032095</v>
      </c>
      <c r="CL139" s="21">
        <f>EXP(-LN(2)/25)*CL138+(1-EXP(-LN(2)/25))/(LN(2)/25)*Calculateur!CG139*Calculateur!CI139*VLOOKUP('Données projet'!$B$12,Paramètres!$A$1:$I$89,3,0)*0.475*44/12</f>
        <v>1.7678803037030659</v>
      </c>
      <c r="CM139" s="21">
        <f>EXP(-LN(2)/2)*CM138+(1-EXP(-LN(2)/2))/(LN(2)/2)*CG139*CJ139*VLOOKUP('Données projet'!$B$12,Paramètres!$A$1:$I$89,3,0)*0.475*44/12</f>
        <v>3.6337338184403542E-15</v>
      </c>
      <c r="CN139" s="22">
        <f t="shared" si="120"/>
        <v>3.0274220043062789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285.77483300338548</v>
      </c>
      <c r="CZ139" s="59">
        <f t="shared" si="150"/>
        <v>320.55212417690637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1.0225454820964748</v>
      </c>
      <c r="DG139" s="21">
        <f>EXP(-LN(2)/25)*DG138+(1-EXP(-LN(2)/25))/(LN(2)/25)*Calculateur!DB139*Calculateur!DD139*VLOOKUP('Données projet'!$B$13,Paramètres!$A$1:$I$89,3,0)*0.475*44/12</f>
        <v>1.4749174899679522</v>
      </c>
      <c r="DH139" s="21">
        <f>EXP(-LN(2)/2)*DH138+(1-EXP(-LN(2)/2))/(LN(2)/2)*DB139*DE139*VLOOKUP('Données projet'!$B$13,Paramètres!$A$1:$I$89,3,0)*0.475*44/12</f>
        <v>2.709076422847887E-15</v>
      </c>
      <c r="DI139" s="22">
        <f t="shared" si="123"/>
        <v>2.4974629720644295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-3.177547114319168E-13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356.67698551373468</v>
      </c>
      <c r="T140" s="59">
        <f t="shared" si="142"/>
        <v>353.21836615408171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0.54881904715509366</v>
      </c>
      <c r="AA140" s="21">
        <f>EXP(-LN(2)/25)*AA139+(1-EXP(-LN(2)/25))/(LN(2)/25)*Calculateur!V140*Calculateur!X140*VLOOKUP('Données projet'!$B$9,Paramètres!$A$1:$I$89,3,0)*0.475*44/12</f>
        <v>1.5531355724028244</v>
      </c>
      <c r="AB140" s="21">
        <f>EXP(-LN(2)/2)*AB139+(1-EXP(-LN(2)/2))/(LN(2)/2)*V140*Y140*VLOOKUP('Données projet'!$B$9,Paramètres!$A$1:$I$89,3,0)*0.475*44/12</f>
        <v>2.5531342845533838E-15</v>
      </c>
      <c r="AC140" s="22">
        <f t="shared" si="111"/>
        <v>2.1019546195579206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3.9017322706058616E-13</v>
      </c>
      <c r="AK140" s="13">
        <f t="shared" si="143"/>
        <v>5.0025007393608908E-12</v>
      </c>
      <c r="AL140" s="20">
        <f t="shared" si="112"/>
        <v>9.3922404915174053E-12</v>
      </c>
      <c r="AM140" s="59">
        <f t="shared" si="113"/>
        <v>293.33333333334269</v>
      </c>
      <c r="AN140" s="59">
        <f ca="1">AVERAGE(OFFSET($AM$3,0,0,'Données projet'!$E$10+1,1))-AVERAGE(OFFSET($H$3,0,0,'Données projet'!$E$10+1,1))</f>
        <v>240.30073883588199</v>
      </c>
      <c r="AO140" s="59">
        <f t="shared" si="144"/>
        <v>263.20351282678843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0.83541165740310164</v>
      </c>
      <c r="AV140" s="21">
        <f>EXP(-LN(2)/25)*AV139+(1-EXP(-LN(2)/25))/(LN(2)/25)*Calculateur!AQ140*Calculateur!AS140*VLOOKUP('Données projet'!$B$10,Paramètres!$A$1:$I$89,3,0)*0.475*44/12</f>
        <v>1.0700459171036485</v>
      </c>
      <c r="AW140" s="21">
        <f>EXP(-LN(2)/2)*AW139+(1-EXP(-LN(2)/2))/(LN(2)/2)*AQ140*AT140*VLOOKUP('Données projet'!$B$10,Paramètres!$A$1:$I$89,3,0)*0.475*44/12</f>
        <v>1.5850723578529266E-15</v>
      </c>
      <c r="AX140" s="21">
        <f t="shared" si="114"/>
        <v>1.9054575745067517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252.98248842635206</v>
      </c>
      <c r="BJ140" s="59">
        <f t="shared" si="146"/>
        <v>207.11938580878308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4.5474735088646412E-13</v>
      </c>
      <c r="BZ140" s="13">
        <f>BY140*VLOOKUP('Données projet'!$B$12,Paramètres!$A$1:$I$89,3,0)*VLOOKUP('Données projet'!$B$12,Paramètres!$A$1:$I$89,5,0)</f>
        <v>2.5420376914553347E-13</v>
      </c>
      <c r="CA140" s="13">
        <f t="shared" si="147"/>
        <v>3.4258699088369875E-12</v>
      </c>
      <c r="CB140" s="20">
        <f t="shared" si="118"/>
        <v>6.4094616558195571E-12</v>
      </c>
      <c r="CC140" s="59">
        <f t="shared" si="119"/>
        <v>293.33333333333974</v>
      </c>
      <c r="CD140" s="59">
        <f ca="1">AVERAGE(OFFSET($CC$3,0,0,'Données projet'!$E$12+1,1))-AVERAGE(OFFSET($H$3,0,0,'Données projet'!$E$12+1,1))</f>
        <v>401.06118089678654</v>
      </c>
      <c r="CE140" s="59">
        <f t="shared" si="148"/>
        <v>399.58193819355591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1.2348428560989599</v>
      </c>
      <c r="CL140" s="21">
        <f>EXP(-LN(2)/25)*CL139+(1-EXP(-LN(2)/25))/(LN(2)/25)*Calculateur!CG140*Calculateur!CI140*VLOOKUP('Données projet'!$B$12,Paramètres!$A$1:$I$89,3,0)*0.475*44/12</f>
        <v>1.719537523829521</v>
      </c>
      <c r="CM140" s="21">
        <f>EXP(-LN(2)/2)*CM139+(1-EXP(-LN(2)/2))/(LN(2)/2)*CG140*CJ140*VLOOKUP('Données projet'!$B$12,Paramètres!$A$1:$I$89,3,0)*0.475*44/12</f>
        <v>2.5694378240460615E-15</v>
      </c>
      <c r="CN140" s="22">
        <f t="shared" si="120"/>
        <v>2.9543803799284838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285.77483300338548</v>
      </c>
      <c r="CZ140" s="59">
        <f t="shared" si="150"/>
        <v>320.55212417690637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1.0024939888837225</v>
      </c>
      <c r="DG140" s="21">
        <f>EXP(-LN(2)/25)*DG139+(1-EXP(-LN(2)/25))/(LN(2)/25)*Calculateur!DB140*Calculateur!DD140*VLOOKUP('Données projet'!$B$13,Paramètres!$A$1:$I$89,3,0)*0.475*44/12</f>
        <v>1.4345857936422388</v>
      </c>
      <c r="DH140" s="21">
        <f>EXP(-LN(2)/2)*DH139+(1-EXP(-LN(2)/2))/(LN(2)/2)*DB140*DE140*VLOOKUP('Données projet'!$B$13,Paramètres!$A$1:$I$89,3,0)*0.475*44/12</f>
        <v>1.9156063093483357E-15</v>
      </c>
      <c r="DI140" s="22">
        <f t="shared" si="123"/>
        <v>2.4370797825259629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-3.177547114319168E-13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356.67698551373468</v>
      </c>
      <c r="T141" s="59">
        <f t="shared" si="142"/>
        <v>353.21836615408171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0.53805704038694757</v>
      </c>
      <c r="AA141" s="21">
        <f>EXP(-LN(2)/25)*AA140+(1-EXP(-LN(2)/25))/(LN(2)/25)*Calculateur!V141*Calculateur!X141*VLOOKUP('Données projet'!$B$9,Paramètres!$A$1:$I$89,3,0)*0.475*44/12</f>
        <v>1.5106649984996192</v>
      </c>
      <c r="AB141" s="21">
        <f>EXP(-LN(2)/2)*AB140+(1-EXP(-LN(2)/2))/(LN(2)/2)*V141*Y141*VLOOKUP('Données projet'!$B$9,Paramètres!$A$1:$I$89,3,0)*0.475*44/12</f>
        <v>1.8053385658875621E-15</v>
      </c>
      <c r="AC141" s="22">
        <f t="shared" si="111"/>
        <v>2.0487220388865683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3.9017322706058616E-13</v>
      </c>
      <c r="AK141" s="13">
        <f t="shared" si="143"/>
        <v>5.0025007393608908E-12</v>
      </c>
      <c r="AL141" s="20">
        <f t="shared" si="112"/>
        <v>9.3922404915174053E-12</v>
      </c>
      <c r="AM141" s="59">
        <f t="shared" si="113"/>
        <v>293.33333333334269</v>
      </c>
      <c r="AN141" s="59">
        <f ca="1">AVERAGE(OFFSET($AM$3,0,0,'Données projet'!$E$10+1,1))-AVERAGE(OFFSET($H$3,0,0,'Données projet'!$E$10+1,1))</f>
        <v>240.30073883588199</v>
      </c>
      <c r="AO141" s="59">
        <f t="shared" si="144"/>
        <v>263.20351282678843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0.81902974435222387</v>
      </c>
      <c r="AV141" s="21">
        <f>EXP(-LN(2)/25)*AV140+(1-EXP(-LN(2)/25))/(LN(2)/25)*Calculateur!AQ141*Calculateur!AS141*VLOOKUP('Données projet'!$B$10,Paramètres!$A$1:$I$89,3,0)*0.475*44/12</f>
        <v>1.04078545522918</v>
      </c>
      <c r="AW141" s="21">
        <f>EXP(-LN(2)/2)*AW140+(1-EXP(-LN(2)/2))/(LN(2)/2)*AQ141*AT141*VLOOKUP('Données projet'!$B$10,Paramètres!$A$1:$I$89,3,0)*0.475*44/12</f>
        <v>1.1208154129091543E-15</v>
      </c>
      <c r="AX141" s="21">
        <f t="shared" si="114"/>
        <v>1.859815199581405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252.98248842635206</v>
      </c>
      <c r="BJ141" s="59">
        <f t="shared" si="146"/>
        <v>207.11938580878308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4.5474735088646412E-13</v>
      </c>
      <c r="BZ141" s="13">
        <f>BY141*VLOOKUP('Données projet'!$B$12,Paramètres!$A$1:$I$89,3,0)*VLOOKUP('Données projet'!$B$12,Paramètres!$A$1:$I$89,5,0)</f>
        <v>2.5420376914553347E-13</v>
      </c>
      <c r="CA141" s="13">
        <f t="shared" si="147"/>
        <v>3.4258699088369875E-12</v>
      </c>
      <c r="CB141" s="20">
        <f t="shared" si="118"/>
        <v>6.4094616558195571E-12</v>
      </c>
      <c r="CC141" s="59">
        <f t="shared" si="119"/>
        <v>293.33333333333974</v>
      </c>
      <c r="CD141" s="59">
        <f ca="1">AVERAGE(OFFSET($CC$3,0,0,'Données projet'!$E$12+1,1))-AVERAGE(OFFSET($H$3,0,0,'Données projet'!$E$12+1,1))</f>
        <v>401.06118089678654</v>
      </c>
      <c r="CE141" s="59">
        <f t="shared" si="148"/>
        <v>399.58193819355591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1.2106283408706313</v>
      </c>
      <c r="CL141" s="21">
        <f>EXP(-LN(2)/25)*CL140+(1-EXP(-LN(2)/25))/(LN(2)/25)*Calculateur!CG141*Calculateur!CI141*VLOOKUP('Données projet'!$B$12,Paramètres!$A$1:$I$89,3,0)*0.475*44/12</f>
        <v>1.6725166798138544</v>
      </c>
      <c r="CM141" s="21">
        <f>EXP(-LN(2)/2)*CM140+(1-EXP(-LN(2)/2))/(LN(2)/2)*CG141*CJ141*VLOOKUP('Données projet'!$B$12,Paramètres!$A$1:$I$89,3,0)*0.475*44/12</f>
        <v>1.8168669092201771E-15</v>
      </c>
      <c r="CN141" s="22">
        <f t="shared" si="120"/>
        <v>2.8831450206844877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285.77483300338548</v>
      </c>
      <c r="CZ141" s="59">
        <f t="shared" si="150"/>
        <v>320.55212417690637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0.98283569322266917</v>
      </c>
      <c r="DG141" s="21">
        <f>EXP(-LN(2)/25)*DG140+(1-EXP(-LN(2)/25))/(LN(2)/25)*Calculateur!DB141*Calculateur!DD141*VLOOKUP('Données projet'!$B$13,Paramètres!$A$1:$I$89,3,0)*0.475*44/12</f>
        <v>1.3953569696735038</v>
      </c>
      <c r="DH141" s="21">
        <f>EXP(-LN(2)/2)*DH140+(1-EXP(-LN(2)/2))/(LN(2)/2)*DB141*DE141*VLOOKUP('Données projet'!$B$13,Paramètres!$A$1:$I$89,3,0)*0.475*44/12</f>
        <v>1.3545382114239435E-15</v>
      </c>
      <c r="DI141" s="22">
        <f t="shared" si="123"/>
        <v>2.3781926628961743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-3.177547114319168E-13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356.67698551373468</v>
      </c>
      <c r="T142" s="59">
        <f t="shared" si="142"/>
        <v>353.21836615408171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0.52750607000734884</v>
      </c>
      <c r="AA142" s="21">
        <f>EXP(-LN(2)/25)*AA141+(1-EXP(-LN(2)/25))/(LN(2)/25)*Calculateur!V142*Calculateur!X142*VLOOKUP('Données projet'!$B$9,Paramètres!$A$1:$I$89,3,0)*0.475*44/12</f>
        <v>1.4693557846732275</v>
      </c>
      <c r="AB142" s="21">
        <f>EXP(-LN(2)/2)*AB141+(1-EXP(-LN(2)/2))/(LN(2)/2)*V142*Y142*VLOOKUP('Données projet'!$B$9,Paramètres!$A$1:$I$89,3,0)*0.475*44/12</f>
        <v>1.2765671422766919E-15</v>
      </c>
      <c r="AC142" s="22">
        <f t="shared" si="111"/>
        <v>1.9968618546805776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3.9017322706058616E-13</v>
      </c>
      <c r="AK142" s="13">
        <f t="shared" si="143"/>
        <v>5.0025007393608908E-12</v>
      </c>
      <c r="AL142" s="20">
        <f t="shared" si="112"/>
        <v>9.3922404915174053E-12</v>
      </c>
      <c r="AM142" s="59">
        <f t="shared" si="113"/>
        <v>293.33333333334269</v>
      </c>
      <c r="AN142" s="59">
        <f ca="1">AVERAGE(OFFSET($AM$3,0,0,'Données projet'!$E$10+1,1))-AVERAGE(OFFSET($H$3,0,0,'Données projet'!$E$10+1,1))</f>
        <v>240.30073883588199</v>
      </c>
      <c r="AO142" s="59">
        <f t="shared" si="144"/>
        <v>263.20351282678843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0.80296907062429346</v>
      </c>
      <c r="AV142" s="21">
        <f>EXP(-LN(2)/25)*AV141+(1-EXP(-LN(2)/25))/(LN(2)/25)*Calculateur!AQ142*Calculateur!AS142*VLOOKUP('Données projet'!$B$10,Paramètres!$A$1:$I$89,3,0)*0.475*44/12</f>
        <v>1.0123251222234098</v>
      </c>
      <c r="AW142" s="21">
        <f>EXP(-LN(2)/2)*AW141+(1-EXP(-LN(2)/2))/(LN(2)/2)*AQ142*AT142*VLOOKUP('Données projet'!$B$10,Paramètres!$A$1:$I$89,3,0)*0.475*44/12</f>
        <v>7.9253617892646331E-16</v>
      </c>
      <c r="AX142" s="21">
        <f t="shared" si="114"/>
        <v>1.8152941928477042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252.98248842635206</v>
      </c>
      <c r="BJ142" s="59">
        <f t="shared" si="146"/>
        <v>207.11938580878308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4.5474735088646412E-13</v>
      </c>
      <c r="BZ142" s="13">
        <f>BY142*VLOOKUP('Données projet'!$B$12,Paramètres!$A$1:$I$89,3,0)*VLOOKUP('Données projet'!$B$12,Paramètres!$A$1:$I$89,5,0)</f>
        <v>2.5420376914553347E-13</v>
      </c>
      <c r="CA142" s="13">
        <f t="shared" si="147"/>
        <v>3.4258699088369875E-12</v>
      </c>
      <c r="CB142" s="20">
        <f t="shared" si="118"/>
        <v>6.4094616558195571E-12</v>
      </c>
      <c r="CC142" s="59">
        <f t="shared" si="119"/>
        <v>293.33333333333974</v>
      </c>
      <c r="CD142" s="59">
        <f ca="1">AVERAGE(OFFSET($CC$3,0,0,'Données projet'!$E$12+1,1))-AVERAGE(OFFSET($H$3,0,0,'Données projet'!$E$12+1,1))</f>
        <v>401.06118089678654</v>
      </c>
      <c r="CE142" s="59">
        <f t="shared" si="148"/>
        <v>399.58193819355591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1.1868886575165343</v>
      </c>
      <c r="CL142" s="21">
        <f>EXP(-LN(2)/25)*CL141+(1-EXP(-LN(2)/25))/(LN(2)/25)*Calculateur!CG142*Calculateur!CI142*VLOOKUP('Données projet'!$B$12,Paramètres!$A$1:$I$89,3,0)*0.475*44/12</f>
        <v>1.626781623250515</v>
      </c>
      <c r="CM142" s="21">
        <f>EXP(-LN(2)/2)*CM141+(1-EXP(-LN(2)/2))/(LN(2)/2)*CG142*CJ142*VLOOKUP('Données projet'!$B$12,Paramètres!$A$1:$I$89,3,0)*0.475*44/12</f>
        <v>1.2847189120230307E-15</v>
      </c>
      <c r="CN142" s="22">
        <f t="shared" si="120"/>
        <v>2.8136702807670506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285.77483300338548</v>
      </c>
      <c r="CZ142" s="59">
        <f t="shared" si="150"/>
        <v>320.55212417690637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0.96356288474915264</v>
      </c>
      <c r="DG142" s="21">
        <f>EXP(-LN(2)/25)*DG141+(1-EXP(-LN(2)/25))/(LN(2)/25)*Calculateur!DB142*Calculateur!DD142*VLOOKUP('Données projet'!$B$13,Paramètres!$A$1:$I$89,3,0)*0.475*44/12</f>
        <v>1.3572008599591479</v>
      </c>
      <c r="DH142" s="21">
        <f>EXP(-LN(2)/2)*DH141+(1-EXP(-LN(2)/2))/(LN(2)/2)*DB142*DE142*VLOOKUP('Données projet'!$B$13,Paramètres!$A$1:$I$89,3,0)*0.475*44/12</f>
        <v>9.5780315467416783E-16</v>
      </c>
      <c r="DI142" s="22">
        <f t="shared" si="123"/>
        <v>2.3207637447083016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-3.177547114319168E-13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356.67698551373468</v>
      </c>
      <c r="T143" s="59">
        <f t="shared" si="142"/>
        <v>353.21836615408171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0.51716199772143756</v>
      </c>
      <c r="AA143" s="21">
        <f>EXP(-LN(2)/25)*AA142+(1-EXP(-LN(2)/25))/(LN(2)/25)*Calculateur!V143*Calculateur!X143*VLOOKUP('Données projet'!$B$9,Paramètres!$A$1:$I$89,3,0)*0.475*44/12</f>
        <v>1.4291761734712756</v>
      </c>
      <c r="AB143" s="21">
        <f>EXP(-LN(2)/2)*AB142+(1-EXP(-LN(2)/2))/(LN(2)/2)*V143*Y143*VLOOKUP('Données projet'!$B$9,Paramètres!$A$1:$I$89,3,0)*0.475*44/12</f>
        <v>9.0266928294378106E-16</v>
      </c>
      <c r="AC143" s="22">
        <f t="shared" si="111"/>
        <v>1.9463381711927141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3.9017322706058616E-13</v>
      </c>
      <c r="AK143" s="13">
        <f t="shared" si="143"/>
        <v>5.0025007393608908E-12</v>
      </c>
      <c r="AL143" s="20">
        <f t="shared" si="112"/>
        <v>9.3922404915174053E-12</v>
      </c>
      <c r="AM143" s="59">
        <f t="shared" si="113"/>
        <v>293.33333333334269</v>
      </c>
      <c r="AN143" s="59">
        <f ca="1">AVERAGE(OFFSET($AM$3,0,0,'Données projet'!$E$10+1,1))-AVERAGE(OFFSET($H$3,0,0,'Données projet'!$E$10+1,1))</f>
        <v>240.30073883588199</v>
      </c>
      <c r="AO143" s="59">
        <f t="shared" si="144"/>
        <v>263.20351282678843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0.78722333691212409</v>
      </c>
      <c r="AV143" s="21">
        <f>EXP(-LN(2)/25)*AV142+(1-EXP(-LN(2)/25))/(LN(2)/25)*Calculateur!AQ143*Calculateur!AS143*VLOOKUP('Données projet'!$B$10,Paramètres!$A$1:$I$89,3,0)*0.475*44/12</f>
        <v>0.98464303852034618</v>
      </c>
      <c r="AW143" s="21">
        <f>EXP(-LN(2)/2)*AW142+(1-EXP(-LN(2)/2))/(LN(2)/2)*AQ143*AT143*VLOOKUP('Données projet'!$B$10,Paramètres!$A$1:$I$89,3,0)*0.475*44/12</f>
        <v>5.6040770645457716E-16</v>
      </c>
      <c r="AX143" s="21">
        <f t="shared" si="114"/>
        <v>1.7718663754324708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252.98248842635206</v>
      </c>
      <c r="BJ143" s="59">
        <f t="shared" si="146"/>
        <v>207.11938580878308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4.5474735088646412E-13</v>
      </c>
      <c r="BZ143" s="13">
        <f>BY143*VLOOKUP('Données projet'!$B$12,Paramètres!$A$1:$I$89,3,0)*VLOOKUP('Données projet'!$B$12,Paramètres!$A$1:$I$89,5,0)</f>
        <v>2.5420376914553347E-13</v>
      </c>
      <c r="CA143" s="13">
        <f t="shared" si="147"/>
        <v>3.4258699088369875E-12</v>
      </c>
      <c r="CB143" s="20">
        <f t="shared" si="118"/>
        <v>6.4094616558195571E-12</v>
      </c>
      <c r="CC143" s="59">
        <f t="shared" si="119"/>
        <v>293.33333333333974</v>
      </c>
      <c r="CD143" s="59">
        <f ca="1">AVERAGE(OFFSET($CC$3,0,0,'Données projet'!$E$12+1,1))-AVERAGE(OFFSET($H$3,0,0,'Données projet'!$E$12+1,1))</f>
        <v>401.06118089678654</v>
      </c>
      <c r="CE143" s="59">
        <f t="shared" si="148"/>
        <v>399.58193819355591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1.1636144948732339</v>
      </c>
      <c r="CL143" s="21">
        <f>EXP(-LN(2)/25)*CL142+(1-EXP(-LN(2)/25))/(LN(2)/25)*Calculateur!CG143*Calculateur!CI143*VLOOKUP('Données projet'!$B$12,Paramètres!$A$1:$I$89,3,0)*0.475*44/12</f>
        <v>1.5822971942140023</v>
      </c>
      <c r="CM143" s="21">
        <f>EXP(-LN(2)/2)*CM142+(1-EXP(-LN(2)/2))/(LN(2)/2)*CG143*CJ143*VLOOKUP('Données projet'!$B$12,Paramètres!$A$1:$I$89,3,0)*0.475*44/12</f>
        <v>9.0843345461008856E-16</v>
      </c>
      <c r="CN143" s="22">
        <f t="shared" si="120"/>
        <v>2.745911689087237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285.77483300338548</v>
      </c>
      <c r="CZ143" s="59">
        <f t="shared" si="150"/>
        <v>320.55212417690637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0.94466800429454933</v>
      </c>
      <c r="DG143" s="21">
        <f>EXP(-LN(2)/25)*DG142+(1-EXP(-LN(2)/25))/(LN(2)/25)*Calculateur!DB143*Calculateur!DD143*VLOOKUP('Données projet'!$B$13,Paramètres!$A$1:$I$89,3,0)*0.475*44/12</f>
        <v>1.3200881310714736</v>
      </c>
      <c r="DH143" s="21">
        <f>EXP(-LN(2)/2)*DH142+(1-EXP(-LN(2)/2))/(LN(2)/2)*DB143*DE143*VLOOKUP('Données projet'!$B$13,Paramètres!$A$1:$I$89,3,0)*0.475*44/12</f>
        <v>6.7726910571197174E-16</v>
      </c>
      <c r="DI143" s="22">
        <f t="shared" si="123"/>
        <v>2.2647561353660239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-3.177547114319168E-13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356.67698551373468</v>
      </c>
      <c r="T144" s="59">
        <f t="shared" si="142"/>
        <v>353.21836615408171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0.5070207663837919</v>
      </c>
      <c r="AA144" s="21">
        <f>EXP(-LN(2)/25)*AA143+(1-EXP(-LN(2)/25))/(LN(2)/25)*Calculateur!V144*Calculateur!X144*VLOOKUP('Données projet'!$B$9,Paramètres!$A$1:$I$89,3,0)*0.475*44/12</f>
        <v>1.3900952758505949</v>
      </c>
      <c r="AB144" s="21">
        <f>EXP(-LN(2)/2)*AB143+(1-EXP(-LN(2)/2))/(LN(2)/2)*V144*Y144*VLOOKUP('Données projet'!$B$9,Paramètres!$A$1:$I$89,3,0)*0.475*44/12</f>
        <v>6.3828357113834595E-16</v>
      </c>
      <c r="AC144" s="22">
        <f t="shared" si="111"/>
        <v>1.8971160422343873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3.9017322706058616E-13</v>
      </c>
      <c r="AK144" s="13">
        <f t="shared" si="143"/>
        <v>5.0025007393608908E-12</v>
      </c>
      <c r="AL144" s="20">
        <f t="shared" si="112"/>
        <v>9.3922404915174053E-12</v>
      </c>
      <c r="AM144" s="59">
        <f t="shared" si="113"/>
        <v>293.33333333334269</v>
      </c>
      <c r="AN144" s="59">
        <f ca="1">AVERAGE(OFFSET($AM$3,0,0,'Données projet'!$E$10+1,1))-AVERAGE(OFFSET($H$3,0,0,'Données projet'!$E$10+1,1))</f>
        <v>240.30073883588199</v>
      </c>
      <c r="AO144" s="59">
        <f t="shared" si="144"/>
        <v>263.20351282678843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0.77178636743410112</v>
      </c>
      <c r="AV144" s="21">
        <f>EXP(-LN(2)/25)*AV143+(1-EXP(-LN(2)/25))/(LN(2)/25)*Calculateur!AQ144*Calculateur!AS144*VLOOKUP('Données projet'!$B$10,Paramètres!$A$1:$I$89,3,0)*0.475*44/12</f>
        <v>0.9577179228518804</v>
      </c>
      <c r="AW144" s="21">
        <f>EXP(-LN(2)/2)*AW143+(1-EXP(-LN(2)/2))/(LN(2)/2)*AQ144*AT144*VLOOKUP('Données projet'!$B$10,Paramètres!$A$1:$I$89,3,0)*0.475*44/12</f>
        <v>3.9626808946323165E-16</v>
      </c>
      <c r="AX144" s="21">
        <f t="shared" si="114"/>
        <v>1.7295042902859818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252.98248842635206</v>
      </c>
      <c r="BJ144" s="59">
        <f t="shared" si="146"/>
        <v>207.11938580878308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4.5474735088646412E-13</v>
      </c>
      <c r="BZ144" s="13">
        <f>BY144*VLOOKUP('Données projet'!$B$12,Paramètres!$A$1:$I$89,3,0)*VLOOKUP('Données projet'!$B$12,Paramètres!$A$1:$I$89,5,0)</f>
        <v>2.5420376914553347E-13</v>
      </c>
      <c r="CA144" s="13">
        <f t="shared" si="147"/>
        <v>3.4258699088369875E-12</v>
      </c>
      <c r="CB144" s="20">
        <f t="shared" si="118"/>
        <v>6.4094616558195571E-12</v>
      </c>
      <c r="CC144" s="59">
        <f t="shared" si="119"/>
        <v>293.33333333333974</v>
      </c>
      <c r="CD144" s="59">
        <f ca="1">AVERAGE(OFFSET($CC$3,0,0,'Données projet'!$E$12+1,1))-AVERAGE(OFFSET($H$3,0,0,'Données projet'!$E$12+1,1))</f>
        <v>401.06118089678654</v>
      </c>
      <c r="CE144" s="59">
        <f t="shared" si="148"/>
        <v>399.58193819355591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1.1407967243635311</v>
      </c>
      <c r="CL144" s="21">
        <f>EXP(-LN(2)/25)*CL143+(1-EXP(-LN(2)/25))/(LN(2)/25)*Calculateur!CG144*Calculateur!CI144*VLOOKUP('Données projet'!$B$12,Paramètres!$A$1:$I$89,3,0)*0.475*44/12</f>
        <v>1.5390291942288272</v>
      </c>
      <c r="CM144" s="21">
        <f>EXP(-LN(2)/2)*CM143+(1-EXP(-LN(2)/2))/(LN(2)/2)*CG144*CJ144*VLOOKUP('Données projet'!$B$12,Paramètres!$A$1:$I$89,3,0)*0.475*44/12</f>
        <v>6.4235945601151537E-16</v>
      </c>
      <c r="CN144" s="22">
        <f t="shared" si="120"/>
        <v>2.6798259185923587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285.77483300338548</v>
      </c>
      <c r="CZ144" s="59">
        <f t="shared" si="150"/>
        <v>320.55212417690637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0.92614364092092172</v>
      </c>
      <c r="DG144" s="21">
        <f>EXP(-LN(2)/25)*DG143+(1-EXP(-LN(2)/25))/(LN(2)/25)*Calculateur!DB144*Calculateur!DD144*VLOOKUP('Données projet'!$B$13,Paramètres!$A$1:$I$89,3,0)*0.475*44/12</f>
        <v>1.2839902517069064</v>
      </c>
      <c r="DH144" s="21">
        <f>EXP(-LN(2)/2)*DH143+(1-EXP(-LN(2)/2))/(LN(2)/2)*DB144*DE144*VLOOKUP('Données projet'!$B$13,Paramètres!$A$1:$I$89,3,0)*0.475*44/12</f>
        <v>4.7890157733708392E-16</v>
      </c>
      <c r="DI144" s="22">
        <f t="shared" si="123"/>
        <v>2.2101338926278284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-3.177547114319168E-13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356.67698551373468</v>
      </c>
      <c r="T145" s="59">
        <f t="shared" si="142"/>
        <v>353.21836615408171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0.49707839840713713</v>
      </c>
      <c r="AA145" s="21">
        <f>EXP(-LN(2)/25)*AA144+(1-EXP(-LN(2)/25))/(LN(2)/25)*Calculateur!V145*Calculateur!X145*VLOOKUP('Données projet'!$B$9,Paramètres!$A$1:$I$89,3,0)*0.475*44/12</f>
        <v>1.352083047430527</v>
      </c>
      <c r="AB145" s="21">
        <f>EXP(-LN(2)/2)*AB144+(1-EXP(-LN(2)/2))/(LN(2)/2)*V145*Y145*VLOOKUP('Données projet'!$B$9,Paramètres!$A$1:$I$89,3,0)*0.475*44/12</f>
        <v>4.5133464147189053E-16</v>
      </c>
      <c r="AC145" s="22">
        <f t="shared" si="111"/>
        <v>1.8491614458376646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3.9017322706058616E-13</v>
      </c>
      <c r="AK145" s="13">
        <f t="shared" si="143"/>
        <v>5.0025007393608908E-12</v>
      </c>
      <c r="AL145" s="20">
        <f t="shared" si="112"/>
        <v>9.3922404915174053E-12</v>
      </c>
      <c r="AM145" s="59">
        <f t="shared" si="113"/>
        <v>293.33333333334269</v>
      </c>
      <c r="AN145" s="59">
        <f ca="1">AVERAGE(OFFSET($AM$3,0,0,'Données projet'!$E$10+1,1))-AVERAGE(OFFSET($H$3,0,0,'Données projet'!$E$10+1,1))</f>
        <v>240.30073883588199</v>
      </c>
      <c r="AO145" s="59">
        <f t="shared" si="144"/>
        <v>263.20351282678843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0.75665210751192047</v>
      </c>
      <c r="AV145" s="21">
        <f>EXP(-LN(2)/25)*AV144+(1-EXP(-LN(2)/25))/(LN(2)/25)*Calculateur!AQ145*Calculateur!AS145*VLOOKUP('Données projet'!$B$10,Paramètres!$A$1:$I$89,3,0)*0.475*44/12</f>
        <v>0.93152907588729905</v>
      </c>
      <c r="AW145" s="21">
        <f>EXP(-LN(2)/2)*AW144+(1-EXP(-LN(2)/2))/(LN(2)/2)*AQ145*AT145*VLOOKUP('Données projet'!$B$10,Paramètres!$A$1:$I$89,3,0)*0.475*44/12</f>
        <v>2.8020385322728858E-16</v>
      </c>
      <c r="AX145" s="21">
        <f t="shared" si="114"/>
        <v>1.6881811833992197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252.98248842635206</v>
      </c>
      <c r="BJ145" s="59">
        <f t="shared" si="146"/>
        <v>207.11938580878308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4.5474735088646412E-13</v>
      </c>
      <c r="BZ145" s="13">
        <f>BY145*VLOOKUP('Données projet'!$B$12,Paramètres!$A$1:$I$89,3,0)*VLOOKUP('Données projet'!$B$12,Paramètres!$A$1:$I$89,5,0)</f>
        <v>2.5420376914553347E-13</v>
      </c>
      <c r="CA145" s="13">
        <f t="shared" si="147"/>
        <v>3.4258699088369875E-12</v>
      </c>
      <c r="CB145" s="20">
        <f t="shared" si="118"/>
        <v>6.4094616558195571E-12</v>
      </c>
      <c r="CC145" s="59">
        <f t="shared" si="119"/>
        <v>293.33333333333974</v>
      </c>
      <c r="CD145" s="59">
        <f ca="1">AVERAGE(OFFSET($CC$3,0,0,'Données projet'!$E$12+1,1))-AVERAGE(OFFSET($H$3,0,0,'Données projet'!$E$12+1,1))</f>
        <v>401.06118089678654</v>
      </c>
      <c r="CE145" s="59">
        <f t="shared" si="148"/>
        <v>399.58193819355591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1.1184263964160579</v>
      </c>
      <c r="CL145" s="21">
        <f>EXP(-LN(2)/25)*CL144+(1-EXP(-LN(2)/25))/(LN(2)/25)*Calculateur!CG145*Calculateur!CI145*VLOOKUP('Données projet'!$B$12,Paramètres!$A$1:$I$89,3,0)*0.475*44/12</f>
        <v>1.4969443599786121</v>
      </c>
      <c r="CM145" s="21">
        <f>EXP(-LN(2)/2)*CM144+(1-EXP(-LN(2)/2))/(LN(2)/2)*CG145*CJ145*VLOOKUP('Données projet'!$B$12,Paramètres!$A$1:$I$89,3,0)*0.475*44/12</f>
        <v>4.5421672730504428E-16</v>
      </c>
      <c r="CN145" s="22">
        <f t="shared" si="120"/>
        <v>2.6153707563946704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285.77483300338548</v>
      </c>
      <c r="CZ145" s="59">
        <f t="shared" si="150"/>
        <v>320.55212417690637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0.90798252901430498</v>
      </c>
      <c r="DG145" s="21">
        <f>EXP(-LN(2)/25)*DG144+(1-EXP(-LN(2)/25))/(LN(2)/25)*Calculateur!DB145*Calculateur!DD145*VLOOKUP('Données projet'!$B$13,Paramètres!$A$1:$I$89,3,0)*0.475*44/12</f>
        <v>1.2488794707518682</v>
      </c>
      <c r="DH145" s="21">
        <f>EXP(-LN(2)/2)*DH144+(1-EXP(-LN(2)/2))/(LN(2)/2)*DB145*DE145*VLOOKUP('Données projet'!$B$13,Paramètres!$A$1:$I$89,3,0)*0.475*44/12</f>
        <v>3.3863455285598587E-16</v>
      </c>
      <c r="DI145" s="22">
        <f t="shared" si="123"/>
        <v>2.1568619997661735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-3.177547114319168E-13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356.67698551373468</v>
      </c>
      <c r="T146" s="59">
        <f t="shared" si="142"/>
        <v>353.21836615408171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0.48733099420225889</v>
      </c>
      <c r="AA146" s="21">
        <f>EXP(-LN(2)/25)*AA145+(1-EXP(-LN(2)/25))/(LN(2)/25)*Calculateur!V146*Calculateur!X146*VLOOKUP('Données projet'!$B$9,Paramètres!$A$1:$I$89,3,0)*0.475*44/12</f>
        <v>1.315110265395582</v>
      </c>
      <c r="AB146" s="21">
        <f>EXP(-LN(2)/2)*AB145+(1-EXP(-LN(2)/2))/(LN(2)/2)*V146*Y146*VLOOKUP('Données projet'!$B$9,Paramètres!$A$1:$I$89,3,0)*0.475*44/12</f>
        <v>3.1914178556917297E-16</v>
      </c>
      <c r="AC146" s="22">
        <f t="shared" si="111"/>
        <v>1.8024412595978412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3.9017322706058616E-13</v>
      </c>
      <c r="AK146" s="13">
        <f t="shared" si="143"/>
        <v>5.0025007393608908E-12</v>
      </c>
      <c r="AL146" s="20">
        <f t="shared" si="112"/>
        <v>9.3922404915174053E-12</v>
      </c>
      <c r="AM146" s="59">
        <f t="shared" si="113"/>
        <v>293.33333333334269</v>
      </c>
      <c r="AN146" s="59">
        <f ca="1">AVERAGE(OFFSET($AM$3,0,0,'Données projet'!$E$10+1,1))-AVERAGE(OFFSET($H$3,0,0,'Données projet'!$E$10+1,1))</f>
        <v>240.30073883588199</v>
      </c>
      <c r="AO146" s="59">
        <f t="shared" si="144"/>
        <v>263.20351282678843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0.74181462119582675</v>
      </c>
      <c r="AV146" s="21">
        <f>EXP(-LN(2)/25)*AV145+(1-EXP(-LN(2)/25))/(LN(2)/25)*Calculateur!AQ146*Calculateur!AS146*VLOOKUP('Données projet'!$B$10,Paramètres!$A$1:$I$89,3,0)*0.475*44/12</f>
        <v>0.90605636432017578</v>
      </c>
      <c r="AW146" s="21">
        <f>EXP(-LN(2)/2)*AW145+(1-EXP(-LN(2)/2))/(LN(2)/2)*AQ146*AT146*VLOOKUP('Données projet'!$B$10,Paramètres!$A$1:$I$89,3,0)*0.475*44/12</f>
        <v>1.9813404473161583E-16</v>
      </c>
      <c r="AX146" s="21">
        <f t="shared" si="114"/>
        <v>1.6478709855160028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252.98248842635206</v>
      </c>
      <c r="BJ146" s="59">
        <f t="shared" si="146"/>
        <v>207.11938580878308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4.5474735088646412E-13</v>
      </c>
      <c r="BZ146" s="13">
        <f>BY146*VLOOKUP('Données projet'!$B$12,Paramètres!$A$1:$I$89,3,0)*VLOOKUP('Données projet'!$B$12,Paramètres!$A$1:$I$89,5,0)</f>
        <v>2.5420376914553347E-13</v>
      </c>
      <c r="CA146" s="13">
        <f t="shared" si="147"/>
        <v>3.4258699088369875E-12</v>
      </c>
      <c r="CB146" s="20">
        <f t="shared" si="118"/>
        <v>6.4094616558195571E-12</v>
      </c>
      <c r="CC146" s="59">
        <f t="shared" si="119"/>
        <v>293.33333333333974</v>
      </c>
      <c r="CD146" s="59">
        <f ca="1">AVERAGE(OFFSET($CC$3,0,0,'Données projet'!$E$12+1,1))-AVERAGE(OFFSET($H$3,0,0,'Données projet'!$E$12+1,1))</f>
        <v>401.06118089678654</v>
      </c>
      <c r="CE146" s="59">
        <f t="shared" si="148"/>
        <v>399.58193819355591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1.0964947369550819</v>
      </c>
      <c r="CL146" s="21">
        <f>EXP(-LN(2)/25)*CL145+(1-EXP(-LN(2)/25))/(LN(2)/25)*Calculateur!CG146*Calculateur!CI146*VLOOKUP('Données projet'!$B$12,Paramètres!$A$1:$I$89,3,0)*0.475*44/12</f>
        <v>1.4560103377341143</v>
      </c>
      <c r="CM146" s="21">
        <f>EXP(-LN(2)/2)*CM145+(1-EXP(-LN(2)/2))/(LN(2)/2)*CG146*CJ146*VLOOKUP('Données projet'!$B$12,Paramètres!$A$1:$I$89,3,0)*0.475*44/12</f>
        <v>3.2117972800575768E-16</v>
      </c>
      <c r="CN146" s="22">
        <f t="shared" si="120"/>
        <v>2.5525050746891966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285.77483300338548</v>
      </c>
      <c r="CZ146" s="59">
        <f t="shared" si="150"/>
        <v>320.55212417690637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0.8901775454349925</v>
      </c>
      <c r="DG146" s="21">
        <f>EXP(-LN(2)/25)*DG145+(1-EXP(-LN(2)/25))/(LN(2)/25)*Calculateur!DB146*Calculateur!DD146*VLOOKUP('Données projet'!$B$13,Paramètres!$A$1:$I$89,3,0)*0.475*44/12</f>
        <v>1.2147287959484414</v>
      </c>
      <c r="DH146" s="21">
        <f>EXP(-LN(2)/2)*DH145+(1-EXP(-LN(2)/2))/(LN(2)/2)*DB146*DE146*VLOOKUP('Données projet'!$B$13,Paramètres!$A$1:$I$89,3,0)*0.475*44/12</f>
        <v>2.3945078866854196E-16</v>
      </c>
      <c r="DI146" s="22">
        <f t="shared" si="123"/>
        <v>2.1049063413834346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-3.177547114319168E-13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356.67698551373468</v>
      </c>
      <c r="T147" s="59">
        <f t="shared" si="142"/>
        <v>353.21836615408171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0.47777473064850878</v>
      </c>
      <c r="AA147" s="21">
        <f>EXP(-LN(2)/25)*AA146+(1-EXP(-LN(2)/25))/(LN(2)/25)*Calculateur!V147*Calculateur!X147*VLOOKUP('Données projet'!$B$9,Paramètres!$A$1:$I$89,3,0)*0.475*44/12</f>
        <v>1.2791485060296965</v>
      </c>
      <c r="AB147" s="21">
        <f>EXP(-LN(2)/2)*AB146+(1-EXP(-LN(2)/2))/(LN(2)/2)*V147*Y147*VLOOKUP('Données projet'!$B$9,Paramètres!$A$1:$I$89,3,0)*0.475*44/12</f>
        <v>2.2566732073594527E-16</v>
      </c>
      <c r="AC147" s="22">
        <f t="shared" si="111"/>
        <v>1.7569232366782055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3.9017322706058616E-13</v>
      </c>
      <c r="AK147" s="13">
        <f t="shared" si="143"/>
        <v>5.0025007393608908E-12</v>
      </c>
      <c r="AL147" s="20">
        <f t="shared" si="112"/>
        <v>9.3922404915174053E-12</v>
      </c>
      <c r="AM147" s="59">
        <f t="shared" si="113"/>
        <v>293.33333333334269</v>
      </c>
      <c r="AN147" s="59">
        <f ca="1">AVERAGE(OFFSET($AM$3,0,0,'Données projet'!$E$10+1,1))-AVERAGE(OFFSET($H$3,0,0,'Données projet'!$E$10+1,1))</f>
        <v>240.30073883588199</v>
      </c>
      <c r="AO147" s="59">
        <f t="shared" si="144"/>
        <v>263.20351282678843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0.72726808893641859</v>
      </c>
      <c r="AV147" s="21">
        <f>EXP(-LN(2)/25)*AV146+(1-EXP(-LN(2)/25))/(LN(2)/25)*Calculateur!AQ147*Calculateur!AS147*VLOOKUP('Données projet'!$B$10,Paramètres!$A$1:$I$89,3,0)*0.475*44/12</f>
        <v>0.88128020539040719</v>
      </c>
      <c r="AW147" s="21">
        <f>EXP(-LN(2)/2)*AW146+(1-EXP(-LN(2)/2))/(LN(2)/2)*AQ147*AT147*VLOOKUP('Données projet'!$B$10,Paramètres!$A$1:$I$89,3,0)*0.475*44/12</f>
        <v>1.4010192661364429E-16</v>
      </c>
      <c r="AX147" s="21">
        <f t="shared" si="114"/>
        <v>1.6085482943268261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252.98248842635206</v>
      </c>
      <c r="BJ147" s="59">
        <f t="shared" si="146"/>
        <v>207.11938580878308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4.5474735088646412E-13</v>
      </c>
      <c r="BZ147" s="13">
        <f>BY147*VLOOKUP('Données projet'!$B$12,Paramètres!$A$1:$I$89,3,0)*VLOOKUP('Données projet'!$B$12,Paramètres!$A$1:$I$89,5,0)</f>
        <v>2.5420376914553347E-13</v>
      </c>
      <c r="CA147" s="13">
        <f t="shared" si="147"/>
        <v>3.4258699088369875E-12</v>
      </c>
      <c r="CB147" s="20">
        <f t="shared" si="118"/>
        <v>6.4094616558195571E-12</v>
      </c>
      <c r="CC147" s="59">
        <f t="shared" si="119"/>
        <v>293.33333333333974</v>
      </c>
      <c r="CD147" s="59">
        <f ca="1">AVERAGE(OFFSET($CC$3,0,0,'Données projet'!$E$12+1,1))-AVERAGE(OFFSET($H$3,0,0,'Données projet'!$E$12+1,1))</f>
        <v>401.06118089678654</v>
      </c>
      <c r="CE147" s="59">
        <f t="shared" si="148"/>
        <v>399.58193819355591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1.0749931439591442</v>
      </c>
      <c r="CL147" s="21">
        <f>EXP(-LN(2)/25)*CL146+(1-EXP(-LN(2)/25))/(LN(2)/25)*Calculateur!CG147*Calculateur!CI147*VLOOKUP('Données projet'!$B$12,Paramètres!$A$1:$I$89,3,0)*0.475*44/12</f>
        <v>1.4161956584805191</v>
      </c>
      <c r="CM147" s="21">
        <f>EXP(-LN(2)/2)*CM146+(1-EXP(-LN(2)/2))/(LN(2)/2)*CG147*CJ147*VLOOKUP('Données projet'!$B$12,Paramètres!$A$1:$I$89,3,0)*0.475*44/12</f>
        <v>2.2710836365252214E-16</v>
      </c>
      <c r="CN147" s="22">
        <f t="shared" si="120"/>
        <v>2.4911888024396638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285.77483300338548</v>
      </c>
      <c r="CZ147" s="59">
        <f t="shared" si="150"/>
        <v>320.55212417690637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0.87272170672370264</v>
      </c>
      <c r="DG147" s="21">
        <f>EXP(-LN(2)/25)*DG146+(1-EXP(-LN(2)/25))/(LN(2)/25)*Calculateur!DB147*Calculateur!DD147*VLOOKUP('Données projet'!$B$13,Paramètres!$A$1:$I$89,3,0)*0.475*44/12</f>
        <v>1.1815119731434203</v>
      </c>
      <c r="DH147" s="21">
        <f>EXP(-LN(2)/2)*DH146+(1-EXP(-LN(2)/2))/(LN(2)/2)*DB147*DE147*VLOOKUP('Données projet'!$B$13,Paramètres!$A$1:$I$89,3,0)*0.475*44/12</f>
        <v>1.6931727642799293E-16</v>
      </c>
      <c r="DI147" s="22">
        <f t="shared" si="123"/>
        <v>2.054233679867123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-3.177547114319168E-13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356.67698551373468</v>
      </c>
      <c r="T148" s="59">
        <f t="shared" si="142"/>
        <v>353.21836615408171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0.46840585959430248</v>
      </c>
      <c r="AA148" s="21">
        <f>EXP(-LN(2)/25)*AA147+(1-EXP(-LN(2)/25))/(LN(2)/25)*Calculateur!V148*Calculateur!X148*VLOOKUP('Données projet'!$B$9,Paramètres!$A$1:$I$89,3,0)*0.475*44/12</f>
        <v>1.2441701228648181</v>
      </c>
      <c r="AB148" s="21">
        <f>EXP(-LN(2)/2)*AB147+(1-EXP(-LN(2)/2))/(LN(2)/2)*V148*Y148*VLOOKUP('Données projet'!$B$9,Paramètres!$A$1:$I$89,3,0)*0.475*44/12</f>
        <v>1.5957089278458649E-16</v>
      </c>
      <c r="AC148" s="22">
        <f t="shared" si="111"/>
        <v>1.7125759824591207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3.9017322706058616E-13</v>
      </c>
      <c r="AK148" s="13">
        <f t="shared" si="143"/>
        <v>5.0025007393608908E-12</v>
      </c>
      <c r="AL148" s="20">
        <f t="shared" si="112"/>
        <v>9.3922404915174053E-12</v>
      </c>
      <c r="AM148" s="59">
        <f t="shared" si="113"/>
        <v>293.33333333334269</v>
      </c>
      <c r="AN148" s="59">
        <f ca="1">AVERAGE(OFFSET($AM$3,0,0,'Données projet'!$E$10+1,1))-AVERAGE(OFFSET($H$3,0,0,'Données projet'!$E$10+1,1))</f>
        <v>240.30073883588199</v>
      </c>
      <c r="AO148" s="59">
        <f t="shared" si="144"/>
        <v>263.20351282678843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0.7130068053021088</v>
      </c>
      <c r="AV148" s="21">
        <f>EXP(-LN(2)/25)*AV147+(1-EXP(-LN(2)/25))/(LN(2)/25)*Calculateur!AQ148*Calculateur!AS148*VLOOKUP('Données projet'!$B$10,Paramètres!$A$1:$I$89,3,0)*0.475*44/12</f>
        <v>0.85718155182949474</v>
      </c>
      <c r="AW148" s="21">
        <f>EXP(-LN(2)/2)*AW147+(1-EXP(-LN(2)/2))/(LN(2)/2)*AQ148*AT148*VLOOKUP('Données projet'!$B$10,Paramètres!$A$1:$I$89,3,0)*0.475*44/12</f>
        <v>9.9067022365807913E-17</v>
      </c>
      <c r="AX148" s="21">
        <f t="shared" si="114"/>
        <v>1.5701883571316035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252.98248842635206</v>
      </c>
      <c r="BJ148" s="59">
        <f t="shared" si="146"/>
        <v>207.11938580878308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4.5474735088646412E-13</v>
      </c>
      <c r="BZ148" s="13">
        <f>BY148*VLOOKUP('Données projet'!$B$12,Paramètres!$A$1:$I$89,3,0)*VLOOKUP('Données projet'!$B$12,Paramètres!$A$1:$I$89,5,0)</f>
        <v>2.5420376914553347E-13</v>
      </c>
      <c r="CA148" s="13">
        <f t="shared" si="147"/>
        <v>3.4258699088369875E-12</v>
      </c>
      <c r="CB148" s="20">
        <f t="shared" si="118"/>
        <v>6.4094616558195571E-12</v>
      </c>
      <c r="CC148" s="59">
        <f t="shared" si="119"/>
        <v>293.33333333333974</v>
      </c>
      <c r="CD148" s="59">
        <f ca="1">AVERAGE(OFFSET($CC$3,0,0,'Données projet'!$E$12+1,1))-AVERAGE(OFFSET($H$3,0,0,'Données projet'!$E$12+1,1))</f>
        <v>401.06118089678654</v>
      </c>
      <c r="CE148" s="59">
        <f t="shared" si="148"/>
        <v>399.58193819355591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1.05391318408718</v>
      </c>
      <c r="CL148" s="21">
        <f>EXP(-LN(2)/25)*CL147+(1-EXP(-LN(2)/25))/(LN(2)/25)*Calculateur!CG148*Calculateur!CI148*VLOOKUP('Données projet'!$B$12,Paramètres!$A$1:$I$89,3,0)*0.475*44/12</f>
        <v>1.3774697137248764</v>
      </c>
      <c r="CM148" s="21">
        <f>EXP(-LN(2)/2)*CM147+(1-EXP(-LN(2)/2))/(LN(2)/2)*CG148*CJ148*VLOOKUP('Données projet'!$B$12,Paramètres!$A$1:$I$89,3,0)*0.475*44/12</f>
        <v>1.6058986400287884E-16</v>
      </c>
      <c r="CN148" s="22">
        <f t="shared" si="120"/>
        <v>2.4313828978120564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285.77483300338548</v>
      </c>
      <c r="CZ148" s="59">
        <f t="shared" si="150"/>
        <v>320.55212417690637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0.8556081663625309</v>
      </c>
      <c r="DG148" s="21">
        <f>EXP(-LN(2)/25)*DG147+(1-EXP(-LN(2)/25))/(LN(2)/25)*Calculateur!DB148*Calculateur!DD148*VLOOKUP('Données projet'!$B$13,Paramètres!$A$1:$I$89,3,0)*0.475*44/12</f>
        <v>1.1492034661047992</v>
      </c>
      <c r="DH148" s="21">
        <f>EXP(-LN(2)/2)*DH147+(1-EXP(-LN(2)/2))/(LN(2)/2)*DB148*DE148*VLOOKUP('Données projet'!$B$13,Paramètres!$A$1:$I$89,3,0)*0.475*44/12</f>
        <v>1.1972539433427098E-16</v>
      </c>
      <c r="DI148" s="22">
        <f t="shared" si="123"/>
        <v>2.0048116324673302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-3.177547114319168E-13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356.67698551373468</v>
      </c>
      <c r="T149" s="59">
        <f t="shared" si="142"/>
        <v>353.21836615408171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0.45922070638702212</v>
      </c>
      <c r="AA149" s="21">
        <f>EXP(-LN(2)/25)*AA148+(1-EXP(-LN(2)/25))/(LN(2)/25)*Calculateur!V149*Calculateur!X149*VLOOKUP('Données projet'!$B$9,Paramètres!$A$1:$I$89,3,0)*0.475*44/12</f>
        <v>1.2101482254270164</v>
      </c>
      <c r="AB149" s="21">
        <f>EXP(-LN(2)/2)*AB148+(1-EXP(-LN(2)/2))/(LN(2)/2)*V149*Y149*VLOOKUP('Données projet'!$B$9,Paramètres!$A$1:$I$89,3,0)*0.475*44/12</f>
        <v>1.1283366036797263E-16</v>
      </c>
      <c r="AC149" s="22">
        <f t="shared" si="111"/>
        <v>1.6693689318140388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3.9017322706058616E-13</v>
      </c>
      <c r="AK149" s="13">
        <f t="shared" si="143"/>
        <v>5.0025007393608908E-12</v>
      </c>
      <c r="AL149" s="20">
        <f t="shared" si="112"/>
        <v>9.3922404915174053E-12</v>
      </c>
      <c r="AM149" s="59">
        <f t="shared" si="113"/>
        <v>293.33333333334269</v>
      </c>
      <c r="AN149" s="59">
        <f ca="1">AVERAGE(OFFSET($AM$3,0,0,'Données projet'!$E$10+1,1))-AVERAGE(OFFSET($H$3,0,0,'Données projet'!$E$10+1,1))</f>
        <v>240.30073883588199</v>
      </c>
      <c r="AO149" s="59">
        <f t="shared" si="144"/>
        <v>263.20351282678843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0.69902517674134379</v>
      </c>
      <c r="AV149" s="21">
        <f>EXP(-LN(2)/25)*AV148+(1-EXP(-LN(2)/25))/(LN(2)/25)*Calculateur!AQ149*Calculateur!AS149*VLOOKUP('Données projet'!$B$10,Paramètres!$A$1:$I$89,3,0)*0.475*44/12</f>
        <v>0.83374187721749848</v>
      </c>
      <c r="AW149" s="21">
        <f>EXP(-LN(2)/2)*AW148+(1-EXP(-LN(2)/2))/(LN(2)/2)*AQ149*AT149*VLOOKUP('Données projet'!$B$10,Paramètres!$A$1:$I$89,3,0)*0.475*44/12</f>
        <v>7.0050963306822145E-17</v>
      </c>
      <c r="AX149" s="21">
        <f t="shared" si="114"/>
        <v>1.5327670539588423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252.98248842635206</v>
      </c>
      <c r="BJ149" s="59">
        <f t="shared" si="146"/>
        <v>207.11938580878308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4.5474735088646412E-13</v>
      </c>
      <c r="BZ149" s="13">
        <f>BY149*VLOOKUP('Données projet'!$B$12,Paramètres!$A$1:$I$89,3,0)*VLOOKUP('Données projet'!$B$12,Paramètres!$A$1:$I$89,5,0)</f>
        <v>2.5420376914553347E-13</v>
      </c>
      <c r="CA149" s="13">
        <f t="shared" si="147"/>
        <v>3.4258699088369875E-12</v>
      </c>
      <c r="CB149" s="20">
        <f t="shared" si="118"/>
        <v>6.4094616558195571E-12</v>
      </c>
      <c r="CC149" s="59">
        <f t="shared" si="119"/>
        <v>293.33333333333974</v>
      </c>
      <c r="CD149" s="59">
        <f ca="1">AVERAGE(OFFSET($CC$3,0,0,'Données projet'!$E$12+1,1))-AVERAGE(OFFSET($H$3,0,0,'Données projet'!$E$12+1,1))</f>
        <v>401.06118089678654</v>
      </c>
      <c r="CE149" s="59">
        <f t="shared" si="148"/>
        <v>399.58193819355591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1.0332465893707992</v>
      </c>
      <c r="CL149" s="21">
        <f>EXP(-LN(2)/25)*CL148+(1-EXP(-LN(2)/25))/(LN(2)/25)*Calculateur!CG149*Calculateur!CI149*VLOOKUP('Données projet'!$B$12,Paramètres!$A$1:$I$89,3,0)*0.475*44/12</f>
        <v>1.3398027319650856</v>
      </c>
      <c r="CM149" s="21">
        <f>EXP(-LN(2)/2)*CM148+(1-EXP(-LN(2)/2))/(LN(2)/2)*CG149*CJ149*VLOOKUP('Données projet'!$B$12,Paramètres!$A$1:$I$89,3,0)*0.475*44/12</f>
        <v>1.1355418182626107E-16</v>
      </c>
      <c r="CN149" s="22">
        <f t="shared" si="120"/>
        <v>2.373049321335885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285.77483300338548</v>
      </c>
      <c r="CZ149" s="59">
        <f t="shared" si="150"/>
        <v>320.55212417690637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0.83883021208961284</v>
      </c>
      <c r="DG149" s="21">
        <f>EXP(-LN(2)/25)*DG148+(1-EXP(-LN(2)/25))/(LN(2)/25)*Calculateur!DB149*Calculateur!DD149*VLOOKUP('Données projet'!$B$13,Paramètres!$A$1:$I$89,3,0)*0.475*44/12</f>
        <v>1.1177784368901797</v>
      </c>
      <c r="DH149" s="21">
        <f>EXP(-LN(2)/2)*DH148+(1-EXP(-LN(2)/2))/(LN(2)/2)*DB149*DE149*VLOOKUP('Données projet'!$B$13,Paramètres!$A$1:$I$89,3,0)*0.475*44/12</f>
        <v>8.4658638213996467E-17</v>
      </c>
      <c r="DI149" s="22">
        <f t="shared" si="123"/>
        <v>1.9566086489797927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-3.177547114319168E-13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356.67698551373468</v>
      </c>
      <c r="T150" s="59">
        <f t="shared" si="142"/>
        <v>353.21836615408171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0.45021566843174621</v>
      </c>
      <c r="AA150" s="21">
        <f>EXP(-LN(2)/25)*AA149+(1-EXP(-LN(2)/25))/(LN(2)/25)*Calculateur!V150*Calculateur!X150*VLOOKUP('Données projet'!$B$9,Paramètres!$A$1:$I$89,3,0)*0.475*44/12</f>
        <v>1.1770566585637854</v>
      </c>
      <c r="AB150" s="21">
        <f>EXP(-LN(2)/2)*AB149+(1-EXP(-LN(2)/2))/(LN(2)/2)*V150*Y150*VLOOKUP('Données projet'!$B$9,Paramètres!$A$1:$I$89,3,0)*0.475*44/12</f>
        <v>7.9785446392293243E-17</v>
      </c>
      <c r="AC150" s="22">
        <f t="shared" si="111"/>
        <v>1.6272723269955316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3.9017322706058616E-13</v>
      </c>
      <c r="AK150" s="13">
        <f t="shared" si="143"/>
        <v>5.0025007393608908E-12</v>
      </c>
      <c r="AL150" s="20">
        <f t="shared" si="112"/>
        <v>9.3922404915174053E-12</v>
      </c>
      <c r="AM150" s="59">
        <f t="shared" si="113"/>
        <v>293.33333333334269</v>
      </c>
      <c r="AN150" s="59">
        <f ca="1">AVERAGE(OFFSET($AM$3,0,0,'Données projet'!$E$10+1,1))-AVERAGE(OFFSET($H$3,0,0,'Données projet'!$E$10+1,1))</f>
        <v>240.30073883588199</v>
      </c>
      <c r="AO150" s="59">
        <f t="shared" si="144"/>
        <v>263.20351282678843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0.68531771938870401</v>
      </c>
      <c r="AV150" s="21">
        <f>EXP(-LN(2)/25)*AV149+(1-EXP(-LN(2)/25))/(LN(2)/25)*Calculateur!AQ150*Calculateur!AS150*VLOOKUP('Données projet'!$B$10,Paramètres!$A$1:$I$89,3,0)*0.475*44/12</f>
        <v>0.81094316174040626</v>
      </c>
      <c r="AW150" s="21">
        <f>EXP(-LN(2)/2)*AW149+(1-EXP(-LN(2)/2))/(LN(2)/2)*AQ150*AT150*VLOOKUP('Données projet'!$B$10,Paramètres!$A$1:$I$89,3,0)*0.475*44/12</f>
        <v>4.9533511182903957E-17</v>
      </c>
      <c r="AX150" s="21">
        <f t="shared" si="114"/>
        <v>1.4962608811291103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252.98248842635206</v>
      </c>
      <c r="BJ150" s="59">
        <f t="shared" si="146"/>
        <v>207.11938580878308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4.5474735088646412E-13</v>
      </c>
      <c r="BZ150" s="13">
        <f>BY150*VLOOKUP('Données projet'!$B$12,Paramètres!$A$1:$I$89,3,0)*VLOOKUP('Données projet'!$B$12,Paramètres!$A$1:$I$89,5,0)</f>
        <v>2.5420376914553347E-13</v>
      </c>
      <c r="CA150" s="13">
        <f t="shared" si="147"/>
        <v>3.4258699088369875E-12</v>
      </c>
      <c r="CB150" s="20">
        <f t="shared" si="118"/>
        <v>6.4094616558195571E-12</v>
      </c>
      <c r="CC150" s="59">
        <f t="shared" si="119"/>
        <v>293.33333333333974</v>
      </c>
      <c r="CD150" s="59">
        <f ca="1">AVERAGE(OFFSET($CC$3,0,0,'Données projet'!$E$12+1,1))-AVERAGE(OFFSET($H$3,0,0,'Données projet'!$E$12+1,1))</f>
        <v>401.06118089678654</v>
      </c>
      <c r="CE150" s="59">
        <f t="shared" si="148"/>
        <v>399.58193819355591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1.0129852539714284</v>
      </c>
      <c r="CL150" s="21">
        <f>EXP(-LN(2)/25)*CL149+(1-EXP(-LN(2)/25))/(LN(2)/25)*Calculateur!CG150*Calculateur!CI150*VLOOKUP('Données projet'!$B$12,Paramètres!$A$1:$I$89,3,0)*0.475*44/12</f>
        <v>1.3031657558023368</v>
      </c>
      <c r="CM150" s="21">
        <f>EXP(-LN(2)/2)*CM149+(1-EXP(-LN(2)/2))/(LN(2)/2)*CG150*CJ150*VLOOKUP('Données projet'!$B$12,Paramètres!$A$1:$I$89,3,0)*0.475*44/12</f>
        <v>8.0294932001439421E-17</v>
      </c>
      <c r="CN150" s="22">
        <f t="shared" si="120"/>
        <v>2.3161510097737654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285.77483300338548</v>
      </c>
      <c r="CZ150" s="59">
        <f t="shared" si="150"/>
        <v>320.55212417690637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0.82238126326644501</v>
      </c>
      <c r="DG150" s="21">
        <f>EXP(-LN(2)/25)*DG149+(1-EXP(-LN(2)/25))/(LN(2)/25)*Calculateur!DB150*Calculateur!DD150*VLOOKUP('Données projet'!$B$13,Paramètres!$A$1:$I$89,3,0)*0.475*44/12</f>
        <v>1.0872127267520044</v>
      </c>
      <c r="DH150" s="21">
        <f>EXP(-LN(2)/2)*DH149+(1-EXP(-LN(2)/2))/(LN(2)/2)*DB150*DE150*VLOOKUP('Données projet'!$B$13,Paramètres!$A$1:$I$89,3,0)*0.475*44/12</f>
        <v>5.986269716713549E-17</v>
      </c>
      <c r="DI150" s="22">
        <f t="shared" si="123"/>
        <v>1.9095939900184495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-3.177547114319168E-13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356.67698551373468</v>
      </c>
      <c r="T151" s="59">
        <f t="shared" si="142"/>
        <v>353.21836615408171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0.44138721377824247</v>
      </c>
      <c r="AA151" s="21">
        <f>EXP(-LN(2)/25)*AA150+(1-EXP(-LN(2)/25))/(LN(2)/25)*Calculateur!V151*Calculateur!X151*VLOOKUP('Données projet'!$B$9,Paramètres!$A$1:$I$89,3,0)*0.475*44/12</f>
        <v>1.1448699823366393</v>
      </c>
      <c r="AB151" s="21">
        <f>EXP(-LN(2)/2)*AB150+(1-EXP(-LN(2)/2))/(LN(2)/2)*V151*Y151*VLOOKUP('Données projet'!$B$9,Paramètres!$A$1:$I$89,3,0)*0.475*44/12</f>
        <v>5.6416830183986316E-17</v>
      </c>
      <c r="AC151" s="22">
        <f t="shared" si="111"/>
        <v>1.5862571961148817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3.9017322706058616E-13</v>
      </c>
      <c r="AK151" s="13">
        <f t="shared" si="143"/>
        <v>5.0025007393608908E-12</v>
      </c>
      <c r="AL151" s="20">
        <f t="shared" si="112"/>
        <v>9.3922404915174053E-12</v>
      </c>
      <c r="AM151" s="59">
        <f t="shared" si="113"/>
        <v>293.33333333334269</v>
      </c>
      <c r="AN151" s="59">
        <f ca="1">AVERAGE(OFFSET($AM$3,0,0,'Données projet'!$E$10+1,1))-AVERAGE(OFFSET($H$3,0,0,'Données projet'!$E$10+1,1))</f>
        <v>240.30073883588199</v>
      </c>
      <c r="AO151" s="59">
        <f t="shared" si="144"/>
        <v>263.20351282678843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0.67187905691402605</v>
      </c>
      <c r="AV151" s="21">
        <f>EXP(-LN(2)/25)*AV150+(1-EXP(-LN(2)/25))/(LN(2)/25)*Calculateur!AQ151*Calculateur!AS151*VLOOKUP('Données projet'!$B$10,Paramètres!$A$1:$I$89,3,0)*0.475*44/12</f>
        <v>0.78876787833696738</v>
      </c>
      <c r="AW151" s="21">
        <f>EXP(-LN(2)/2)*AW150+(1-EXP(-LN(2)/2))/(LN(2)/2)*AQ151*AT151*VLOOKUP('Données projet'!$B$10,Paramètres!$A$1:$I$89,3,0)*0.475*44/12</f>
        <v>3.5025481653411072E-17</v>
      </c>
      <c r="AX151" s="21">
        <f t="shared" si="114"/>
        <v>1.4606469352509934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252.98248842635206</v>
      </c>
      <c r="BJ151" s="59">
        <f t="shared" si="146"/>
        <v>207.11938580878308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4.5474735088646412E-13</v>
      </c>
      <c r="BZ151" s="13">
        <f>BY151*VLOOKUP('Données projet'!$B$12,Paramètres!$A$1:$I$89,3,0)*VLOOKUP('Données projet'!$B$12,Paramètres!$A$1:$I$89,5,0)</f>
        <v>2.5420376914553347E-13</v>
      </c>
      <c r="CA151" s="13">
        <f t="shared" si="147"/>
        <v>3.4258699088369875E-12</v>
      </c>
      <c r="CB151" s="20">
        <f t="shared" si="118"/>
        <v>6.4094616558195571E-12</v>
      </c>
      <c r="CC151" s="59">
        <f t="shared" si="119"/>
        <v>293.33333333333974</v>
      </c>
      <c r="CD151" s="59">
        <f ca="1">AVERAGE(OFFSET($CC$3,0,0,'Données projet'!$E$12+1,1))-AVERAGE(OFFSET($H$3,0,0,'Données projet'!$E$12+1,1))</f>
        <v>401.06118089678654</v>
      </c>
      <c r="CE151" s="59">
        <f t="shared" si="148"/>
        <v>399.58193819355591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0.99312123100104499</v>
      </c>
      <c r="CL151" s="21">
        <f>EXP(-LN(2)/25)*CL150+(1-EXP(-LN(2)/25))/(LN(2)/25)*Calculateur!CG151*Calculateur!CI151*VLOOKUP('Données projet'!$B$12,Paramètres!$A$1:$I$89,3,0)*0.475*44/12</f>
        <v>1.2675306196794132</v>
      </c>
      <c r="CM151" s="21">
        <f>EXP(-LN(2)/2)*CM150+(1-EXP(-LN(2)/2))/(LN(2)/2)*CG151*CJ151*VLOOKUP('Données projet'!$B$12,Paramètres!$A$1:$I$89,3,0)*0.475*44/12</f>
        <v>5.6777090913130535E-17</v>
      </c>
      <c r="CN151" s="22">
        <f t="shared" si="120"/>
        <v>2.2606518506804583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285.77483300338548</v>
      </c>
      <c r="CZ151" s="59">
        <f t="shared" si="150"/>
        <v>320.55212417690637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0.80625486829683146</v>
      </c>
      <c r="DG151" s="21">
        <f>EXP(-LN(2)/25)*DG150+(1-EXP(-LN(2)/25))/(LN(2)/25)*Calculateur!DB151*Calculateur!DD151*VLOOKUP('Données projet'!$B$13,Paramètres!$A$1:$I$89,3,0)*0.475*44/12</f>
        <v>1.0574828375649383</v>
      </c>
      <c r="DH151" s="21">
        <f>EXP(-LN(2)/2)*DH150+(1-EXP(-LN(2)/2))/(LN(2)/2)*DB151*DE151*VLOOKUP('Données projet'!$B$13,Paramètres!$A$1:$I$89,3,0)*0.475*44/12</f>
        <v>4.2329319106998234E-17</v>
      </c>
      <c r="DI151" s="22">
        <f t="shared" si="123"/>
        <v>1.8637377058617699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-3.177547114319168E-13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356.67698551373468</v>
      </c>
      <c r="T152" s="59">
        <f t="shared" si="142"/>
        <v>353.21836615408171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0.43273187973566829</v>
      </c>
      <c r="AA152" s="21">
        <f>EXP(-LN(2)/25)*AA151+(1-EXP(-LN(2)/25))/(LN(2)/25)*Calculateur!V152*Calculateur!X152*VLOOKUP('Données projet'!$B$9,Paramètres!$A$1:$I$89,3,0)*0.475*44/12</f>
        <v>1.113563452463548</v>
      </c>
      <c r="AB152" s="21">
        <f>EXP(-LN(2)/2)*AB151+(1-EXP(-LN(2)/2))/(LN(2)/2)*V152*Y152*VLOOKUP('Données projet'!$B$9,Paramètres!$A$1:$I$89,3,0)*0.475*44/12</f>
        <v>3.9892723196146622E-17</v>
      </c>
      <c r="AC152" s="22">
        <f t="shared" si="111"/>
        <v>1.5462953321992163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3.9017322706058616E-13</v>
      </c>
      <c r="AK152" s="13">
        <f t="shared" si="143"/>
        <v>5.0025007393608908E-12</v>
      </c>
      <c r="AL152" s="20">
        <f t="shared" si="112"/>
        <v>9.3922404915174053E-12</v>
      </c>
      <c r="AM152" s="59">
        <f t="shared" si="113"/>
        <v>293.33333333334269</v>
      </c>
      <c r="AN152" s="59">
        <f ca="1">AVERAGE(OFFSET($AM$3,0,0,'Données projet'!$E$10+1,1))-AVERAGE(OFFSET($H$3,0,0,'Données projet'!$E$10+1,1))</f>
        <v>240.30073883588199</v>
      </c>
      <c r="AO152" s="59">
        <f t="shared" si="144"/>
        <v>263.20351282678843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0.65870391841370179</v>
      </c>
      <c r="AV152" s="21">
        <f>EXP(-LN(2)/25)*AV151+(1-EXP(-LN(2)/25))/(LN(2)/25)*Calculateur!AQ152*Calculateur!AS152*VLOOKUP('Données projet'!$B$10,Paramètres!$A$1:$I$89,3,0)*0.475*44/12</f>
        <v>0.76719897922434299</v>
      </c>
      <c r="AW152" s="21">
        <f>EXP(-LN(2)/2)*AW151+(1-EXP(-LN(2)/2))/(LN(2)/2)*AQ152*AT152*VLOOKUP('Données projet'!$B$10,Paramètres!$A$1:$I$89,3,0)*0.475*44/12</f>
        <v>2.4766755591451978E-17</v>
      </c>
      <c r="AX152" s="21">
        <f t="shared" si="114"/>
        <v>1.4259028976380448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252.98248842635206</v>
      </c>
      <c r="BJ152" s="59">
        <f t="shared" si="146"/>
        <v>207.11938580878308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4.5474735088646412E-13</v>
      </c>
      <c r="BZ152" s="13">
        <f>BY152*VLOOKUP('Données projet'!$B$12,Paramètres!$A$1:$I$89,3,0)*VLOOKUP('Données projet'!$B$12,Paramètres!$A$1:$I$89,5,0)</f>
        <v>2.5420376914553347E-13</v>
      </c>
      <c r="CA152" s="13">
        <f t="shared" si="147"/>
        <v>3.4258699088369875E-12</v>
      </c>
      <c r="CB152" s="20">
        <f t="shared" si="118"/>
        <v>6.4094616558195571E-12</v>
      </c>
      <c r="CC152" s="59">
        <f t="shared" si="119"/>
        <v>293.33333333333974</v>
      </c>
      <c r="CD152" s="59">
        <f ca="1">AVERAGE(OFFSET($CC$3,0,0,'Données projet'!$E$12+1,1))-AVERAGE(OFFSET($H$3,0,0,'Données projet'!$E$12+1,1))</f>
        <v>401.06118089678654</v>
      </c>
      <c r="CE152" s="59">
        <f t="shared" si="148"/>
        <v>399.58193819355591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0.9736467294052531</v>
      </c>
      <c r="CL152" s="21">
        <f>EXP(-LN(2)/25)*CL151+(1-EXP(-LN(2)/25))/(LN(2)/25)*Calculateur!CG152*Calculateur!CI152*VLOOKUP('Données projet'!$B$12,Paramètres!$A$1:$I$89,3,0)*0.475*44/12</f>
        <v>1.2328699282277413</v>
      </c>
      <c r="CM152" s="21">
        <f>EXP(-LN(2)/2)*CM151+(1-EXP(-LN(2)/2))/(LN(2)/2)*CG152*CJ152*VLOOKUP('Données projet'!$B$12,Paramètres!$A$1:$I$89,3,0)*0.475*44/12</f>
        <v>4.014746600071971E-17</v>
      </c>
      <c r="CN152" s="22">
        <f t="shared" si="120"/>
        <v>2.2065166576329944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285.77483300338548</v>
      </c>
      <c r="CZ152" s="59">
        <f t="shared" si="150"/>
        <v>320.55212417690637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0.79044470209644235</v>
      </c>
      <c r="DG152" s="21">
        <f>EXP(-LN(2)/25)*DG151+(1-EXP(-LN(2)/25))/(LN(2)/25)*Calculateur!DB152*Calculateur!DD152*VLOOKUP('Données projet'!$B$13,Paramètres!$A$1:$I$89,3,0)*0.475*44/12</f>
        <v>1.0285659137611196</v>
      </c>
      <c r="DH152" s="21">
        <f>EXP(-LN(2)/2)*DH151+(1-EXP(-LN(2)/2))/(LN(2)/2)*DB152*DE152*VLOOKUP('Données projet'!$B$13,Paramètres!$A$1:$I$89,3,0)*0.475*44/12</f>
        <v>2.9931348583567745E-17</v>
      </c>
      <c r="DI152" s="22">
        <f t="shared" si="123"/>
        <v>1.8190106158575619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-3.177547114319168E-13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356.67698551373468</v>
      </c>
      <c r="T153" s="59">
        <f t="shared" si="142"/>
        <v>353.21836615408171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0.4242462715144365</v>
      </c>
      <c r="AA153" s="21">
        <f>EXP(-LN(2)/25)*AA152+(1-EXP(-LN(2)/25))/(LN(2)/25)*Calculateur!V153*Calculateur!X153*VLOOKUP('Données projet'!$B$9,Paramètres!$A$1:$I$89,3,0)*0.475*44/12</f>
        <v>1.0831130012961754</v>
      </c>
      <c r="AB153" s="21">
        <f>EXP(-LN(2)/2)*AB152+(1-EXP(-LN(2)/2))/(LN(2)/2)*V153*Y153*VLOOKUP('Données projet'!$B$9,Paramètres!$A$1:$I$89,3,0)*0.475*44/12</f>
        <v>2.8208415091993158E-17</v>
      </c>
      <c r="AC153" s="22">
        <f t="shared" si="111"/>
        <v>1.507359272810612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3.9017322706058616E-13</v>
      </c>
      <c r="AK153" s="13">
        <f t="shared" si="143"/>
        <v>5.0025007393608908E-12</v>
      </c>
      <c r="AL153" s="20">
        <f t="shared" si="112"/>
        <v>9.3922404915174053E-12</v>
      </c>
      <c r="AM153" s="59">
        <f t="shared" si="113"/>
        <v>293.33333333334269</v>
      </c>
      <c r="AN153" s="59">
        <f ca="1">AVERAGE(OFFSET($AM$3,0,0,'Données projet'!$E$10+1,1))-AVERAGE(OFFSET($H$3,0,0,'Données projet'!$E$10+1,1))</f>
        <v>240.30073883588199</v>
      </c>
      <c r="AO153" s="59">
        <f t="shared" si="144"/>
        <v>263.20351282678843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0.64578713634332785</v>
      </c>
      <c r="AV153" s="21">
        <f>EXP(-LN(2)/25)*AV152+(1-EXP(-LN(2)/25))/(LN(2)/25)*Calculateur!AQ153*Calculateur!AS153*VLOOKUP('Données projet'!$B$10,Paramètres!$A$1:$I$89,3,0)*0.475*44/12</f>
        <v>0.74621988279221252</v>
      </c>
      <c r="AW153" s="21">
        <f>EXP(-LN(2)/2)*AW152+(1-EXP(-LN(2)/2))/(LN(2)/2)*AQ153*AT153*VLOOKUP('Données projet'!$B$10,Paramètres!$A$1:$I$89,3,0)*0.475*44/12</f>
        <v>1.7512740826705536E-17</v>
      </c>
      <c r="AX153" s="21">
        <f t="shared" si="114"/>
        <v>1.3920070191355403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252.98248842635206</v>
      </c>
      <c r="BJ153" s="59">
        <f t="shared" si="146"/>
        <v>207.11938580878308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4.5474735088646412E-13</v>
      </c>
      <c r="BZ153" s="13">
        <f>BY153*VLOOKUP('Données projet'!$B$12,Paramètres!$A$1:$I$89,3,0)*VLOOKUP('Données projet'!$B$12,Paramètres!$A$1:$I$89,5,0)</f>
        <v>2.5420376914553347E-13</v>
      </c>
      <c r="CA153" s="13">
        <f t="shared" si="147"/>
        <v>3.4258699088369875E-12</v>
      </c>
      <c r="CB153" s="20">
        <f t="shared" si="118"/>
        <v>6.4094616558195571E-12</v>
      </c>
      <c r="CC153" s="59">
        <f t="shared" si="119"/>
        <v>293.33333333333974</v>
      </c>
      <c r="CD153" s="59">
        <f ca="1">AVERAGE(OFFSET($CC$3,0,0,'Données projet'!$E$12+1,1))-AVERAGE(OFFSET($H$3,0,0,'Données projet'!$E$12+1,1))</f>
        <v>401.06118089678654</v>
      </c>
      <c r="CE153" s="59">
        <f t="shared" si="148"/>
        <v>399.58193819355591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0.95455411090748166</v>
      </c>
      <c r="CL153" s="21">
        <f>EXP(-LN(2)/25)*CL152+(1-EXP(-LN(2)/25))/(LN(2)/25)*Calculateur!CG153*Calculateur!CI153*VLOOKUP('Données projet'!$B$12,Paramètres!$A$1:$I$89,3,0)*0.475*44/12</f>
        <v>1.1991570352065419</v>
      </c>
      <c r="CM153" s="21">
        <f>EXP(-LN(2)/2)*CM152+(1-EXP(-LN(2)/2))/(LN(2)/2)*CG153*CJ153*VLOOKUP('Données projet'!$B$12,Paramètres!$A$1:$I$89,3,0)*0.475*44/12</f>
        <v>2.8388545456565267E-17</v>
      </c>
      <c r="CN153" s="22">
        <f t="shared" si="120"/>
        <v>2.1537111461140235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285.77483300338548</v>
      </c>
      <c r="CZ153" s="59">
        <f t="shared" si="150"/>
        <v>320.55212417690637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0.7749445636119936</v>
      </c>
      <c r="DG153" s="21">
        <f>EXP(-LN(2)/25)*DG152+(1-EXP(-LN(2)/25))/(LN(2)/25)*Calculateur!DB153*Calculateur!DD153*VLOOKUP('Données projet'!$B$13,Paramètres!$A$1:$I$89,3,0)*0.475*44/12</f>
        <v>1.0004397247593912</v>
      </c>
      <c r="DH153" s="21">
        <f>EXP(-LN(2)/2)*DH152+(1-EXP(-LN(2)/2))/(LN(2)/2)*DB153*DE153*VLOOKUP('Données projet'!$B$13,Paramètres!$A$1:$I$89,3,0)*0.475*44/12</f>
        <v>2.1164659553499117E-17</v>
      </c>
      <c r="DI153" s="22">
        <f t="shared" si="123"/>
        <v>1.7753842883713848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-3.177547114319168E-13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356.67698551373468</v>
      </c>
      <c r="T154" s="59">
        <f t="shared" si="142"/>
        <v>353.21836615408171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0.41592706089471315</v>
      </c>
      <c r="AA154" s="21">
        <f>EXP(-LN(2)/25)*AA153+(1-EXP(-LN(2)/25))/(LN(2)/25)*Calculateur!V154*Calculateur!X154*VLOOKUP('Données projet'!$B$9,Paramètres!$A$1:$I$89,3,0)*0.475*44/12</f>
        <v>1.0534952193172942</v>
      </c>
      <c r="AB154" s="21">
        <f>EXP(-LN(2)/2)*AB153+(1-EXP(-LN(2)/2))/(LN(2)/2)*V154*Y154*VLOOKUP('Données projet'!$B$9,Paramètres!$A$1:$I$89,3,0)*0.475*44/12</f>
        <v>1.9946361598073311E-17</v>
      </c>
      <c r="AC154" s="22">
        <f t="shared" ref="AC154:AC203" si="163">SUM(Z154:AB154)</f>
        <v>1.4694222802120074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3.9017322706058616E-13</v>
      </c>
      <c r="AK154" s="13">
        <f t="shared" ref="AK154:AK203" si="164">EXP(-1.0587+0.8836*LN(AJ154)+0.284)</f>
        <v>5.0025007393608908E-12</v>
      </c>
      <c r="AL154" s="20">
        <f t="shared" ref="AL154:AL203" si="165">(AJ154+AK154)*0.475*44/12</f>
        <v>9.3922404915174053E-12</v>
      </c>
      <c r="AM154" s="59">
        <f t="shared" si="113"/>
        <v>293.33333333334269</v>
      </c>
      <c r="AN154" s="59">
        <f ca="1">AVERAGE(OFFSET($AM$3,0,0,'Données projet'!$E$10+1,1))-AVERAGE(OFFSET($H$3,0,0,'Données projet'!$E$10+1,1))</f>
        <v>240.30073883588199</v>
      </c>
      <c r="AO154" s="59">
        <f t="shared" si="144"/>
        <v>263.20351282678843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0.63312364449089487</v>
      </c>
      <c r="AV154" s="21">
        <f>EXP(-LN(2)/25)*AV153+(1-EXP(-LN(2)/25))/(LN(2)/25)*Calculateur!AQ154*Calculateur!AS154*VLOOKUP('Données projet'!$B$10,Paramètres!$A$1:$I$89,3,0)*0.475*44/12</f>
        <v>0.72581446085526136</v>
      </c>
      <c r="AW154" s="21">
        <f>EXP(-LN(2)/2)*AW153+(1-EXP(-LN(2)/2))/(LN(2)/2)*AQ154*AT154*VLOOKUP('Données projet'!$B$10,Paramètres!$A$1:$I$89,3,0)*0.475*44/12</f>
        <v>1.2383377795725989E-17</v>
      </c>
      <c r="AX154" s="21">
        <f t="shared" ref="AX154:AX203" si="166">SUM(AU154:AW154)</f>
        <v>1.3589381053461562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252.98248842635206</v>
      </c>
      <c r="BJ154" s="59">
        <f t="shared" si="146"/>
        <v>207.11938580878308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4.5474735088646412E-13</v>
      </c>
      <c r="BZ154" s="13">
        <f>BY154*VLOOKUP('Données projet'!$B$12,Paramètres!$A$1:$I$89,3,0)*VLOOKUP('Données projet'!$B$12,Paramètres!$A$1:$I$89,5,0)</f>
        <v>2.5420376914553347E-13</v>
      </c>
      <c r="CA154" s="13">
        <f t="shared" ref="CA154:CA203" si="170">EXP(-1.0587+0.8836*LN(BZ154)+0.284)</f>
        <v>3.4258699088369875E-12</v>
      </c>
      <c r="CB154" s="20">
        <f t="shared" ref="CB154:CB203" si="171">(BZ154+CA154)*0.475*44/12</f>
        <v>6.4094616558195571E-12</v>
      </c>
      <c r="CC154" s="59">
        <f t="shared" si="119"/>
        <v>293.33333333333974</v>
      </c>
      <c r="CD154" s="59">
        <f ca="1">AVERAGE(OFFSET($CC$3,0,0,'Données projet'!$E$12+1,1))-AVERAGE(OFFSET($H$3,0,0,'Données projet'!$E$12+1,1))</f>
        <v>401.06118089678654</v>
      </c>
      <c r="CE154" s="59">
        <f t="shared" si="148"/>
        <v>399.58193819355591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0.93583588701310405</v>
      </c>
      <c r="CL154" s="21">
        <f>EXP(-LN(2)/25)*CL153+(1-EXP(-LN(2)/25))/(LN(2)/25)*Calculateur!CG154*Calculateur!CI154*VLOOKUP('Données projet'!$B$12,Paramètres!$A$1:$I$89,3,0)*0.475*44/12</f>
        <v>1.1663660230178912</v>
      </c>
      <c r="CM154" s="21">
        <f>EXP(-LN(2)/2)*CM153+(1-EXP(-LN(2)/2))/(LN(2)/2)*CG154*CJ154*VLOOKUP('Données projet'!$B$12,Paramètres!$A$1:$I$89,3,0)*0.475*44/12</f>
        <v>2.0073733000359855E-17</v>
      </c>
      <c r="CN154" s="22">
        <f t="shared" ref="CN154:CN203" si="172">SUM(CK154:CM154)</f>
        <v>2.1022019100309954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285.77483300338548</v>
      </c>
      <c r="CZ154" s="59">
        <f t="shared" si="150"/>
        <v>320.55212417690637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0.75974837338907397</v>
      </c>
      <c r="DG154" s="21">
        <f>EXP(-LN(2)/25)*DG153+(1-EXP(-LN(2)/25))/(LN(2)/25)*Calculateur!DB154*Calculateur!DD154*VLOOKUP('Données projet'!$B$13,Paramètres!$A$1:$I$89,3,0)*0.475*44/12</f>
        <v>0.97308264787500709</v>
      </c>
      <c r="DH154" s="21">
        <f>EXP(-LN(2)/2)*DH153+(1-EXP(-LN(2)/2))/(LN(2)/2)*DB154*DE154*VLOOKUP('Données projet'!$B$13,Paramètres!$A$1:$I$89,3,0)*0.475*44/12</f>
        <v>1.4965674291783872E-17</v>
      </c>
      <c r="DI154" s="22">
        <f t="shared" ref="DI154:DI203" si="175">SUM(DF154:DH154)</f>
        <v>1.7328310212640812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-3.177547114319168E-13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356.67698551373468</v>
      </c>
      <c r="T155" s="59">
        <f t="shared" si="142"/>
        <v>353.21836615408171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0.40777098492102515</v>
      </c>
      <c r="AA155" s="21">
        <f>EXP(-LN(2)/25)*AA154+(1-EXP(-LN(2)/25))/(LN(2)/25)*Calculateur!V155*Calculateur!X155*VLOOKUP('Données projet'!$B$9,Paramètres!$A$1:$I$89,3,0)*0.475*44/12</f>
        <v>1.0246873371441569</v>
      </c>
      <c r="AB155" s="21">
        <f>EXP(-LN(2)/2)*AB154+(1-EXP(-LN(2)/2))/(LN(2)/2)*V155*Y155*VLOOKUP('Données projet'!$B$9,Paramètres!$A$1:$I$89,3,0)*0.475*44/12</f>
        <v>1.4104207545996579E-17</v>
      </c>
      <c r="AC155" s="22">
        <f t="shared" si="163"/>
        <v>1.4324583220651821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3.9017322706058616E-13</v>
      </c>
      <c r="AK155" s="13">
        <f t="shared" si="164"/>
        <v>5.0025007393608908E-12</v>
      </c>
      <c r="AL155" s="20">
        <f t="shared" si="165"/>
        <v>9.3922404915174053E-12</v>
      </c>
      <c r="AM155" s="59">
        <f t="shared" si="113"/>
        <v>293.33333333334269</v>
      </c>
      <c r="AN155" s="59">
        <f ca="1">AVERAGE(OFFSET($AM$3,0,0,'Données projet'!$E$10+1,1))-AVERAGE(OFFSET($H$3,0,0,'Données projet'!$E$10+1,1))</f>
        <v>240.30073883588199</v>
      </c>
      <c r="AO155" s="59">
        <f t="shared" si="144"/>
        <v>263.20351282678843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0.62070847598972068</v>
      </c>
      <c r="AV155" s="21">
        <f>EXP(-LN(2)/25)*AV154+(1-EXP(-LN(2)/25))/(LN(2)/25)*Calculateur!AQ155*Calculateur!AS155*VLOOKUP('Données projet'!$B$10,Paramètres!$A$1:$I$89,3,0)*0.475*44/12</f>
        <v>0.70596702625425056</v>
      </c>
      <c r="AW155" s="21">
        <f>EXP(-LN(2)/2)*AW154+(1-EXP(-LN(2)/2))/(LN(2)/2)*AQ155*AT155*VLOOKUP('Données projet'!$B$10,Paramètres!$A$1:$I$89,3,0)*0.475*44/12</f>
        <v>8.7563704133527681E-18</v>
      </c>
      <c r="AX155" s="21">
        <f t="shared" si="166"/>
        <v>1.3266755022439711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252.98248842635206</v>
      </c>
      <c r="BJ155" s="59">
        <f t="shared" si="146"/>
        <v>207.11938580878308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4.5474735088646412E-13</v>
      </c>
      <c r="BZ155" s="13">
        <f>BY155*VLOOKUP('Données projet'!$B$12,Paramètres!$A$1:$I$89,3,0)*VLOOKUP('Données projet'!$B$12,Paramètres!$A$1:$I$89,5,0)</f>
        <v>2.5420376914553347E-13</v>
      </c>
      <c r="CA155" s="13">
        <f t="shared" si="170"/>
        <v>3.4258699088369875E-12</v>
      </c>
      <c r="CB155" s="20">
        <f t="shared" si="171"/>
        <v>6.4094616558195571E-12</v>
      </c>
      <c r="CC155" s="59">
        <f t="shared" si="119"/>
        <v>293.33333333333974</v>
      </c>
      <c r="CD155" s="59">
        <f ca="1">AVERAGE(OFFSET($CC$3,0,0,'Données projet'!$E$12+1,1))-AVERAGE(OFFSET($H$3,0,0,'Données projet'!$E$12+1,1))</f>
        <v>401.06118089678654</v>
      </c>
      <c r="CE155" s="59">
        <f t="shared" si="148"/>
        <v>399.58193819355591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0.91748471607230597</v>
      </c>
      <c r="CL155" s="21">
        <f>EXP(-LN(2)/25)*CL154+(1-EXP(-LN(2)/25))/(LN(2)/25)*Calculateur!CG155*Calculateur!CI155*VLOOKUP('Données projet'!$B$12,Paramètres!$A$1:$I$89,3,0)*0.475*44/12</f>
        <v>1.1344716827819434</v>
      </c>
      <c r="CM155" s="21">
        <f>EXP(-LN(2)/2)*CM154+(1-EXP(-LN(2)/2))/(LN(2)/2)*CG155*CJ155*VLOOKUP('Données projet'!$B$12,Paramètres!$A$1:$I$89,3,0)*0.475*44/12</f>
        <v>1.4194272728282634E-17</v>
      </c>
      <c r="CN155" s="22">
        <f t="shared" si="172"/>
        <v>2.0519563988542493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285.77483300338548</v>
      </c>
      <c r="CZ155" s="59">
        <f t="shared" si="150"/>
        <v>320.55212417690637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0.74485017118766494</v>
      </c>
      <c r="DG155" s="21">
        <f>EXP(-LN(2)/25)*DG154+(1-EXP(-LN(2)/25))/(LN(2)/25)*Calculateur!DB155*Calculateur!DD155*VLOOKUP('Données projet'!$B$13,Paramètres!$A$1:$I$89,3,0)*0.475*44/12</f>
        <v>0.94647365169667252</v>
      </c>
      <c r="DH155" s="21">
        <f>EXP(-LN(2)/2)*DH154+(1-EXP(-LN(2)/2))/(LN(2)/2)*DB155*DE155*VLOOKUP('Données projet'!$B$13,Paramètres!$A$1:$I$89,3,0)*0.475*44/12</f>
        <v>1.0582329776749558E-17</v>
      </c>
      <c r="DI155" s="22">
        <f t="shared" si="175"/>
        <v>1.6913238228843375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-3.177547114319168E-13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356.67698551373468</v>
      </c>
      <c r="T156" s="59">
        <f t="shared" si="142"/>
        <v>353.21836615408171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0.39977484462246599</v>
      </c>
      <c r="AA156" s="21">
        <f>EXP(-LN(2)/25)*AA155+(1-EXP(-LN(2)/25))/(LN(2)/25)*Calculateur!V156*Calculateur!X156*VLOOKUP('Données projet'!$B$9,Paramètres!$A$1:$I$89,3,0)*0.475*44/12</f>
        <v>0.9966672080239849</v>
      </c>
      <c r="AB156" s="21">
        <f>EXP(-LN(2)/2)*AB155+(1-EXP(-LN(2)/2))/(LN(2)/2)*V156*Y156*VLOOKUP('Données projet'!$B$9,Paramètres!$A$1:$I$89,3,0)*0.475*44/12</f>
        <v>9.9731807990366554E-18</v>
      </c>
      <c r="AC156" s="22">
        <f t="shared" si="163"/>
        <v>1.3964420526464509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3.9017322706058616E-13</v>
      </c>
      <c r="AK156" s="13">
        <f t="shared" si="164"/>
        <v>5.0025007393608908E-12</v>
      </c>
      <c r="AL156" s="20">
        <f t="shared" si="165"/>
        <v>9.3922404915174053E-12</v>
      </c>
      <c r="AM156" s="59">
        <f t="shared" si="113"/>
        <v>293.33333333334269</v>
      </c>
      <c r="AN156" s="59">
        <f ca="1">AVERAGE(OFFSET($AM$3,0,0,'Données projet'!$E$10+1,1))-AVERAGE(OFFSET($H$3,0,0,'Données projet'!$E$10+1,1))</f>
        <v>240.30073883588199</v>
      </c>
      <c r="AO156" s="59">
        <f t="shared" si="144"/>
        <v>263.20351282678843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0.60853676137034951</v>
      </c>
      <c r="AV156" s="21">
        <f>EXP(-LN(2)/25)*AV155+(1-EXP(-LN(2)/25))/(LN(2)/25)*Calculateur!AQ156*Calculateur!AS156*VLOOKUP('Données projet'!$B$10,Paramètres!$A$1:$I$89,3,0)*0.475*44/12</f>
        <v>0.68666232079613565</v>
      </c>
      <c r="AW156" s="21">
        <f>EXP(-LN(2)/2)*AW155+(1-EXP(-LN(2)/2))/(LN(2)/2)*AQ156*AT156*VLOOKUP('Données projet'!$B$10,Paramètres!$A$1:$I$89,3,0)*0.475*44/12</f>
        <v>6.1916888978629946E-18</v>
      </c>
      <c r="AX156" s="21">
        <f t="shared" si="166"/>
        <v>1.2951990821664852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252.98248842635206</v>
      </c>
      <c r="BJ156" s="59">
        <f t="shared" si="146"/>
        <v>207.11938580878308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4.5474735088646412E-13</v>
      </c>
      <c r="BZ156" s="13">
        <f>BY156*VLOOKUP('Données projet'!$B$12,Paramètres!$A$1:$I$89,3,0)*VLOOKUP('Données projet'!$B$12,Paramètres!$A$1:$I$89,5,0)</f>
        <v>2.5420376914553347E-13</v>
      </c>
      <c r="CA156" s="13">
        <f t="shared" si="170"/>
        <v>3.4258699088369875E-12</v>
      </c>
      <c r="CB156" s="20">
        <f t="shared" si="171"/>
        <v>6.4094616558195571E-12</v>
      </c>
      <c r="CC156" s="59">
        <f t="shared" si="119"/>
        <v>293.33333333333974</v>
      </c>
      <c r="CD156" s="59">
        <f ca="1">AVERAGE(OFFSET($CC$3,0,0,'Données projet'!$E$12+1,1))-AVERAGE(OFFSET($H$3,0,0,'Données projet'!$E$12+1,1))</f>
        <v>401.06118089678654</v>
      </c>
      <c r="CE156" s="59">
        <f t="shared" si="148"/>
        <v>399.58193819355591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0.89949340040054793</v>
      </c>
      <c r="CL156" s="21">
        <f>EXP(-LN(2)/25)*CL155+(1-EXP(-LN(2)/25))/(LN(2)/25)*Calculateur!CG156*Calculateur!CI156*VLOOKUP('Données projet'!$B$12,Paramètres!$A$1:$I$89,3,0)*0.475*44/12</f>
        <v>1.1034494949569982</v>
      </c>
      <c r="CM156" s="21">
        <f>EXP(-LN(2)/2)*CM155+(1-EXP(-LN(2)/2))/(LN(2)/2)*CG156*CJ156*VLOOKUP('Données projet'!$B$12,Paramètres!$A$1:$I$89,3,0)*0.475*44/12</f>
        <v>1.0036866500179928E-17</v>
      </c>
      <c r="CN156" s="22">
        <f t="shared" si="172"/>
        <v>2.0029428953575463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285.77483300338548</v>
      </c>
      <c r="CZ156" s="59">
        <f t="shared" si="150"/>
        <v>320.55212417690637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0.73024411364441955</v>
      </c>
      <c r="DG156" s="21">
        <f>EXP(-LN(2)/25)*DG155+(1-EXP(-LN(2)/25))/(LN(2)/25)*Calculateur!DB156*Calculateur!DD156*VLOOKUP('Données projet'!$B$13,Paramètres!$A$1:$I$89,3,0)*0.475*44/12</f>
        <v>0.92059227991814085</v>
      </c>
      <c r="DH156" s="21">
        <f>EXP(-LN(2)/2)*DH155+(1-EXP(-LN(2)/2))/(LN(2)/2)*DB156*DE156*VLOOKUP('Données projet'!$B$13,Paramètres!$A$1:$I$89,3,0)*0.475*44/12</f>
        <v>7.4828371458919362E-18</v>
      </c>
      <c r="DI156" s="22">
        <f t="shared" si="175"/>
        <v>1.6508363935625603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-3.177547114319168E-13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356.67698551373468</v>
      </c>
      <c r="T157" s="59">
        <f t="shared" si="142"/>
        <v>353.21836615408171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0.39193550375799757</v>
      </c>
      <c r="AA157" s="21">
        <f>EXP(-LN(2)/25)*AA156+(1-EXP(-LN(2)/25))/(LN(2)/25)*Calculateur!V157*Calculateur!X157*VLOOKUP('Données projet'!$B$9,Paramètres!$A$1:$I$89,3,0)*0.475*44/12</f>
        <v>0.96941329080811844</v>
      </c>
      <c r="AB157" s="21">
        <f>EXP(-LN(2)/2)*AB156+(1-EXP(-LN(2)/2))/(LN(2)/2)*V157*Y157*VLOOKUP('Données projet'!$B$9,Paramètres!$A$1:$I$89,3,0)*0.475*44/12</f>
        <v>7.0521037729982895E-18</v>
      </c>
      <c r="AC157" s="22">
        <f t="shared" si="163"/>
        <v>1.361348794566116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3.9017322706058616E-13</v>
      </c>
      <c r="AK157" s="13">
        <f t="shared" si="164"/>
        <v>5.0025007393608908E-12</v>
      </c>
      <c r="AL157" s="20">
        <f t="shared" si="165"/>
        <v>9.3922404915174053E-12</v>
      </c>
      <c r="AM157" s="59">
        <f t="shared" si="113"/>
        <v>293.33333333334269</v>
      </c>
      <c r="AN157" s="59">
        <f ca="1">AVERAGE(OFFSET($AM$3,0,0,'Données projet'!$E$10+1,1))-AVERAGE(OFFSET($H$3,0,0,'Données projet'!$E$10+1,1))</f>
        <v>240.30073883588199</v>
      </c>
      <c r="AO157" s="59">
        <f t="shared" si="144"/>
        <v>263.20351282678843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0.59660372665065131</v>
      </c>
      <c r="AV157" s="21">
        <f>EXP(-LN(2)/25)*AV156+(1-EXP(-LN(2)/25))/(LN(2)/25)*Calculateur!AQ157*Calculateur!AS157*VLOOKUP('Données projet'!$B$10,Paramètres!$A$1:$I$89,3,0)*0.475*44/12</f>
        <v>0.66788550352396325</v>
      </c>
      <c r="AW157" s="21">
        <f>EXP(-LN(2)/2)*AW156+(1-EXP(-LN(2)/2))/(LN(2)/2)*AQ157*AT157*VLOOKUP('Données projet'!$B$10,Paramètres!$A$1:$I$89,3,0)*0.475*44/12</f>
        <v>4.3781852066763841E-18</v>
      </c>
      <c r="AX157" s="21">
        <f t="shared" si="166"/>
        <v>1.2644892301746147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252.98248842635206</v>
      </c>
      <c r="BJ157" s="59">
        <f t="shared" si="146"/>
        <v>207.11938580878308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4.5474735088646412E-13</v>
      </c>
      <c r="BZ157" s="13">
        <f>BY157*VLOOKUP('Données projet'!$B$12,Paramètres!$A$1:$I$89,3,0)*VLOOKUP('Données projet'!$B$12,Paramètres!$A$1:$I$89,5,0)</f>
        <v>2.5420376914553347E-13</v>
      </c>
      <c r="CA157" s="13">
        <f t="shared" si="170"/>
        <v>3.4258699088369875E-12</v>
      </c>
      <c r="CB157" s="20">
        <f t="shared" si="171"/>
        <v>6.4094616558195571E-12</v>
      </c>
      <c r="CC157" s="59">
        <f t="shared" si="119"/>
        <v>293.33333333333974</v>
      </c>
      <c r="CD157" s="59">
        <f ca="1">AVERAGE(OFFSET($CC$3,0,0,'Données projet'!$E$12+1,1))-AVERAGE(OFFSET($H$3,0,0,'Données projet'!$E$12+1,1))</f>
        <v>401.06118089678654</v>
      </c>
      <c r="CE157" s="59">
        <f t="shared" si="148"/>
        <v>399.58193819355591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0.88185488345549401</v>
      </c>
      <c r="CL157" s="21">
        <f>EXP(-LN(2)/25)*CL156+(1-EXP(-LN(2)/25))/(LN(2)/25)*Calculateur!CG157*Calculateur!CI157*VLOOKUP('Données projet'!$B$12,Paramètres!$A$1:$I$89,3,0)*0.475*44/12</f>
        <v>1.073275610489512</v>
      </c>
      <c r="CM157" s="21">
        <f>EXP(-LN(2)/2)*CM156+(1-EXP(-LN(2)/2))/(LN(2)/2)*CG157*CJ157*VLOOKUP('Données projet'!$B$12,Paramètres!$A$1:$I$89,3,0)*0.475*44/12</f>
        <v>7.0971363641413169E-18</v>
      </c>
      <c r="CN157" s="22">
        <f t="shared" si="172"/>
        <v>1.955130493945006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285.77483300338548</v>
      </c>
      <c r="CZ157" s="59">
        <f t="shared" si="150"/>
        <v>320.55212417690637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0.71592447198078168</v>
      </c>
      <c r="DG157" s="21">
        <f>EXP(-LN(2)/25)*DG156+(1-EXP(-LN(2)/25))/(LN(2)/25)*Calculateur!DB157*Calculateur!DD157*VLOOKUP('Données projet'!$B$13,Paramètres!$A$1:$I$89,3,0)*0.475*44/12</f>
        <v>0.89541863561193535</v>
      </c>
      <c r="DH157" s="21">
        <f>EXP(-LN(2)/2)*DH156+(1-EXP(-LN(2)/2))/(LN(2)/2)*DB157*DE157*VLOOKUP('Données projet'!$B$13,Paramètres!$A$1:$I$89,3,0)*0.475*44/12</f>
        <v>5.2911648883747792E-18</v>
      </c>
      <c r="DI157" s="22">
        <f t="shared" si="175"/>
        <v>1.6113431075927171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-3.177547114319168E-13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356.67698551373468</v>
      </c>
      <c r="T158" s="59">
        <f t="shared" si="142"/>
        <v>353.21836615408171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0.38424988758635559</v>
      </c>
      <c r="AA158" s="21">
        <f>EXP(-LN(2)/25)*AA157+(1-EXP(-LN(2)/25))/(LN(2)/25)*Calculateur!V158*Calculateur!X158*VLOOKUP('Données projet'!$B$9,Paramètres!$A$1:$I$89,3,0)*0.475*44/12</f>
        <v>0.94290463339174113</v>
      </c>
      <c r="AB158" s="21">
        <f>EXP(-LN(2)/2)*AB157+(1-EXP(-LN(2)/2))/(LN(2)/2)*V158*Y158*VLOOKUP('Données projet'!$B$9,Paramètres!$A$1:$I$89,3,0)*0.475*44/12</f>
        <v>4.9865903995183277E-18</v>
      </c>
      <c r="AC158" s="22">
        <f t="shared" si="163"/>
        <v>1.3271545209780968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3.9017322706058616E-13</v>
      </c>
      <c r="AK158" s="13">
        <f t="shared" si="164"/>
        <v>5.0025007393608908E-12</v>
      </c>
      <c r="AL158" s="20">
        <f t="shared" si="165"/>
        <v>9.3922404915174053E-12</v>
      </c>
      <c r="AM158" s="59">
        <f t="shared" si="113"/>
        <v>293.33333333334269</v>
      </c>
      <c r="AN158" s="59">
        <f ca="1">AVERAGE(OFFSET($AM$3,0,0,'Données projet'!$E$10+1,1))-AVERAGE(OFFSET($H$3,0,0,'Données projet'!$E$10+1,1))</f>
        <v>240.30073883588199</v>
      </c>
      <c r="AO158" s="59">
        <f t="shared" si="144"/>
        <v>263.20351282678843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0.58490469146337387</v>
      </c>
      <c r="AV158" s="21">
        <f>EXP(-LN(2)/25)*AV157+(1-EXP(-LN(2)/25))/(LN(2)/25)*Calculateur!AQ158*Calculateur!AS158*VLOOKUP('Données projet'!$B$10,Paramètres!$A$1:$I$89,3,0)*0.475*44/12</f>
        <v>0.64962213930752832</v>
      </c>
      <c r="AW158" s="21">
        <f>EXP(-LN(2)/2)*AW157+(1-EXP(-LN(2)/2))/(LN(2)/2)*AQ158*AT158*VLOOKUP('Données projet'!$B$10,Paramètres!$A$1:$I$89,3,0)*0.475*44/12</f>
        <v>3.0958444489314973E-18</v>
      </c>
      <c r="AX158" s="21">
        <f t="shared" si="166"/>
        <v>1.2345268307709021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252.98248842635206</v>
      </c>
      <c r="BJ158" s="59">
        <f t="shared" si="146"/>
        <v>207.11938580878308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4.5474735088646412E-13</v>
      </c>
      <c r="BZ158" s="13">
        <f>BY158*VLOOKUP('Données projet'!$B$12,Paramètres!$A$1:$I$89,3,0)*VLOOKUP('Données projet'!$B$12,Paramètres!$A$1:$I$89,5,0)</f>
        <v>2.5420376914553347E-13</v>
      </c>
      <c r="CA158" s="13">
        <f t="shared" si="170"/>
        <v>3.4258699088369875E-12</v>
      </c>
      <c r="CB158" s="20">
        <f t="shared" si="171"/>
        <v>6.4094616558195571E-12</v>
      </c>
      <c r="CC158" s="59">
        <f t="shared" si="119"/>
        <v>293.33333333333974</v>
      </c>
      <c r="CD158" s="59">
        <f ca="1">AVERAGE(OFFSET($CC$3,0,0,'Données projet'!$E$12+1,1))-AVERAGE(OFFSET($H$3,0,0,'Données projet'!$E$12+1,1))</f>
        <v>401.06118089678654</v>
      </c>
      <c r="CE158" s="59">
        <f t="shared" si="148"/>
        <v>399.58193819355591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0.86456224706929963</v>
      </c>
      <c r="CL158" s="21">
        <f>EXP(-LN(2)/25)*CL157+(1-EXP(-LN(2)/25))/(LN(2)/25)*Calculateur!CG158*Calculateur!CI158*VLOOKUP('Données projet'!$B$12,Paramètres!$A$1:$I$89,3,0)*0.475*44/12</f>
        <v>1.043926832479565</v>
      </c>
      <c r="CM158" s="21">
        <f>EXP(-LN(2)/2)*CM157+(1-EXP(-LN(2)/2))/(LN(2)/2)*CG158*CJ158*VLOOKUP('Données projet'!$B$12,Paramètres!$A$1:$I$89,3,0)*0.475*44/12</f>
        <v>5.0184332500899638E-18</v>
      </c>
      <c r="CN158" s="22">
        <f t="shared" si="172"/>
        <v>1.9084890795488647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285.77483300338548</v>
      </c>
      <c r="CZ158" s="59">
        <f t="shared" si="150"/>
        <v>320.55212417690637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0.70188562975604885</v>
      </c>
      <c r="DG158" s="21">
        <f>EXP(-LN(2)/25)*DG157+(1-EXP(-LN(2)/25))/(LN(2)/25)*Calculateur!DB158*Calculateur!DD158*VLOOKUP('Données projet'!$B$13,Paramètres!$A$1:$I$89,3,0)*0.475*44/12</f>
        <v>0.87093336593310744</v>
      </c>
      <c r="DH158" s="21">
        <f>EXP(-LN(2)/2)*DH157+(1-EXP(-LN(2)/2))/(LN(2)/2)*DB158*DE158*VLOOKUP('Données projet'!$B$13,Paramètres!$A$1:$I$89,3,0)*0.475*44/12</f>
        <v>3.7414185729459681E-18</v>
      </c>
      <c r="DI158" s="22">
        <f t="shared" si="175"/>
        <v>1.5728189956891563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-3.177547114319168E-13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356.67698551373468</v>
      </c>
      <c r="T159" s="59">
        <f t="shared" si="142"/>
        <v>353.21836615408171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0.37671498166007655</v>
      </c>
      <c r="AA159" s="21">
        <f>EXP(-LN(2)/25)*AA158+(1-EXP(-LN(2)/25))/(LN(2)/25)*Calculateur!V159*Calculateur!X159*VLOOKUP('Données projet'!$B$9,Paramètres!$A$1:$I$89,3,0)*0.475*44/12</f>
        <v>0.91712085660644438</v>
      </c>
      <c r="AB159" s="21">
        <f>EXP(-LN(2)/2)*AB158+(1-EXP(-LN(2)/2))/(LN(2)/2)*V159*Y159*VLOOKUP('Données projet'!$B$9,Paramètres!$A$1:$I$89,3,0)*0.475*44/12</f>
        <v>3.5260518864991448E-18</v>
      </c>
      <c r="AC159" s="22">
        <f t="shared" si="163"/>
        <v>1.2938358382665209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3.9017322706058616E-13</v>
      </c>
      <c r="AK159" s="13">
        <f t="shared" si="164"/>
        <v>5.0025007393608908E-12</v>
      </c>
      <c r="AL159" s="20">
        <f t="shared" si="165"/>
        <v>9.3922404915174053E-12</v>
      </c>
      <c r="AM159" s="59">
        <f t="shared" si="113"/>
        <v>293.33333333334269</v>
      </c>
      <c r="AN159" s="59">
        <f ca="1">AVERAGE(OFFSET($AM$3,0,0,'Données projet'!$E$10+1,1))-AVERAGE(OFFSET($H$3,0,0,'Données projet'!$E$10+1,1))</f>
        <v>240.30073883588199</v>
      </c>
      <c r="AO159" s="59">
        <f t="shared" si="144"/>
        <v>263.20351282678843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0.57343506722041215</v>
      </c>
      <c r="AV159" s="21">
        <f>EXP(-LN(2)/25)*AV158+(1-EXP(-LN(2)/25))/(LN(2)/25)*Calculateur!AQ159*Calculateur!AS159*VLOOKUP('Données projet'!$B$10,Paramètres!$A$1:$I$89,3,0)*0.475*44/12</f>
        <v>0.63185818774602043</v>
      </c>
      <c r="AW159" s="21">
        <f>EXP(-LN(2)/2)*AW158+(1-EXP(-LN(2)/2))/(LN(2)/2)*AQ159*AT159*VLOOKUP('Données projet'!$B$10,Paramètres!$A$1:$I$89,3,0)*0.475*44/12</f>
        <v>2.189092603338192E-18</v>
      </c>
      <c r="AX159" s="21">
        <f t="shared" si="166"/>
        <v>1.2052932549664326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252.98248842635206</v>
      </c>
      <c r="BJ159" s="59">
        <f t="shared" si="146"/>
        <v>207.11938580878308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4.5474735088646412E-13</v>
      </c>
      <c r="BZ159" s="13">
        <f>BY159*VLOOKUP('Données projet'!$B$12,Paramètres!$A$1:$I$89,3,0)*VLOOKUP('Données projet'!$B$12,Paramètres!$A$1:$I$89,5,0)</f>
        <v>2.5420376914553347E-13</v>
      </c>
      <c r="CA159" s="13">
        <f t="shared" si="170"/>
        <v>3.4258699088369875E-12</v>
      </c>
      <c r="CB159" s="20">
        <f t="shared" si="171"/>
        <v>6.4094616558195571E-12</v>
      </c>
      <c r="CC159" s="59">
        <f t="shared" si="119"/>
        <v>293.33333333333974</v>
      </c>
      <c r="CD159" s="59">
        <f ca="1">AVERAGE(OFFSET($CC$3,0,0,'Données projet'!$E$12+1,1))-AVERAGE(OFFSET($H$3,0,0,'Données projet'!$E$12+1,1))</f>
        <v>401.06118089678654</v>
      </c>
      <c r="CE159" s="59">
        <f t="shared" si="148"/>
        <v>399.58193819355591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0.8476087087351718</v>
      </c>
      <c r="CL159" s="21">
        <f>EXP(-LN(2)/25)*CL158+(1-EXP(-LN(2)/25))/(LN(2)/25)*Calculateur!CG159*Calculateur!CI159*VLOOKUP('Données projet'!$B$12,Paramètres!$A$1:$I$89,3,0)*0.475*44/12</f>
        <v>1.0153805983476851</v>
      </c>
      <c r="CM159" s="21">
        <f>EXP(-LN(2)/2)*CM158+(1-EXP(-LN(2)/2))/(LN(2)/2)*CG159*CJ159*VLOOKUP('Données projet'!$B$12,Paramètres!$A$1:$I$89,3,0)*0.475*44/12</f>
        <v>3.5485681820706584E-18</v>
      </c>
      <c r="CN159" s="22">
        <f t="shared" si="172"/>
        <v>1.8629893070828569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285.77483300338548</v>
      </c>
      <c r="CZ159" s="59">
        <f t="shared" si="150"/>
        <v>320.55212417690637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0.68812208066449476</v>
      </c>
      <c r="DG159" s="21">
        <f>EXP(-LN(2)/25)*DG158+(1-EXP(-LN(2)/25))/(LN(2)/25)*Calculateur!DB159*Calculateur!DD159*VLOOKUP('Données projet'!$B$13,Paramètres!$A$1:$I$89,3,0)*0.475*44/12</f>
        <v>0.84711764724127148</v>
      </c>
      <c r="DH159" s="21">
        <f>EXP(-LN(2)/2)*DH158+(1-EXP(-LN(2)/2))/(LN(2)/2)*DB159*DE159*VLOOKUP('Données projet'!$B$13,Paramètres!$A$1:$I$89,3,0)*0.475*44/12</f>
        <v>2.6455824441873896E-18</v>
      </c>
      <c r="DI159" s="22">
        <f t="shared" si="175"/>
        <v>1.5352397279057661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-3.177547114319168E-13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356.67698551373468</v>
      </c>
      <c r="T160" s="59">
        <f t="shared" si="142"/>
        <v>353.21836615408171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0.36932783064317304</v>
      </c>
      <c r="AA160" s="21">
        <f>EXP(-LN(2)/25)*AA159+(1-EXP(-LN(2)/25))/(LN(2)/25)*Calculateur!V160*Calculateur!X160*VLOOKUP('Données projet'!$B$9,Paramètres!$A$1:$I$89,3,0)*0.475*44/12</f>
        <v>0.89204213855325143</v>
      </c>
      <c r="AB160" s="21">
        <f>EXP(-LN(2)/2)*AB159+(1-EXP(-LN(2)/2))/(LN(2)/2)*V160*Y160*VLOOKUP('Données projet'!$B$9,Paramètres!$A$1:$I$89,3,0)*0.475*44/12</f>
        <v>2.4932951997591639E-18</v>
      </c>
      <c r="AC160" s="22">
        <f t="shared" si="163"/>
        <v>1.2613699691964244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3.9017322706058616E-13</v>
      </c>
      <c r="AK160" s="13">
        <f t="shared" si="164"/>
        <v>5.0025007393608908E-12</v>
      </c>
      <c r="AL160" s="20">
        <f t="shared" si="165"/>
        <v>9.3922404915174053E-12</v>
      </c>
      <c r="AM160" s="59">
        <f t="shared" si="113"/>
        <v>293.33333333334269</v>
      </c>
      <c r="AN160" s="59">
        <f ca="1">AVERAGE(OFFSET($AM$3,0,0,'Données projet'!$E$10+1,1))-AVERAGE(OFFSET($H$3,0,0,'Données projet'!$E$10+1,1))</f>
        <v>240.30073883588199</v>
      </c>
      <c r="AO160" s="59">
        <f t="shared" si="144"/>
        <v>263.20351282678843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0.56219035531307482</v>
      </c>
      <c r="AV160" s="21">
        <f>EXP(-LN(2)/25)*AV159+(1-EXP(-LN(2)/25))/(LN(2)/25)*Calculateur!AQ160*Calculateur!AS160*VLOOKUP('Données projet'!$B$10,Paramètres!$A$1:$I$89,3,0)*0.475*44/12</f>
        <v>0.61457999237412753</v>
      </c>
      <c r="AW160" s="21">
        <f>EXP(-LN(2)/2)*AW159+(1-EXP(-LN(2)/2))/(LN(2)/2)*AQ160*AT160*VLOOKUP('Données projet'!$B$10,Paramètres!$A$1:$I$89,3,0)*0.475*44/12</f>
        <v>1.5479222244657486E-18</v>
      </c>
      <c r="AX160" s="21">
        <f t="shared" si="166"/>
        <v>1.1767703476872025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252.98248842635206</v>
      </c>
      <c r="BJ160" s="59">
        <f t="shared" si="146"/>
        <v>207.11938580878308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4.5474735088646412E-13</v>
      </c>
      <c r="BZ160" s="13">
        <f>BY160*VLOOKUP('Données projet'!$B$12,Paramètres!$A$1:$I$89,3,0)*VLOOKUP('Données projet'!$B$12,Paramètres!$A$1:$I$89,5,0)</f>
        <v>2.5420376914553347E-13</v>
      </c>
      <c r="CA160" s="13">
        <f t="shared" si="170"/>
        <v>3.4258699088369875E-12</v>
      </c>
      <c r="CB160" s="20">
        <f t="shared" si="171"/>
        <v>6.4094616558195571E-12</v>
      </c>
      <c r="CC160" s="59">
        <f t="shared" si="119"/>
        <v>293.33333333333974</v>
      </c>
      <c r="CD160" s="59">
        <f ca="1">AVERAGE(OFFSET($CC$3,0,0,'Données projet'!$E$12+1,1))-AVERAGE(OFFSET($H$3,0,0,'Données projet'!$E$12+1,1))</f>
        <v>401.06118089678654</v>
      </c>
      <c r="CE160" s="59">
        <f t="shared" si="148"/>
        <v>399.58193819355591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0.83098761894713891</v>
      </c>
      <c r="CL160" s="21">
        <f>EXP(-LN(2)/25)*CL159+(1-EXP(-LN(2)/25))/(LN(2)/25)*Calculateur!CG160*Calculateur!CI160*VLOOKUP('Données projet'!$B$12,Paramètres!$A$1:$I$89,3,0)*0.475*44/12</f>
        <v>0.98761496248932268</v>
      </c>
      <c r="CM160" s="21">
        <f>EXP(-LN(2)/2)*CM159+(1-EXP(-LN(2)/2))/(LN(2)/2)*CG160*CJ160*VLOOKUP('Données projet'!$B$12,Paramètres!$A$1:$I$89,3,0)*0.475*44/12</f>
        <v>2.5092166250449819E-18</v>
      </c>
      <c r="CN160" s="22">
        <f t="shared" si="172"/>
        <v>1.8186025814364615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285.77483300338548</v>
      </c>
      <c r="CZ160" s="59">
        <f t="shared" si="150"/>
        <v>320.55212417690637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0.67462842637568998</v>
      </c>
      <c r="DG160" s="21">
        <f>EXP(-LN(2)/25)*DG159+(1-EXP(-LN(2)/25))/(LN(2)/25)*Calculateur!DB160*Calculateur!DD160*VLOOKUP('Données projet'!$B$13,Paramètres!$A$1:$I$89,3,0)*0.475*44/12</f>
        <v>0.82395317062947793</v>
      </c>
      <c r="DH160" s="21">
        <f>EXP(-LN(2)/2)*DH159+(1-EXP(-LN(2)/2))/(LN(2)/2)*DB160*DE160*VLOOKUP('Données projet'!$B$13,Paramètres!$A$1:$I$89,3,0)*0.475*44/12</f>
        <v>1.8707092864729841E-18</v>
      </c>
      <c r="DI160" s="22">
        <f t="shared" si="175"/>
        <v>1.4985815970051679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-3.177547114319168E-13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356.67698551373468</v>
      </c>
      <c r="T161" s="59">
        <f t="shared" si="142"/>
        <v>353.21836615408171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0.36208553715199376</v>
      </c>
      <c r="AA161" s="21">
        <f>EXP(-LN(2)/25)*AA160+(1-EXP(-LN(2)/25))/(LN(2)/25)*Calculateur!V161*Calculateur!X161*VLOOKUP('Données projet'!$B$9,Paramètres!$A$1:$I$89,3,0)*0.475*44/12</f>
        <v>0.86764919936405549</v>
      </c>
      <c r="AB161" s="21">
        <f>EXP(-LN(2)/2)*AB160+(1-EXP(-LN(2)/2))/(LN(2)/2)*V161*Y161*VLOOKUP('Données projet'!$B$9,Paramètres!$A$1:$I$89,3,0)*0.475*44/12</f>
        <v>1.7630259432495724E-18</v>
      </c>
      <c r="AC161" s="22">
        <f t="shared" si="163"/>
        <v>1.2297347365160491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3.9017322706058616E-13</v>
      </c>
      <c r="AK161" s="13">
        <f t="shared" si="164"/>
        <v>5.0025007393608908E-12</v>
      </c>
      <c r="AL161" s="20">
        <f t="shared" si="165"/>
        <v>9.3922404915174053E-12</v>
      </c>
      <c r="AM161" s="59">
        <f t="shared" si="113"/>
        <v>293.33333333334269</v>
      </c>
      <c r="AN161" s="59">
        <f ca="1">AVERAGE(OFFSET($AM$3,0,0,'Données projet'!$E$10+1,1))-AVERAGE(OFFSET($H$3,0,0,'Données projet'!$E$10+1,1))</f>
        <v>240.30073883588199</v>
      </c>
      <c r="AO161" s="59">
        <f t="shared" si="144"/>
        <v>263.20351282678843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0.55116614534764341</v>
      </c>
      <c r="AV161" s="21">
        <f>EXP(-LN(2)/25)*AV160+(1-EXP(-LN(2)/25))/(LN(2)/25)*Calculateur!AQ161*Calculateur!AS161*VLOOKUP('Données projet'!$B$10,Paramètres!$A$1:$I$89,3,0)*0.475*44/12</f>
        <v>0.59777427016329987</v>
      </c>
      <c r="AW161" s="21">
        <f>EXP(-LN(2)/2)*AW160+(1-EXP(-LN(2)/2))/(LN(2)/2)*AQ161*AT161*VLOOKUP('Données projet'!$B$10,Paramètres!$A$1:$I$89,3,0)*0.475*44/12</f>
        <v>1.094546301669096E-18</v>
      </c>
      <c r="AX161" s="21">
        <f t="shared" si="166"/>
        <v>1.1489404155109433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252.98248842635206</v>
      </c>
      <c r="BJ161" s="59">
        <f t="shared" si="146"/>
        <v>207.11938580878308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4.5474735088646412E-13</v>
      </c>
      <c r="BZ161" s="13">
        <f>BY161*VLOOKUP('Données projet'!$B$12,Paramètres!$A$1:$I$89,3,0)*VLOOKUP('Données projet'!$B$12,Paramètres!$A$1:$I$89,5,0)</f>
        <v>2.5420376914553347E-13</v>
      </c>
      <c r="CA161" s="13">
        <f t="shared" si="170"/>
        <v>3.4258699088369875E-12</v>
      </c>
      <c r="CB161" s="20">
        <f t="shared" si="171"/>
        <v>6.4094616558195571E-12</v>
      </c>
      <c r="CC161" s="59">
        <f t="shared" si="119"/>
        <v>293.33333333333974</v>
      </c>
      <c r="CD161" s="59">
        <f ca="1">AVERAGE(OFFSET($CC$3,0,0,'Données projet'!$E$12+1,1))-AVERAGE(OFFSET($H$3,0,0,'Données projet'!$E$12+1,1))</f>
        <v>401.06118089678654</v>
      </c>
      <c r="CE161" s="59">
        <f t="shared" si="148"/>
        <v>399.58193819355591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0.81469245859198558</v>
      </c>
      <c r="CL161" s="21">
        <f>EXP(-LN(2)/25)*CL160+(1-EXP(-LN(2)/25))/(LN(2)/25)*Calculateur!CG161*Calculateur!CI161*VLOOKUP('Données projet'!$B$12,Paramètres!$A$1:$I$89,3,0)*0.475*44/12</f>
        <v>0.96060857940363853</v>
      </c>
      <c r="CM161" s="21">
        <f>EXP(-LN(2)/2)*CM160+(1-EXP(-LN(2)/2))/(LN(2)/2)*CG161*CJ161*VLOOKUP('Données projet'!$B$12,Paramètres!$A$1:$I$89,3,0)*0.475*44/12</f>
        <v>1.7742840910353292E-18</v>
      </c>
      <c r="CN161" s="22">
        <f t="shared" si="172"/>
        <v>1.7753010379956242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285.77483300338548</v>
      </c>
      <c r="CZ161" s="59">
        <f t="shared" si="150"/>
        <v>320.55212417690637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0.66139937441717223</v>
      </c>
      <c r="DG161" s="21">
        <f>EXP(-LN(2)/25)*DG160+(1-EXP(-LN(2)/25))/(LN(2)/25)*Calculateur!DB161*Calculateur!DD161*VLOOKUP('Données projet'!$B$13,Paramètres!$A$1:$I$89,3,0)*0.475*44/12</f>
        <v>0.80142212784880074</v>
      </c>
      <c r="DH161" s="21">
        <f>EXP(-LN(2)/2)*DH160+(1-EXP(-LN(2)/2))/(LN(2)/2)*DB161*DE161*VLOOKUP('Données projet'!$B$13,Paramètres!$A$1:$I$89,3,0)*0.475*44/12</f>
        <v>1.3227912220936948E-18</v>
      </c>
      <c r="DI161" s="22">
        <f t="shared" si="175"/>
        <v>1.462821502265973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-3.177547114319168E-13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356.67698551373468</v>
      </c>
      <c r="T162" s="59">
        <f t="shared" si="142"/>
        <v>353.21836615408171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0.35498526061881369</v>
      </c>
      <c r="AA162" s="21">
        <f>EXP(-LN(2)/25)*AA161+(1-EXP(-LN(2)/25))/(LN(2)/25)*Calculateur!V162*Calculateur!X162*VLOOKUP('Données projet'!$B$9,Paramètres!$A$1:$I$89,3,0)*0.475*44/12</f>
        <v>0.843923286379757</v>
      </c>
      <c r="AB162" s="21">
        <f>EXP(-LN(2)/2)*AB161+(1-EXP(-LN(2)/2))/(LN(2)/2)*V162*Y162*VLOOKUP('Données projet'!$B$9,Paramètres!$A$1:$I$89,3,0)*0.475*44/12</f>
        <v>1.2466475998795819E-18</v>
      </c>
      <c r="AC162" s="22">
        <f t="shared" si="163"/>
        <v>1.1989085469985707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3.9017322706058616E-13</v>
      </c>
      <c r="AK162" s="13">
        <f t="shared" si="164"/>
        <v>5.0025007393608908E-12</v>
      </c>
      <c r="AL162" s="20">
        <f t="shared" si="165"/>
        <v>9.3922404915174053E-12</v>
      </c>
      <c r="AM162" s="59">
        <f t="shared" si="113"/>
        <v>293.33333333334269</v>
      </c>
      <c r="AN162" s="59">
        <f ca="1">AVERAGE(OFFSET($AM$3,0,0,'Données projet'!$E$10+1,1))-AVERAGE(OFFSET($H$3,0,0,'Données projet'!$E$10+1,1))</f>
        <v>240.30073883588199</v>
      </c>
      <c r="AO162" s="59">
        <f t="shared" si="144"/>
        <v>263.20351282678843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0.54035811341552997</v>
      </c>
      <c r="AV162" s="21">
        <f>EXP(-LN(2)/25)*AV161+(1-EXP(-LN(2)/25))/(LN(2)/25)*Calculateur!AQ162*Calculateur!AS162*VLOOKUP('Données projet'!$B$10,Paramètres!$A$1:$I$89,3,0)*0.475*44/12</f>
        <v>0.58142810131010181</v>
      </c>
      <c r="AW162" s="21">
        <f>EXP(-LN(2)/2)*AW161+(1-EXP(-LN(2)/2))/(LN(2)/2)*AQ162*AT162*VLOOKUP('Données projet'!$B$10,Paramètres!$A$1:$I$89,3,0)*0.475*44/12</f>
        <v>7.7396111223287432E-19</v>
      </c>
      <c r="AX162" s="21">
        <f t="shared" si="166"/>
        <v>1.1217862147256317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252.98248842635206</v>
      </c>
      <c r="BJ162" s="59">
        <f t="shared" si="146"/>
        <v>207.11938580878308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4.5474735088646412E-13</v>
      </c>
      <c r="BZ162" s="13">
        <f>BY162*VLOOKUP('Données projet'!$B$12,Paramètres!$A$1:$I$89,3,0)*VLOOKUP('Données projet'!$B$12,Paramètres!$A$1:$I$89,5,0)</f>
        <v>2.5420376914553347E-13</v>
      </c>
      <c r="CA162" s="13">
        <f t="shared" si="170"/>
        <v>3.4258699088369875E-12</v>
      </c>
      <c r="CB162" s="20">
        <f t="shared" si="171"/>
        <v>6.4094616558195571E-12</v>
      </c>
      <c r="CC162" s="59">
        <f t="shared" si="119"/>
        <v>293.33333333333974</v>
      </c>
      <c r="CD162" s="59">
        <f ca="1">AVERAGE(OFFSET($CC$3,0,0,'Données projet'!$E$12+1,1))-AVERAGE(OFFSET($H$3,0,0,'Données projet'!$E$12+1,1))</f>
        <v>401.06118089678654</v>
      </c>
      <c r="CE162" s="59">
        <f t="shared" si="148"/>
        <v>399.58193819355591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0.79871683639233038</v>
      </c>
      <c r="CL162" s="21">
        <f>EXP(-LN(2)/25)*CL161+(1-EXP(-LN(2)/25))/(LN(2)/25)*Calculateur!CG162*Calculateur!CI162*VLOOKUP('Données projet'!$B$12,Paramètres!$A$1:$I$89,3,0)*0.475*44/12</f>
        <v>0.9343406872836364</v>
      </c>
      <c r="CM162" s="21">
        <f>EXP(-LN(2)/2)*CM161+(1-EXP(-LN(2)/2))/(LN(2)/2)*CG162*CJ162*VLOOKUP('Données projet'!$B$12,Paramètres!$A$1:$I$89,3,0)*0.475*44/12</f>
        <v>1.2546083125224909E-18</v>
      </c>
      <c r="CN162" s="22">
        <f t="shared" si="172"/>
        <v>1.7330575236759667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285.77483300338548</v>
      </c>
      <c r="CZ162" s="59">
        <f t="shared" si="150"/>
        <v>320.55212417690637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0.64842973609863608</v>
      </c>
      <c r="DG162" s="21">
        <f>EXP(-LN(2)/25)*DG161+(1-EXP(-LN(2)/25))/(LN(2)/25)*Calculateur!DB162*Calculateur!DD162*VLOOKUP('Données projet'!$B$13,Paramètres!$A$1:$I$89,3,0)*0.475*44/12</f>
        <v>0.77950719761781728</v>
      </c>
      <c r="DH162" s="21">
        <f>EXP(-LN(2)/2)*DH161+(1-EXP(-LN(2)/2))/(LN(2)/2)*DB162*DE162*VLOOKUP('Données projet'!$B$13,Paramètres!$A$1:$I$89,3,0)*0.475*44/12</f>
        <v>9.3535464323649203E-19</v>
      </c>
      <c r="DI162" s="22">
        <f t="shared" si="175"/>
        <v>1.4279369337164534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-3.177547114319168E-13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356.67698551373468</v>
      </c>
      <c r="T163" s="59">
        <f t="shared" si="142"/>
        <v>353.21836615408171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0.34802421617770818</v>
      </c>
      <c r="AA163" s="21">
        <f>EXP(-LN(2)/25)*AA162+(1-EXP(-LN(2)/25))/(LN(2)/25)*Calculateur!V163*Calculateur!X163*VLOOKUP('Données projet'!$B$9,Paramètres!$A$1:$I$89,3,0)*0.475*44/12</f>
        <v>0.82084615973370567</v>
      </c>
      <c r="AB163" s="21">
        <f>EXP(-LN(2)/2)*AB162+(1-EXP(-LN(2)/2))/(LN(2)/2)*V163*Y163*VLOOKUP('Données projet'!$B$9,Paramètres!$A$1:$I$89,3,0)*0.475*44/12</f>
        <v>8.8151297162478619E-19</v>
      </c>
      <c r="AC163" s="22">
        <f t="shared" si="163"/>
        <v>1.1688703759114139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3.9017322706058616E-13</v>
      </c>
      <c r="AK163" s="13">
        <f t="shared" si="164"/>
        <v>5.0025007393608908E-12</v>
      </c>
      <c r="AL163" s="20">
        <f t="shared" si="165"/>
        <v>9.3922404915174053E-12</v>
      </c>
      <c r="AM163" s="59">
        <f t="shared" si="113"/>
        <v>293.33333333334269</v>
      </c>
      <c r="AN163" s="59">
        <f ca="1">AVERAGE(OFFSET($AM$3,0,0,'Données projet'!$E$10+1,1))-AVERAGE(OFFSET($H$3,0,0,'Données projet'!$E$10+1,1))</f>
        <v>240.30073883588199</v>
      </c>
      <c r="AO163" s="59">
        <f t="shared" si="144"/>
        <v>263.20351282678843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0.52976202039735676</v>
      </c>
      <c r="AV163" s="21">
        <f>EXP(-LN(2)/25)*AV162+(1-EXP(-LN(2)/25))/(LN(2)/25)*Calculateur!AQ163*Calculateur!AS163*VLOOKUP('Données projet'!$B$10,Paramètres!$A$1:$I$89,3,0)*0.475*44/12</f>
        <v>0.56552891930380211</v>
      </c>
      <c r="AW163" s="21">
        <f>EXP(-LN(2)/2)*AW162+(1-EXP(-LN(2)/2))/(LN(2)/2)*AQ163*AT163*VLOOKUP('Données projet'!$B$10,Paramètres!$A$1:$I$89,3,0)*0.475*44/12</f>
        <v>5.4727315083454801E-19</v>
      </c>
      <c r="AX163" s="21">
        <f t="shared" si="166"/>
        <v>1.095290939701159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252.98248842635206</v>
      </c>
      <c r="BJ163" s="59">
        <f t="shared" si="146"/>
        <v>207.11938580878308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4.5474735088646412E-13</v>
      </c>
      <c r="BZ163" s="13">
        <f>BY163*VLOOKUP('Données projet'!$B$12,Paramètres!$A$1:$I$89,3,0)*VLOOKUP('Données projet'!$B$12,Paramètres!$A$1:$I$89,5,0)</f>
        <v>2.5420376914553347E-13</v>
      </c>
      <c r="CA163" s="13">
        <f t="shared" si="170"/>
        <v>3.4258699088369875E-12</v>
      </c>
      <c r="CB163" s="20">
        <f t="shared" si="171"/>
        <v>6.4094616558195571E-12</v>
      </c>
      <c r="CC163" s="59">
        <f t="shared" si="119"/>
        <v>293.33333333333974</v>
      </c>
      <c r="CD163" s="59">
        <f ca="1">AVERAGE(OFFSET($CC$3,0,0,'Données projet'!$E$12+1,1))-AVERAGE(OFFSET($H$3,0,0,'Données projet'!$E$12+1,1))</f>
        <v>401.06118089678654</v>
      </c>
      <c r="CE163" s="59">
        <f t="shared" si="148"/>
        <v>399.58193819355591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0.78305448639984299</v>
      </c>
      <c r="CL163" s="21">
        <f>EXP(-LN(2)/25)*CL162+(1-EXP(-LN(2)/25))/(LN(2)/25)*Calculateur!CG163*Calculateur!CI163*VLOOKUP('Données projet'!$B$12,Paramètres!$A$1:$I$89,3,0)*0.475*44/12</f>
        <v>0.90879109205502406</v>
      </c>
      <c r="CM163" s="21">
        <f>EXP(-LN(2)/2)*CM162+(1-EXP(-LN(2)/2))/(LN(2)/2)*CG163*CJ163*VLOOKUP('Données projet'!$B$12,Paramètres!$A$1:$I$89,3,0)*0.475*44/12</f>
        <v>8.8714204551766461E-19</v>
      </c>
      <c r="CN163" s="22">
        <f t="shared" si="172"/>
        <v>1.6918455784548669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285.77483300338548</v>
      </c>
      <c r="CZ163" s="59">
        <f t="shared" si="150"/>
        <v>320.55212417690637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0.63571442447682813</v>
      </c>
      <c r="DG163" s="21">
        <f>EXP(-LN(2)/25)*DG162+(1-EXP(-LN(2)/25))/(LN(2)/25)*Calculateur!DB163*Calculateur!DD163*VLOOKUP('Données projet'!$B$13,Paramètres!$A$1:$I$89,3,0)*0.475*44/12</f>
        <v>0.75819153230645608</v>
      </c>
      <c r="DH163" s="21">
        <f>EXP(-LN(2)/2)*DH162+(1-EXP(-LN(2)/2))/(LN(2)/2)*DB163*DE163*VLOOKUP('Données projet'!$B$13,Paramètres!$A$1:$I$89,3,0)*0.475*44/12</f>
        <v>6.613956110468474E-19</v>
      </c>
      <c r="DI163" s="22">
        <f t="shared" si="175"/>
        <v>1.3939059567832843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-3.177547114319168E-13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356.67698551373468</v>
      </c>
      <c r="T164" s="59">
        <f t="shared" si="142"/>
        <v>353.21836615408171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0.34119967357227488</v>
      </c>
      <c r="AA164" s="21">
        <f>EXP(-LN(2)/25)*AA163+(1-EXP(-LN(2)/25))/(LN(2)/25)*Calculateur!V164*Calculateur!X164*VLOOKUP('Données projet'!$B$9,Paramètres!$A$1:$I$89,3,0)*0.475*44/12</f>
        <v>0.79840007832936399</v>
      </c>
      <c r="AB164" s="21">
        <f>EXP(-LN(2)/2)*AB163+(1-EXP(-LN(2)/2))/(LN(2)/2)*V164*Y164*VLOOKUP('Données projet'!$B$9,Paramètres!$A$1:$I$89,3,0)*0.475*44/12</f>
        <v>6.2332379993979096E-19</v>
      </c>
      <c r="AC164" s="22">
        <f t="shared" si="163"/>
        <v>1.1395997519016388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3.9017322706058616E-13</v>
      </c>
      <c r="AK164" s="13">
        <f t="shared" si="164"/>
        <v>5.0025007393608908E-12</v>
      </c>
      <c r="AL164" s="20">
        <f t="shared" si="165"/>
        <v>9.3922404915174053E-12</v>
      </c>
      <c r="AM164" s="59">
        <f t="shared" si="113"/>
        <v>293.33333333334269</v>
      </c>
      <c r="AN164" s="59">
        <f ca="1">AVERAGE(OFFSET($AM$3,0,0,'Données projet'!$E$10+1,1))-AVERAGE(OFFSET($H$3,0,0,'Données projet'!$E$10+1,1))</f>
        <v>240.30073883588199</v>
      </c>
      <c r="AO164" s="59">
        <f t="shared" si="144"/>
        <v>263.20351282678843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0.51937371030029134</v>
      </c>
      <c r="AV164" s="21">
        <f>EXP(-LN(2)/25)*AV163+(1-EXP(-LN(2)/25))/(LN(2)/25)*Calculateur!AQ164*Calculateur!AS164*VLOOKUP('Données projet'!$B$10,Paramètres!$A$1:$I$89,3,0)*0.475*44/12</f>
        <v>0.55006450126556627</v>
      </c>
      <c r="AW164" s="21">
        <f>EXP(-LN(2)/2)*AW163+(1-EXP(-LN(2)/2))/(LN(2)/2)*AQ164*AT164*VLOOKUP('Données projet'!$B$10,Paramètres!$A$1:$I$89,3,0)*0.475*44/12</f>
        <v>3.8698055611643716E-19</v>
      </c>
      <c r="AX164" s="21">
        <f t="shared" si="166"/>
        <v>1.0694382115658576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252.98248842635206</v>
      </c>
      <c r="BJ164" s="59">
        <f t="shared" si="146"/>
        <v>207.11938580878308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4.5474735088646412E-13</v>
      </c>
      <c r="BZ164" s="13">
        <f>BY164*VLOOKUP('Données projet'!$B$12,Paramètres!$A$1:$I$89,3,0)*VLOOKUP('Données projet'!$B$12,Paramètres!$A$1:$I$89,5,0)</f>
        <v>2.5420376914553347E-13</v>
      </c>
      <c r="CA164" s="13">
        <f t="shared" si="170"/>
        <v>3.4258699088369875E-12</v>
      </c>
      <c r="CB164" s="20">
        <f t="shared" si="171"/>
        <v>6.4094616558195571E-12</v>
      </c>
      <c r="CC164" s="59">
        <f t="shared" si="119"/>
        <v>293.33333333333974</v>
      </c>
      <c r="CD164" s="59">
        <f ca="1">AVERAGE(OFFSET($CC$3,0,0,'Données projet'!$E$12+1,1))-AVERAGE(OFFSET($H$3,0,0,'Données projet'!$E$12+1,1))</f>
        <v>401.06118089678654</v>
      </c>
      <c r="CE164" s="59">
        <f t="shared" si="148"/>
        <v>399.58193819355591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0.76769926553761814</v>
      </c>
      <c r="CL164" s="21">
        <f>EXP(-LN(2)/25)*CL163+(1-EXP(-LN(2)/25))/(LN(2)/25)*Calculateur!CG164*Calculateur!CI164*VLOOKUP('Données projet'!$B$12,Paramètres!$A$1:$I$89,3,0)*0.475*44/12</f>
        <v>0.88394015185153296</v>
      </c>
      <c r="CM164" s="21">
        <f>EXP(-LN(2)/2)*CM163+(1-EXP(-LN(2)/2))/(LN(2)/2)*CG164*CJ164*VLOOKUP('Données projet'!$B$12,Paramètres!$A$1:$I$89,3,0)*0.475*44/12</f>
        <v>6.2730415626124547E-19</v>
      </c>
      <c r="CN164" s="22">
        <f t="shared" si="172"/>
        <v>1.6516394173891511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285.77483300338548</v>
      </c>
      <c r="CZ164" s="59">
        <f t="shared" si="150"/>
        <v>320.55212417690637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0.62324845236034954</v>
      </c>
      <c r="DG164" s="21">
        <f>EXP(-LN(2)/25)*DG163+(1-EXP(-LN(2)/25))/(LN(2)/25)*Calculateur!DB164*Calculateur!DD164*VLOOKUP('Données projet'!$B$13,Paramètres!$A$1:$I$89,3,0)*0.475*44/12</f>
        <v>0.73745874498397623</v>
      </c>
      <c r="DH164" s="21">
        <f>EXP(-LN(2)/2)*DH163+(1-EXP(-LN(2)/2))/(LN(2)/2)*DB164*DE164*VLOOKUP('Données projet'!$B$13,Paramètres!$A$1:$I$89,3,0)*0.475*44/12</f>
        <v>4.6767732161824601E-19</v>
      </c>
      <c r="DI164" s="22">
        <f t="shared" si="175"/>
        <v>1.3607071973443259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-3.177547114319168E-13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356.67698551373468</v>
      </c>
      <c r="T165" s="59">
        <f t="shared" si="142"/>
        <v>353.21836615408171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0.33450895608477416</v>
      </c>
      <c r="AA165" s="21">
        <f>EXP(-LN(2)/25)*AA164+(1-EXP(-LN(2)/25))/(LN(2)/25)*Calculateur!V165*Calculateur!X165*VLOOKUP('Données projet'!$B$9,Paramètres!$A$1:$I$89,3,0)*0.475*44/12</f>
        <v>0.7765677862014122</v>
      </c>
      <c r="AB165" s="21">
        <f>EXP(-LN(2)/2)*AB164+(1-EXP(-LN(2)/2))/(LN(2)/2)*V165*Y165*VLOOKUP('Données projet'!$B$9,Paramètres!$A$1:$I$89,3,0)*0.475*44/12</f>
        <v>4.407564858123931E-19</v>
      </c>
      <c r="AC165" s="22">
        <f t="shared" si="163"/>
        <v>1.1110767422861865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3.9017322706058616E-13</v>
      </c>
      <c r="AK165" s="13">
        <f t="shared" si="164"/>
        <v>5.0025007393608908E-12</v>
      </c>
      <c r="AL165" s="20">
        <f t="shared" si="165"/>
        <v>9.3922404915174053E-12</v>
      </c>
      <c r="AM165" s="59">
        <f t="shared" si="113"/>
        <v>293.33333333334269</v>
      </c>
      <c r="AN165" s="59">
        <f ca="1">AVERAGE(OFFSET($AM$3,0,0,'Données projet'!$E$10+1,1))-AVERAGE(OFFSET($H$3,0,0,'Données projet'!$E$10+1,1))</f>
        <v>240.30073883588199</v>
      </c>
      <c r="AO165" s="59">
        <f t="shared" si="144"/>
        <v>263.20351282678843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0.50918910862798583</v>
      </c>
      <c r="AV165" s="21">
        <f>EXP(-LN(2)/25)*AV164+(1-EXP(-LN(2)/25))/(LN(2)/25)*Calculateur!AQ165*Calculateur!AS165*VLOOKUP('Données projet'!$B$10,Paramètres!$A$1:$I$89,3,0)*0.475*44/12</f>
        <v>0.53502295855182447</v>
      </c>
      <c r="AW165" s="21">
        <f>EXP(-LN(2)/2)*AW164+(1-EXP(-LN(2)/2))/(LN(2)/2)*AQ165*AT165*VLOOKUP('Données projet'!$B$10,Paramètres!$A$1:$I$89,3,0)*0.475*44/12</f>
        <v>2.73636575417274E-19</v>
      </c>
      <c r="AX165" s="21">
        <f t="shared" si="166"/>
        <v>1.0442120671798103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252.98248842635206</v>
      </c>
      <c r="BJ165" s="59">
        <f t="shared" si="146"/>
        <v>207.11938580878308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4.5474735088646412E-13</v>
      </c>
      <c r="BZ165" s="13">
        <f>BY165*VLOOKUP('Données projet'!$B$12,Paramètres!$A$1:$I$89,3,0)*VLOOKUP('Données projet'!$B$12,Paramètres!$A$1:$I$89,5,0)</f>
        <v>2.5420376914553347E-13</v>
      </c>
      <c r="CA165" s="13">
        <f t="shared" si="170"/>
        <v>3.4258699088369875E-12</v>
      </c>
      <c r="CB165" s="20">
        <f t="shared" si="171"/>
        <v>6.4094616558195571E-12</v>
      </c>
      <c r="CC165" s="59">
        <f t="shared" si="119"/>
        <v>293.33333333333974</v>
      </c>
      <c r="CD165" s="59">
        <f ca="1">AVERAGE(OFFSET($CC$3,0,0,'Données projet'!$E$12+1,1))-AVERAGE(OFFSET($H$3,0,0,'Données projet'!$E$12+1,1))</f>
        <v>401.06118089678654</v>
      </c>
      <c r="CE165" s="59">
        <f t="shared" si="148"/>
        <v>399.58193819355591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0.75264515119074149</v>
      </c>
      <c r="CL165" s="21">
        <f>EXP(-LN(2)/25)*CL164+(1-EXP(-LN(2)/25))/(LN(2)/25)*Calculateur!CG165*Calculateur!CI165*VLOOKUP('Données projet'!$B$12,Paramètres!$A$1:$I$89,3,0)*0.475*44/12</f>
        <v>0.85976876191476048</v>
      </c>
      <c r="CM165" s="21">
        <f>EXP(-LN(2)/2)*CM164+(1-EXP(-LN(2)/2))/(LN(2)/2)*CG165*CJ165*VLOOKUP('Données projet'!$B$12,Paramètres!$A$1:$I$89,3,0)*0.475*44/12</f>
        <v>4.435710227588323E-19</v>
      </c>
      <c r="CN165" s="22">
        <f t="shared" si="172"/>
        <v>1.612413913105502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285.77483300338548</v>
      </c>
      <c r="CZ165" s="59">
        <f t="shared" si="150"/>
        <v>320.55212417690637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0.61102693035358291</v>
      </c>
      <c r="DG165" s="21">
        <f>EXP(-LN(2)/25)*DG164+(1-EXP(-LN(2)/25))/(LN(2)/25)*Calculateur!DB165*Calculateur!DD165*VLOOKUP('Données projet'!$B$13,Paramètres!$A$1:$I$89,3,0)*0.475*44/12</f>
        <v>0.71729289682111952</v>
      </c>
      <c r="DH165" s="21">
        <f>EXP(-LN(2)/2)*DH164+(1-EXP(-LN(2)/2))/(LN(2)/2)*DB165*DE165*VLOOKUP('Données projet'!$B$13,Paramètres!$A$1:$I$89,3,0)*0.475*44/12</f>
        <v>3.306978055234237E-19</v>
      </c>
      <c r="DI165" s="22">
        <f t="shared" si="175"/>
        <v>1.3283198271747025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-3.177547114319168E-13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356.67698551373468</v>
      </c>
      <c r="T166" s="59">
        <f t="shared" si="142"/>
        <v>353.21836615408171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0.32794943948626865</v>
      </c>
      <c r="AA166" s="21">
        <f>EXP(-LN(2)/25)*AA165+(1-EXP(-LN(2)/25))/(LN(2)/25)*Calculateur!V166*Calculateur!X166*VLOOKUP('Données projet'!$B$9,Paramètres!$A$1:$I$89,3,0)*0.475*44/12</f>
        <v>0.75533249924980961</v>
      </c>
      <c r="AB166" s="21">
        <f>EXP(-LN(2)/2)*AB165+(1-EXP(-LN(2)/2))/(LN(2)/2)*V166*Y166*VLOOKUP('Données projet'!$B$9,Paramètres!$A$1:$I$89,3,0)*0.475*44/12</f>
        <v>3.1166189996989548E-19</v>
      </c>
      <c r="AC166" s="22">
        <f t="shared" si="163"/>
        <v>1.0832819387360781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3.9017322706058616E-13</v>
      </c>
      <c r="AK166" s="13">
        <f t="shared" si="164"/>
        <v>5.0025007393608908E-12</v>
      </c>
      <c r="AL166" s="20">
        <f t="shared" si="165"/>
        <v>9.3922404915174053E-12</v>
      </c>
      <c r="AM166" s="59">
        <f t="shared" si="113"/>
        <v>293.33333333334269</v>
      </c>
      <c r="AN166" s="59">
        <f ca="1">AVERAGE(OFFSET($AM$3,0,0,'Données projet'!$E$10+1,1))-AVERAGE(OFFSET($H$3,0,0,'Données projet'!$E$10+1,1))</f>
        <v>240.30073883588199</v>
      </c>
      <c r="AO166" s="59">
        <f t="shared" si="144"/>
        <v>263.20351282678843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0.49920422078248061</v>
      </c>
      <c r="AV166" s="21">
        <f>EXP(-LN(2)/25)*AV165+(1-EXP(-LN(2)/25))/(LN(2)/25)*Calculateur!AQ166*Calculateur!AS166*VLOOKUP('Données projet'!$B$10,Paramètres!$A$1:$I$89,3,0)*0.475*44/12</f>
        <v>0.52039272761459021</v>
      </c>
      <c r="AW166" s="21">
        <f>EXP(-LN(2)/2)*AW165+(1-EXP(-LN(2)/2))/(LN(2)/2)*AQ166*AT166*VLOOKUP('Données projet'!$B$10,Paramètres!$A$1:$I$89,3,0)*0.475*44/12</f>
        <v>1.9349027805821858E-19</v>
      </c>
      <c r="AX166" s="21">
        <f t="shared" si="166"/>
        <v>1.0195969483970708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252.98248842635206</v>
      </c>
      <c r="BJ166" s="59">
        <f t="shared" si="146"/>
        <v>207.11938580878308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4.5474735088646412E-13</v>
      </c>
      <c r="BZ166" s="13">
        <f>BY166*VLOOKUP('Données projet'!$B$12,Paramètres!$A$1:$I$89,3,0)*VLOOKUP('Données projet'!$B$12,Paramètres!$A$1:$I$89,5,0)</f>
        <v>2.5420376914553347E-13</v>
      </c>
      <c r="CA166" s="13">
        <f t="shared" si="170"/>
        <v>3.4258699088369875E-12</v>
      </c>
      <c r="CB166" s="20">
        <f t="shared" si="171"/>
        <v>6.4094616558195571E-12</v>
      </c>
      <c r="CC166" s="59">
        <f t="shared" si="119"/>
        <v>293.33333333333974</v>
      </c>
      <c r="CD166" s="59">
        <f ca="1">AVERAGE(OFFSET($CC$3,0,0,'Données projet'!$E$12+1,1))-AVERAGE(OFFSET($H$3,0,0,'Données projet'!$E$12+1,1))</f>
        <v>401.06118089678654</v>
      </c>
      <c r="CE166" s="59">
        <f t="shared" si="148"/>
        <v>399.58193819355591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0.73788623884410409</v>
      </c>
      <c r="CL166" s="21">
        <f>EXP(-LN(2)/25)*CL165+(1-EXP(-LN(2)/25))/(LN(2)/25)*Calculateur!CG166*Calculateur!CI166*VLOOKUP('Données projet'!$B$12,Paramètres!$A$1:$I$89,3,0)*0.475*44/12</f>
        <v>0.83625833990692722</v>
      </c>
      <c r="CM166" s="21">
        <f>EXP(-LN(2)/2)*CM165+(1-EXP(-LN(2)/2))/(LN(2)/2)*CG166*CJ166*VLOOKUP('Données projet'!$B$12,Paramètres!$A$1:$I$89,3,0)*0.475*44/12</f>
        <v>3.1365207813062274E-19</v>
      </c>
      <c r="CN166" s="22">
        <f t="shared" si="172"/>
        <v>1.5741445787510313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285.77483300338548</v>
      </c>
      <c r="CZ166" s="59">
        <f t="shared" si="150"/>
        <v>320.55212417690637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0.59904506493897658</v>
      </c>
      <c r="DG166" s="21">
        <f>EXP(-LN(2)/25)*DG165+(1-EXP(-LN(2)/25))/(LN(2)/25)*Calculateur!DB166*Calculateur!DD166*VLOOKUP('Données projet'!$B$13,Paramètres!$A$1:$I$89,3,0)*0.475*44/12</f>
        <v>0.69767848483675199</v>
      </c>
      <c r="DH166" s="21">
        <f>EXP(-LN(2)/2)*DH165+(1-EXP(-LN(2)/2))/(LN(2)/2)*DB166*DE166*VLOOKUP('Données projet'!$B$13,Paramètres!$A$1:$I$89,3,0)*0.475*44/12</f>
        <v>2.3383866080912301E-19</v>
      </c>
      <c r="DI166" s="22">
        <f t="shared" si="175"/>
        <v>1.2967235497757286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-3.177547114319168E-13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356.67698551373468</v>
      </c>
      <c r="T167" s="59">
        <f t="shared" si="142"/>
        <v>353.21836615408171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0.32151855100734972</v>
      </c>
      <c r="AA167" s="21">
        <f>EXP(-LN(2)/25)*AA166+(1-EXP(-LN(2)/25))/(LN(2)/25)*Calculateur!V167*Calculateur!X167*VLOOKUP('Données projet'!$B$9,Paramètres!$A$1:$I$89,3,0)*0.475*44/12</f>
        <v>0.73467789233661374</v>
      </c>
      <c r="AB167" s="21">
        <f>EXP(-LN(2)/2)*AB166+(1-EXP(-LN(2)/2))/(LN(2)/2)*V167*Y167*VLOOKUP('Données projet'!$B$9,Paramètres!$A$1:$I$89,3,0)*0.475*44/12</f>
        <v>2.2037824290619655E-19</v>
      </c>
      <c r="AC167" s="22">
        <f t="shared" si="163"/>
        <v>1.0561964433439635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3.9017322706058616E-13</v>
      </c>
      <c r="AK167" s="13">
        <f t="shared" si="164"/>
        <v>5.0025007393608908E-12</v>
      </c>
      <c r="AL167" s="20">
        <f t="shared" si="165"/>
        <v>9.3922404915174053E-12</v>
      </c>
      <c r="AM167" s="59">
        <f t="shared" si="113"/>
        <v>293.33333333334269</v>
      </c>
      <c r="AN167" s="59">
        <f ca="1">AVERAGE(OFFSET($AM$3,0,0,'Données projet'!$E$10+1,1))-AVERAGE(OFFSET($H$3,0,0,'Données projet'!$E$10+1,1))</f>
        <v>240.30073883588199</v>
      </c>
      <c r="AO167" s="59">
        <f t="shared" si="144"/>
        <v>263.20351282678843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0.48941513049744551</v>
      </c>
      <c r="AV167" s="21">
        <f>EXP(-LN(2)/25)*AV166+(1-EXP(-LN(2)/25))/(LN(2)/25)*Calculateur!AQ167*Calculateur!AS167*VLOOKUP('Données projet'!$B$10,Paramètres!$A$1:$I$89,3,0)*0.475*44/12</f>
        <v>0.5061625611117051</v>
      </c>
      <c r="AW167" s="21">
        <f>EXP(-LN(2)/2)*AW166+(1-EXP(-LN(2)/2))/(LN(2)/2)*AQ167*AT167*VLOOKUP('Données projet'!$B$10,Paramètres!$A$1:$I$89,3,0)*0.475*44/12</f>
        <v>1.36818287708637E-19</v>
      </c>
      <c r="AX167" s="21">
        <f t="shared" si="166"/>
        <v>0.99557769160915055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252.98248842635206</v>
      </c>
      <c r="BJ167" s="59">
        <f t="shared" si="146"/>
        <v>207.11938580878308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4.5474735088646412E-13</v>
      </c>
      <c r="BZ167" s="13">
        <f>BY167*VLOOKUP('Données projet'!$B$12,Paramètres!$A$1:$I$89,3,0)*VLOOKUP('Données projet'!$B$12,Paramètres!$A$1:$I$89,5,0)</f>
        <v>2.5420376914553347E-13</v>
      </c>
      <c r="CA167" s="13">
        <f t="shared" si="170"/>
        <v>3.4258699088369875E-12</v>
      </c>
      <c r="CB167" s="20">
        <f t="shared" si="171"/>
        <v>6.4094616558195571E-12</v>
      </c>
      <c r="CC167" s="59">
        <f t="shared" si="119"/>
        <v>293.33333333333974</v>
      </c>
      <c r="CD167" s="59">
        <f ca="1">AVERAGE(OFFSET($CC$3,0,0,'Données projet'!$E$12+1,1))-AVERAGE(OFFSET($H$3,0,0,'Données projet'!$E$12+1,1))</f>
        <v>401.06118089678654</v>
      </c>
      <c r="CE167" s="59">
        <f t="shared" si="148"/>
        <v>399.58193819355591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0.72341673976653653</v>
      </c>
      <c r="CL167" s="21">
        <f>EXP(-LN(2)/25)*CL166+(1-EXP(-LN(2)/25))/(LN(2)/25)*Calculateur!CG167*Calculateur!CI167*VLOOKUP('Données projet'!$B$12,Paramètres!$A$1:$I$89,3,0)*0.475*44/12</f>
        <v>0.8133908116252575</v>
      </c>
      <c r="CM167" s="21">
        <f>EXP(-LN(2)/2)*CM166+(1-EXP(-LN(2)/2))/(LN(2)/2)*CG167*CJ167*VLOOKUP('Données projet'!$B$12,Paramètres!$A$1:$I$89,3,0)*0.475*44/12</f>
        <v>2.2178551137941615E-19</v>
      </c>
      <c r="CN167" s="22">
        <f t="shared" si="172"/>
        <v>1.536807551391794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285.77483300338548</v>
      </c>
      <c r="CZ167" s="59">
        <f t="shared" si="150"/>
        <v>320.55212417690637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0.58729815659693441</v>
      </c>
      <c r="DG167" s="21">
        <f>EXP(-LN(2)/25)*DG166+(1-EXP(-LN(2)/25))/(LN(2)/25)*Calculateur!DB167*Calculateur!DD167*VLOOKUP('Données projet'!$B$13,Paramètres!$A$1:$I$89,3,0)*0.475*44/12</f>
        <v>0.67860042997957404</v>
      </c>
      <c r="DH167" s="21">
        <f>EXP(-LN(2)/2)*DH166+(1-EXP(-LN(2)/2))/(LN(2)/2)*DB167*DE167*VLOOKUP('Données projet'!$B$13,Paramètres!$A$1:$I$89,3,0)*0.475*44/12</f>
        <v>1.6534890276171185E-19</v>
      </c>
      <c r="DI167" s="22">
        <f t="shared" si="175"/>
        <v>1.2658985865765084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-3.177547114319168E-13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356.67698551373468</v>
      </c>
      <c r="T168" s="59">
        <f t="shared" si="142"/>
        <v>353.21836615408171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0.31521376832904774</v>
      </c>
      <c r="AA168" s="21">
        <f>EXP(-LN(2)/25)*AA167+(1-EXP(-LN(2)/25))/(LN(2)/25)*Calculateur!V168*Calculateur!X168*VLOOKUP('Données projet'!$B$9,Paramètres!$A$1:$I$89,3,0)*0.475*44/12</f>
        <v>0.71458808673563778</v>
      </c>
      <c r="AB168" s="21">
        <f>EXP(-LN(2)/2)*AB167+(1-EXP(-LN(2)/2))/(LN(2)/2)*V168*Y168*VLOOKUP('Données projet'!$B$9,Paramètres!$A$1:$I$89,3,0)*0.475*44/12</f>
        <v>1.5583094998494774E-19</v>
      </c>
      <c r="AC168" s="22">
        <f t="shared" si="163"/>
        <v>1.0298018550646855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3.9017322706058616E-13</v>
      </c>
      <c r="AK168" s="13">
        <f t="shared" si="164"/>
        <v>5.0025007393608908E-12</v>
      </c>
      <c r="AL168" s="20">
        <f t="shared" si="165"/>
        <v>9.3922404915174053E-12</v>
      </c>
      <c r="AM168" s="59">
        <f t="shared" si="113"/>
        <v>293.33333333334269</v>
      </c>
      <c r="AN168" s="59">
        <f ca="1">AVERAGE(OFFSET($AM$3,0,0,'Données projet'!$E$10+1,1))-AVERAGE(OFFSET($H$3,0,0,'Données projet'!$E$10+1,1))</f>
        <v>240.30073883588199</v>
      </c>
      <c r="AO168" s="59">
        <f t="shared" si="144"/>
        <v>263.20351282678843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0.47981799830214444</v>
      </c>
      <c r="AV168" s="21">
        <f>EXP(-LN(2)/25)*AV167+(1-EXP(-LN(2)/25))/(LN(2)/25)*Calculateur!AQ168*Calculateur!AS168*VLOOKUP('Données projet'!$B$10,Paramètres!$A$1:$I$89,3,0)*0.475*44/12</f>
        <v>0.49232151926017331</v>
      </c>
      <c r="AW168" s="21">
        <f>EXP(-LN(2)/2)*AW167+(1-EXP(-LN(2)/2))/(LN(2)/2)*AQ168*AT168*VLOOKUP('Données projet'!$B$10,Paramètres!$A$1:$I$89,3,0)*0.475*44/12</f>
        <v>9.674513902910929E-20</v>
      </c>
      <c r="AX168" s="21">
        <f t="shared" si="166"/>
        <v>0.97213951756231776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252.98248842635206</v>
      </c>
      <c r="BJ168" s="59">
        <f t="shared" si="146"/>
        <v>207.11938580878308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4.5474735088646412E-13</v>
      </c>
      <c r="BZ168" s="13">
        <f>BY168*VLOOKUP('Données projet'!$B$12,Paramètres!$A$1:$I$89,3,0)*VLOOKUP('Données projet'!$B$12,Paramètres!$A$1:$I$89,5,0)</f>
        <v>2.5420376914553347E-13</v>
      </c>
      <c r="CA168" s="13">
        <f t="shared" si="170"/>
        <v>3.4258699088369875E-12</v>
      </c>
      <c r="CB168" s="20">
        <f t="shared" si="171"/>
        <v>6.4094616558195571E-12</v>
      </c>
      <c r="CC168" s="59">
        <f t="shared" si="119"/>
        <v>293.33333333333974</v>
      </c>
      <c r="CD168" s="59">
        <f ca="1">AVERAGE(OFFSET($CC$3,0,0,'Données projet'!$E$12+1,1))-AVERAGE(OFFSET($H$3,0,0,'Données projet'!$E$12+1,1))</f>
        <v>401.06118089678654</v>
      </c>
      <c r="CE168" s="59">
        <f t="shared" si="148"/>
        <v>399.58193819355591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0.70923097874035712</v>
      </c>
      <c r="CL168" s="21">
        <f>EXP(-LN(2)/25)*CL167+(1-EXP(-LN(2)/25))/(LN(2)/25)*Calculateur!CG168*Calculateur!CI168*VLOOKUP('Données projet'!$B$12,Paramètres!$A$1:$I$89,3,0)*0.475*44/12</f>
        <v>0.79114859710700114</v>
      </c>
      <c r="CM168" s="21">
        <f>EXP(-LN(2)/2)*CM167+(1-EXP(-LN(2)/2))/(LN(2)/2)*CG168*CJ168*VLOOKUP('Données projet'!$B$12,Paramètres!$A$1:$I$89,3,0)*0.475*44/12</f>
        <v>1.5682603906531137E-19</v>
      </c>
      <c r="CN168" s="22">
        <f t="shared" si="172"/>
        <v>1.5003795758473584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285.77483300338548</v>
      </c>
      <c r="CZ168" s="59">
        <f t="shared" si="150"/>
        <v>320.55212417690637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0.57578159796257311</v>
      </c>
      <c r="DG168" s="21">
        <f>EXP(-LN(2)/25)*DG167+(1-EXP(-LN(2)/25))/(LN(2)/25)*Calculateur!DB168*Calculateur!DD168*VLOOKUP('Données projet'!$B$13,Paramètres!$A$1:$I$89,3,0)*0.475*44/12</f>
        <v>0.66004406553573691</v>
      </c>
      <c r="DH168" s="21">
        <f>EXP(-LN(2)/2)*DH167+(1-EXP(-LN(2)/2))/(LN(2)/2)*DB168*DE168*VLOOKUP('Données projet'!$B$13,Paramètres!$A$1:$I$89,3,0)*0.475*44/12</f>
        <v>1.169193304045615E-19</v>
      </c>
      <c r="DI168" s="22">
        <f t="shared" si="175"/>
        <v>1.23582566349831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-3.177547114319168E-13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356.67698551373468</v>
      </c>
      <c r="T169" s="59">
        <f t="shared" si="142"/>
        <v>353.21836615408171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0.30903261859352954</v>
      </c>
      <c r="AA169" s="21">
        <f>EXP(-LN(2)/25)*AA168+(1-EXP(-LN(2)/25))/(LN(2)/25)*Calculateur!V169*Calculateur!X169*VLOOKUP('Données projet'!$B$9,Paramètres!$A$1:$I$89,3,0)*0.475*44/12</f>
        <v>0.69504763792529745</v>
      </c>
      <c r="AB169" s="21">
        <f>EXP(-LN(2)/2)*AB168+(1-EXP(-LN(2)/2))/(LN(2)/2)*V169*Y169*VLOOKUP('Données projet'!$B$9,Paramètres!$A$1:$I$89,3,0)*0.475*44/12</f>
        <v>1.1018912145309827E-19</v>
      </c>
      <c r="AC169" s="22">
        <f t="shared" si="163"/>
        <v>1.0040802565188269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3.9017322706058616E-13</v>
      </c>
      <c r="AK169" s="13">
        <f t="shared" si="164"/>
        <v>5.0025007393608908E-12</v>
      </c>
      <c r="AL169" s="20">
        <f t="shared" si="165"/>
        <v>9.3922404915174053E-12</v>
      </c>
      <c r="AM169" s="59">
        <f t="shared" si="113"/>
        <v>293.33333333334269</v>
      </c>
      <c r="AN169" s="59">
        <f ca="1">AVERAGE(OFFSET($AM$3,0,0,'Données projet'!$E$10+1,1))-AVERAGE(OFFSET($H$3,0,0,'Données projet'!$E$10+1,1))</f>
        <v>240.30073883588199</v>
      </c>
      <c r="AO169" s="59">
        <f t="shared" si="144"/>
        <v>263.20351282678843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0.47040906001552057</v>
      </c>
      <c r="AV169" s="21">
        <f>EXP(-LN(2)/25)*AV168+(1-EXP(-LN(2)/25))/(LN(2)/25)*Calculateur!AQ169*Calculateur!AS169*VLOOKUP('Données projet'!$B$10,Paramètres!$A$1:$I$89,3,0)*0.475*44/12</f>
        <v>0.47885896142594037</v>
      </c>
      <c r="AW169" s="21">
        <f>EXP(-LN(2)/2)*AW168+(1-EXP(-LN(2)/2))/(LN(2)/2)*AQ169*AT169*VLOOKUP('Données projet'!$B$10,Paramètres!$A$1:$I$89,3,0)*0.475*44/12</f>
        <v>6.8409143854318501E-20</v>
      </c>
      <c r="AX169" s="21">
        <f t="shared" si="166"/>
        <v>0.94926802144146094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252.98248842635206</v>
      </c>
      <c r="BJ169" s="59">
        <f t="shared" si="146"/>
        <v>207.11938580878308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4.5474735088646412E-13</v>
      </c>
      <c r="BZ169" s="13">
        <f>BY169*VLOOKUP('Données projet'!$B$12,Paramètres!$A$1:$I$89,3,0)*VLOOKUP('Données projet'!$B$12,Paramètres!$A$1:$I$89,5,0)</f>
        <v>2.5420376914553347E-13</v>
      </c>
      <c r="CA169" s="13">
        <f t="shared" si="170"/>
        <v>3.4258699088369875E-12</v>
      </c>
      <c r="CB169" s="20">
        <f t="shared" si="171"/>
        <v>6.4094616558195571E-12</v>
      </c>
      <c r="CC169" s="59">
        <f t="shared" si="119"/>
        <v>293.33333333333974</v>
      </c>
      <c r="CD169" s="59">
        <f ca="1">AVERAGE(OFFSET($CC$3,0,0,'Données projet'!$E$12+1,1))-AVERAGE(OFFSET($H$3,0,0,'Données projet'!$E$12+1,1))</f>
        <v>401.06118089678654</v>
      </c>
      <c r="CE169" s="59">
        <f t="shared" si="148"/>
        <v>399.58193819355591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0.69532339183544123</v>
      </c>
      <c r="CL169" s="21">
        <f>EXP(-LN(2)/25)*CL168+(1-EXP(-LN(2)/25))/(LN(2)/25)*Calculateur!CG169*Calculateur!CI169*VLOOKUP('Données projet'!$B$12,Paramètres!$A$1:$I$89,3,0)*0.475*44/12</f>
        <v>0.76951459711441361</v>
      </c>
      <c r="CM169" s="21">
        <f>EXP(-LN(2)/2)*CM168+(1-EXP(-LN(2)/2))/(LN(2)/2)*CG169*CJ169*VLOOKUP('Données projet'!$B$12,Paramètres!$A$1:$I$89,3,0)*0.475*44/12</f>
        <v>1.1089275568970808E-19</v>
      </c>
      <c r="CN169" s="22">
        <f t="shared" si="172"/>
        <v>1.4648379889498548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285.77483300338548</v>
      </c>
      <c r="CZ169" s="59">
        <f t="shared" si="150"/>
        <v>320.55212417690637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0.56449087201862447</v>
      </c>
      <c r="DG169" s="21">
        <f>EXP(-LN(2)/25)*DG168+(1-EXP(-LN(2)/25))/(LN(2)/25)*Calculateur!DB169*Calculateur!DD169*VLOOKUP('Données projet'!$B$13,Paramètres!$A$1:$I$89,3,0)*0.475*44/12</f>
        <v>0.64199512585345331</v>
      </c>
      <c r="DH169" s="21">
        <f>EXP(-LN(2)/2)*DH168+(1-EXP(-LN(2)/2))/(LN(2)/2)*DB169*DE169*VLOOKUP('Données projet'!$B$13,Paramètres!$A$1:$I$89,3,0)*0.475*44/12</f>
        <v>8.2674451380855925E-20</v>
      </c>
      <c r="DI169" s="22">
        <f t="shared" si="175"/>
        <v>1.2064859978720777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-3.177547114319168E-13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356.67698551373468</v>
      </c>
      <c r="T170" s="59">
        <f t="shared" si="142"/>
        <v>353.21836615408171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0.30297267743419581</v>
      </c>
      <c r="AA170" s="21">
        <f>EXP(-LN(2)/25)*AA169+(1-EXP(-LN(2)/25))/(LN(2)/25)*Calculateur!V170*Calculateur!X170*VLOOKUP('Données projet'!$B$9,Paramètres!$A$1:$I$89,3,0)*0.475*44/12</f>
        <v>0.67604152371526349</v>
      </c>
      <c r="AB170" s="21">
        <f>EXP(-LN(2)/2)*AB169+(1-EXP(-LN(2)/2))/(LN(2)/2)*V170*Y170*VLOOKUP('Données projet'!$B$9,Paramètres!$A$1:$I$89,3,0)*0.475*44/12</f>
        <v>7.791547499247387E-20</v>
      </c>
      <c r="AC170" s="22">
        <f t="shared" si="163"/>
        <v>0.97901420114945936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3.9017322706058616E-13</v>
      </c>
      <c r="AK170" s="13">
        <f t="shared" si="164"/>
        <v>5.0025007393608908E-12</v>
      </c>
      <c r="AL170" s="20">
        <f t="shared" si="165"/>
        <v>9.3922404915174053E-12</v>
      </c>
      <c r="AM170" s="59">
        <f t="shared" si="113"/>
        <v>293.33333333334269</v>
      </c>
      <c r="AN170" s="59">
        <f ca="1">AVERAGE(OFFSET($AM$3,0,0,'Données projet'!$E$10+1,1))-AVERAGE(OFFSET($H$3,0,0,'Données projet'!$E$10+1,1))</f>
        <v>240.30073883588199</v>
      </c>
      <c r="AO170" s="59">
        <f t="shared" si="144"/>
        <v>263.20351282678843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0.46118462526981169</v>
      </c>
      <c r="AV170" s="21">
        <f>EXP(-LN(2)/25)*AV169+(1-EXP(-LN(2)/25))/(LN(2)/25)*Calculateur!AQ170*Calculateur!AS170*VLOOKUP('Données projet'!$B$10,Paramètres!$A$1:$I$89,3,0)*0.475*44/12</f>
        <v>0.46576453794364969</v>
      </c>
      <c r="AW170" s="21">
        <f>EXP(-LN(2)/2)*AW169+(1-EXP(-LN(2)/2))/(LN(2)/2)*AQ170*AT170*VLOOKUP('Données projet'!$B$10,Paramètres!$A$1:$I$89,3,0)*0.475*44/12</f>
        <v>4.8372569514554645E-20</v>
      </c>
      <c r="AX170" s="21">
        <f t="shared" si="166"/>
        <v>0.92694916321346144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252.98248842635206</v>
      </c>
      <c r="BJ170" s="59">
        <f t="shared" si="146"/>
        <v>207.11938580878308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4.5474735088646412E-13</v>
      </c>
      <c r="BZ170" s="13">
        <f>BY170*VLOOKUP('Données projet'!$B$12,Paramètres!$A$1:$I$89,3,0)*VLOOKUP('Données projet'!$B$12,Paramètres!$A$1:$I$89,5,0)</f>
        <v>2.5420376914553347E-13</v>
      </c>
      <c r="CA170" s="13">
        <f t="shared" si="170"/>
        <v>3.4258699088369875E-12</v>
      </c>
      <c r="CB170" s="20">
        <f t="shared" si="171"/>
        <v>6.4094616558195571E-12</v>
      </c>
      <c r="CC170" s="59">
        <f t="shared" si="119"/>
        <v>293.33333333333974</v>
      </c>
      <c r="CD170" s="59">
        <f ca="1">AVERAGE(OFFSET($CC$3,0,0,'Données projet'!$E$12+1,1))-AVERAGE(OFFSET($H$3,0,0,'Données projet'!$E$12+1,1))</f>
        <v>401.06118089678654</v>
      </c>
      <c r="CE170" s="59">
        <f t="shared" si="148"/>
        <v>399.58193819355591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0.68168852422694026</v>
      </c>
      <c r="CL170" s="21">
        <f>EXP(-LN(2)/25)*CL169+(1-EXP(-LN(2)/25))/(LN(2)/25)*Calculateur!CG170*Calculateur!CI170*VLOOKUP('Données projet'!$B$12,Paramètres!$A$1:$I$89,3,0)*0.475*44/12</f>
        <v>0.74847217998930604</v>
      </c>
      <c r="CM170" s="21">
        <f>EXP(-LN(2)/2)*CM169+(1-EXP(-LN(2)/2))/(LN(2)/2)*CG170*CJ170*VLOOKUP('Données projet'!$B$12,Paramètres!$A$1:$I$89,3,0)*0.475*44/12</f>
        <v>7.8413019532655684E-20</v>
      </c>
      <c r="CN170" s="22">
        <f t="shared" si="172"/>
        <v>1.4301607042162463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285.77483300338548</v>
      </c>
      <c r="CZ170" s="59">
        <f t="shared" si="150"/>
        <v>320.55212417690637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0.55342155032377383</v>
      </c>
      <c r="DG170" s="21">
        <f>EXP(-LN(2)/25)*DG169+(1-EXP(-LN(2)/25))/(LN(2)/25)*Calculateur!DB170*Calculateur!DD170*VLOOKUP('Données projet'!$B$13,Paramètres!$A$1:$I$89,3,0)*0.475*44/12</f>
        <v>0.62443973537593422</v>
      </c>
      <c r="DH170" s="21">
        <f>EXP(-LN(2)/2)*DH169+(1-EXP(-LN(2)/2))/(LN(2)/2)*DB170*DE170*VLOOKUP('Données projet'!$B$13,Paramètres!$A$1:$I$89,3,0)*0.475*44/12</f>
        <v>5.8459665202280752E-20</v>
      </c>
      <c r="DI170" s="22">
        <f t="shared" si="175"/>
        <v>1.1778612856997079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-3.177547114319168E-13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356.67698551373468</v>
      </c>
      <c r="T171" s="59">
        <f t="shared" si="142"/>
        <v>353.21836615408171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0.29703156802479747</v>
      </c>
      <c r="AA171" s="21">
        <f>EXP(-LN(2)/25)*AA170+(1-EXP(-LN(2)/25))/(LN(2)/25)*Calculateur!V171*Calculateur!X171*VLOOKUP('Données projet'!$B$9,Paramètres!$A$1:$I$89,3,0)*0.475*44/12</f>
        <v>0.65755513269779098</v>
      </c>
      <c r="AB171" s="21">
        <f>EXP(-LN(2)/2)*AB170+(1-EXP(-LN(2)/2))/(LN(2)/2)*V171*Y171*VLOOKUP('Données projet'!$B$9,Paramètres!$A$1:$I$89,3,0)*0.475*44/12</f>
        <v>5.5094560726549137E-20</v>
      </c>
      <c r="AC171" s="22">
        <f t="shared" si="163"/>
        <v>0.95458670072258844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3.9017322706058616E-13</v>
      </c>
      <c r="AK171" s="13">
        <f t="shared" si="164"/>
        <v>5.0025007393608908E-12</v>
      </c>
      <c r="AL171" s="20">
        <f t="shared" si="165"/>
        <v>9.3922404915174053E-12</v>
      </c>
      <c r="AM171" s="59">
        <f t="shared" si="113"/>
        <v>293.33333333334269</v>
      </c>
      <c r="AN171" s="59">
        <f ca="1">AVERAGE(OFFSET($AM$3,0,0,'Données projet'!$E$10+1,1))-AVERAGE(OFFSET($H$3,0,0,'Données projet'!$E$10+1,1))</f>
        <v>240.30073883588199</v>
      </c>
      <c r="AO171" s="59">
        <f t="shared" si="144"/>
        <v>263.20351282678843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0.45214107606311654</v>
      </c>
      <c r="AV171" s="21">
        <f>EXP(-LN(2)/25)*AV170+(1-EXP(-LN(2)/25))/(LN(2)/25)*Calculateur!AQ171*Calculateur!AS171*VLOOKUP('Données projet'!$B$10,Paramètres!$A$1:$I$89,3,0)*0.475*44/12</f>
        <v>0.45302818216008806</v>
      </c>
      <c r="AW171" s="21">
        <f>EXP(-LN(2)/2)*AW170+(1-EXP(-LN(2)/2))/(LN(2)/2)*AQ171*AT171*VLOOKUP('Données projet'!$B$10,Paramètres!$A$1:$I$89,3,0)*0.475*44/12</f>
        <v>3.420457192715925E-20</v>
      </c>
      <c r="AX171" s="21">
        <f t="shared" si="166"/>
        <v>0.9051692582232046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252.98248842635206</v>
      </c>
      <c r="BJ171" s="59">
        <f t="shared" si="146"/>
        <v>207.11938580878308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4.5474735088646412E-13</v>
      </c>
      <c r="BZ171" s="13">
        <f>BY171*VLOOKUP('Données projet'!$B$12,Paramètres!$A$1:$I$89,3,0)*VLOOKUP('Données projet'!$B$12,Paramètres!$A$1:$I$89,5,0)</f>
        <v>2.5420376914553347E-13</v>
      </c>
      <c r="CA171" s="13">
        <f t="shared" si="170"/>
        <v>3.4258699088369875E-12</v>
      </c>
      <c r="CB171" s="20">
        <f t="shared" si="171"/>
        <v>6.4094616558195571E-12</v>
      </c>
      <c r="CC171" s="59">
        <f t="shared" si="119"/>
        <v>293.33333333333974</v>
      </c>
      <c r="CD171" s="59">
        <f ca="1">AVERAGE(OFFSET($CC$3,0,0,'Données projet'!$E$12+1,1))-AVERAGE(OFFSET($H$3,0,0,'Données projet'!$E$12+1,1))</f>
        <v>401.06118089678654</v>
      </c>
      <c r="CE171" s="59">
        <f t="shared" si="148"/>
        <v>399.58193819355591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0.66832102805579396</v>
      </c>
      <c r="CL171" s="21">
        <f>EXP(-LN(2)/25)*CL170+(1-EXP(-LN(2)/25))/(LN(2)/25)*Calculateur!CG171*Calculateur!CI171*VLOOKUP('Données projet'!$B$12,Paramètres!$A$1:$I$89,3,0)*0.475*44/12</f>
        <v>0.72800516886705713</v>
      </c>
      <c r="CM171" s="21">
        <f>EXP(-LN(2)/2)*CM170+(1-EXP(-LN(2)/2))/(LN(2)/2)*CG171*CJ171*VLOOKUP('Données projet'!$B$12,Paramètres!$A$1:$I$89,3,0)*0.475*44/12</f>
        <v>5.5446377844854038E-20</v>
      </c>
      <c r="CN171" s="22">
        <f t="shared" si="172"/>
        <v>1.3963261969228511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285.77483300338548</v>
      </c>
      <c r="CZ171" s="59">
        <f t="shared" si="150"/>
        <v>320.55212417690637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0.54256929127573961</v>
      </c>
      <c r="DG171" s="21">
        <f>EXP(-LN(2)/25)*DG170+(1-EXP(-LN(2)/25))/(LN(2)/25)*Calculateur!DB171*Calculateur!DD171*VLOOKUP('Données projet'!$B$13,Paramètres!$A$1:$I$89,3,0)*0.475*44/12</f>
        <v>0.60736439797422082</v>
      </c>
      <c r="DH171" s="21">
        <f>EXP(-LN(2)/2)*DH170+(1-EXP(-LN(2)/2))/(LN(2)/2)*DB171*DE171*VLOOKUP('Données projet'!$B$13,Paramètres!$A$1:$I$89,3,0)*0.475*44/12</f>
        <v>4.1337225690427963E-20</v>
      </c>
      <c r="DI171" s="22">
        <f t="shared" si="175"/>
        <v>1.1499336892499605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-3.177547114319168E-13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356.67698551373468</v>
      </c>
      <c r="T172" s="59">
        <f t="shared" si="142"/>
        <v>353.21836615408171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0.29120696014719849</v>
      </c>
      <c r="AA172" s="21">
        <f>EXP(-LN(2)/25)*AA171+(1-EXP(-LN(2)/25))/(LN(2)/25)*Calculateur!V172*Calculateur!X172*VLOOKUP('Données projet'!$B$9,Paramètres!$A$1:$I$89,3,0)*0.475*44/12</f>
        <v>0.63957425301484827</v>
      </c>
      <c r="AB172" s="21">
        <f>EXP(-LN(2)/2)*AB171+(1-EXP(-LN(2)/2))/(LN(2)/2)*V172*Y172*VLOOKUP('Données projet'!$B$9,Paramètres!$A$1:$I$89,3,0)*0.475*44/12</f>
        <v>3.8957737496236935E-20</v>
      </c>
      <c r="AC172" s="22">
        <f t="shared" si="163"/>
        <v>0.93078121316204676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3.9017322706058616E-13</v>
      </c>
      <c r="AK172" s="13">
        <f t="shared" si="164"/>
        <v>5.0025007393608908E-12</v>
      </c>
      <c r="AL172" s="20">
        <f t="shared" si="165"/>
        <v>9.3922404915174053E-12</v>
      </c>
      <c r="AM172" s="59">
        <f t="shared" si="113"/>
        <v>293.33333333334269</v>
      </c>
      <c r="AN172" s="59">
        <f ca="1">AVERAGE(OFFSET($AM$3,0,0,'Données projet'!$E$10+1,1))-AVERAGE(OFFSET($H$3,0,0,'Données projet'!$E$10+1,1))</f>
        <v>240.30073883588199</v>
      </c>
      <c r="AO172" s="59">
        <f t="shared" si="144"/>
        <v>263.20351282678843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0.44327486534034433</v>
      </c>
      <c r="AV172" s="21">
        <f>EXP(-LN(2)/25)*AV171+(1-EXP(-LN(2)/25))/(LN(2)/25)*Calculateur!AQ172*Calculateur!AS172*VLOOKUP('Données projet'!$B$10,Paramètres!$A$1:$I$89,3,0)*0.475*44/12</f>
        <v>0.44064010269520376</v>
      </c>
      <c r="AW172" s="21">
        <f>EXP(-LN(2)/2)*AW171+(1-EXP(-LN(2)/2))/(LN(2)/2)*AQ172*AT172*VLOOKUP('Données projet'!$B$10,Paramètres!$A$1:$I$89,3,0)*0.475*44/12</f>
        <v>2.4186284757277323E-20</v>
      </c>
      <c r="AX172" s="21">
        <f t="shared" si="166"/>
        <v>0.88391496803554803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252.98248842635206</v>
      </c>
      <c r="BJ172" s="59">
        <f t="shared" si="146"/>
        <v>207.11938580878308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4.5474735088646412E-13</v>
      </c>
      <c r="BZ172" s="13">
        <f>BY172*VLOOKUP('Données projet'!$B$12,Paramètres!$A$1:$I$89,3,0)*VLOOKUP('Données projet'!$B$12,Paramètres!$A$1:$I$89,5,0)</f>
        <v>2.5420376914553347E-13</v>
      </c>
      <c r="CA172" s="13">
        <f t="shared" si="170"/>
        <v>3.4258699088369875E-12</v>
      </c>
      <c r="CB172" s="20">
        <f t="shared" si="171"/>
        <v>6.4094616558195571E-12</v>
      </c>
      <c r="CC172" s="59">
        <f t="shared" si="119"/>
        <v>293.33333333333974</v>
      </c>
      <c r="CD172" s="59">
        <f ca="1">AVERAGE(OFFSET($CC$3,0,0,'Données projet'!$E$12+1,1))-AVERAGE(OFFSET($H$3,0,0,'Données projet'!$E$12+1,1))</f>
        <v>401.06118089678654</v>
      </c>
      <c r="CE172" s="59">
        <f t="shared" si="148"/>
        <v>399.58193819355591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0.65521566033119627</v>
      </c>
      <c r="CL172" s="21">
        <f>EXP(-LN(2)/25)*CL171+(1-EXP(-LN(2)/25))/(LN(2)/25)*Calculateur!CG172*Calculateur!CI172*VLOOKUP('Données projet'!$B$12,Paramètres!$A$1:$I$89,3,0)*0.475*44/12</f>
        <v>0.70809782924025955</v>
      </c>
      <c r="CM172" s="21">
        <f>EXP(-LN(2)/2)*CM171+(1-EXP(-LN(2)/2))/(LN(2)/2)*CG172*CJ172*VLOOKUP('Données projet'!$B$12,Paramètres!$A$1:$I$89,3,0)*0.475*44/12</f>
        <v>3.9206509766327842E-20</v>
      </c>
      <c r="CN172" s="22">
        <f t="shared" si="172"/>
        <v>1.3633134895714558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285.77483300338548</v>
      </c>
      <c r="CZ172" s="59">
        <f t="shared" si="150"/>
        <v>320.55212417690637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0.5319298384084129</v>
      </c>
      <c r="DG172" s="21">
        <f>EXP(-LN(2)/25)*DG171+(1-EXP(-LN(2)/25))/(LN(2)/25)*Calculateur!DB172*Calculateur!DD172*VLOOKUP('Données projet'!$B$13,Paramètres!$A$1:$I$89,3,0)*0.475*44/12</f>
        <v>0.59075598657171025</v>
      </c>
      <c r="DH172" s="21">
        <f>EXP(-LN(2)/2)*DH171+(1-EXP(-LN(2)/2))/(LN(2)/2)*DB172*DE172*VLOOKUP('Données projet'!$B$13,Paramètres!$A$1:$I$89,3,0)*0.475*44/12</f>
        <v>2.9229832601140376E-20</v>
      </c>
      <c r="DI172" s="22">
        <f t="shared" si="175"/>
        <v>1.122685824980123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-3.177547114319168E-13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356.67698551373468</v>
      </c>
      <c r="T173" s="59">
        <f t="shared" si="142"/>
        <v>353.21836615408171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0.28549656927741923</v>
      </c>
      <c r="AA173" s="21">
        <f>EXP(-LN(2)/25)*AA172+(1-EXP(-LN(2)/25))/(LN(2)/25)*Calculateur!V173*Calculateur!X173*VLOOKUP('Données projet'!$B$9,Paramètres!$A$1:$I$89,3,0)*0.475*44/12</f>
        <v>0.62208506143240905</v>
      </c>
      <c r="AB173" s="21">
        <f>EXP(-LN(2)/2)*AB172+(1-EXP(-LN(2)/2))/(LN(2)/2)*V173*Y173*VLOOKUP('Données projet'!$B$9,Paramètres!$A$1:$I$89,3,0)*0.475*44/12</f>
        <v>2.7547280363274569E-20</v>
      </c>
      <c r="AC173" s="22">
        <f t="shared" si="163"/>
        <v>0.90758163070982834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3.9017322706058616E-13</v>
      </c>
      <c r="AK173" s="13">
        <f t="shared" si="164"/>
        <v>5.0025007393608908E-12</v>
      </c>
      <c r="AL173" s="20">
        <f t="shared" si="165"/>
        <v>9.3922404915174053E-12</v>
      </c>
      <c r="AM173" s="59">
        <f t="shared" si="113"/>
        <v>293.33333333334269</v>
      </c>
      <c r="AN173" s="59">
        <f ca="1">AVERAGE(OFFSET($AM$3,0,0,'Données projet'!$E$10+1,1))-AVERAGE(OFFSET($H$3,0,0,'Données projet'!$E$10+1,1))</f>
        <v>240.30073883588199</v>
      </c>
      <c r="AO173" s="59">
        <f t="shared" si="144"/>
        <v>263.20351282678843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0.43458251560199113</v>
      </c>
      <c r="AV173" s="21">
        <f>EXP(-LN(2)/25)*AV172+(1-EXP(-LN(2)/25))/(LN(2)/25)*Calculateur!AQ173*Calculateur!AS173*VLOOKUP('Données projet'!$B$10,Paramètres!$A$1:$I$89,3,0)*0.475*44/12</f>
        <v>0.42859077591474753</v>
      </c>
      <c r="AW173" s="21">
        <f>EXP(-LN(2)/2)*AW172+(1-EXP(-LN(2)/2))/(LN(2)/2)*AQ173*AT173*VLOOKUP('Données projet'!$B$10,Paramètres!$A$1:$I$89,3,0)*0.475*44/12</f>
        <v>1.7102285963579625E-20</v>
      </c>
      <c r="AX173" s="21">
        <f t="shared" si="166"/>
        <v>0.86317329151673872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252.98248842635206</v>
      </c>
      <c r="BJ173" s="59">
        <f t="shared" si="146"/>
        <v>207.11938580878308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4.5474735088646412E-13</v>
      </c>
      <c r="BZ173" s="13">
        <f>BY173*VLOOKUP('Données projet'!$B$12,Paramètres!$A$1:$I$89,3,0)*VLOOKUP('Données projet'!$B$12,Paramètres!$A$1:$I$89,5,0)</f>
        <v>2.5420376914553347E-13</v>
      </c>
      <c r="CA173" s="13">
        <f t="shared" si="170"/>
        <v>3.4258699088369875E-12</v>
      </c>
      <c r="CB173" s="20">
        <f t="shared" si="171"/>
        <v>6.4094616558195571E-12</v>
      </c>
      <c r="CC173" s="59">
        <f t="shared" si="119"/>
        <v>293.33333333333974</v>
      </c>
      <c r="CD173" s="59">
        <f ca="1">AVERAGE(OFFSET($CC$3,0,0,'Données projet'!$E$12+1,1))-AVERAGE(OFFSET($H$3,0,0,'Données projet'!$E$12+1,1))</f>
        <v>401.06118089678654</v>
      </c>
      <c r="CE173" s="59">
        <f t="shared" si="148"/>
        <v>399.58193819355591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0.64236728087419293</v>
      </c>
      <c r="CL173" s="21">
        <f>EXP(-LN(2)/25)*CL172+(1-EXP(-LN(2)/25))/(LN(2)/25)*Calculateur!CG173*Calculateur!CI173*VLOOKUP('Données projet'!$B$12,Paramètres!$A$1:$I$89,3,0)*0.475*44/12</f>
        <v>0.68873485686243818</v>
      </c>
      <c r="CM173" s="21">
        <f>EXP(-LN(2)/2)*CM172+(1-EXP(-LN(2)/2))/(LN(2)/2)*CG173*CJ173*VLOOKUP('Données projet'!$B$12,Paramètres!$A$1:$I$89,3,0)*0.475*44/12</f>
        <v>2.7723188922427019E-20</v>
      </c>
      <c r="CN173" s="22">
        <f t="shared" si="172"/>
        <v>1.331102137736631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285.77483300338548</v>
      </c>
      <c r="CZ173" s="59">
        <f t="shared" si="150"/>
        <v>320.55212417690637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0.52149901872238902</v>
      </c>
      <c r="DG173" s="21">
        <f>EXP(-LN(2)/25)*DG172+(1-EXP(-LN(2)/25))/(LN(2)/25)*Calculateur!DB173*Calculateur!DD173*VLOOKUP('Données projet'!$B$13,Paramètres!$A$1:$I$89,3,0)*0.475*44/12</f>
        <v>0.5746017330523997</v>
      </c>
      <c r="DH173" s="21">
        <f>EXP(-LN(2)/2)*DH172+(1-EXP(-LN(2)/2))/(LN(2)/2)*DB173*DE173*VLOOKUP('Données projet'!$B$13,Paramètres!$A$1:$I$89,3,0)*0.475*44/12</f>
        <v>2.0668612845213981E-20</v>
      </c>
      <c r="DI173" s="22">
        <f t="shared" si="175"/>
        <v>1.0961007517747887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-3.177547114319168E-13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356.67698551373468</v>
      </c>
      <c r="T174" s="59">
        <f t="shared" si="142"/>
        <v>353.21836615408171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0.2798981556896018</v>
      </c>
      <c r="AA174" s="21">
        <f>EXP(-LN(2)/25)*AA173+(1-EXP(-LN(2)/25))/(LN(2)/25)*Calculateur!V174*Calculateur!X174*VLOOKUP('Données projet'!$B$9,Paramètres!$A$1:$I$89,3,0)*0.475*44/12</f>
        <v>0.60507411271350819</v>
      </c>
      <c r="AB174" s="21">
        <f>EXP(-LN(2)/2)*AB173+(1-EXP(-LN(2)/2))/(LN(2)/2)*V174*Y174*VLOOKUP('Données projet'!$B$9,Paramètres!$A$1:$I$89,3,0)*0.475*44/12</f>
        <v>1.9478868748118468E-20</v>
      </c>
      <c r="AC174" s="22">
        <f t="shared" si="163"/>
        <v>0.88497226840311005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3.9017322706058616E-13</v>
      </c>
      <c r="AK174" s="13">
        <f t="shared" si="164"/>
        <v>5.0025007393608908E-12</v>
      </c>
      <c r="AL174" s="20">
        <f t="shared" si="165"/>
        <v>9.3922404915174053E-12</v>
      </c>
      <c r="AM174" s="59">
        <f t="shared" si="113"/>
        <v>293.33333333334269</v>
      </c>
      <c r="AN174" s="59">
        <f ca="1">AVERAGE(OFFSET($AM$3,0,0,'Données projet'!$E$10+1,1))-AVERAGE(OFFSET($H$3,0,0,'Données projet'!$E$10+1,1))</f>
        <v>240.30073883588199</v>
      </c>
      <c r="AO174" s="59">
        <f t="shared" si="144"/>
        <v>263.20351282678843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0.4260606175401972</v>
      </c>
      <c r="AV174" s="21">
        <f>EXP(-LN(2)/25)*AV173+(1-EXP(-LN(2)/25))/(LN(2)/25)*Calculateur!AQ174*Calculateur!AS174*VLOOKUP('Données projet'!$B$10,Paramètres!$A$1:$I$89,3,0)*0.475*44/12</f>
        <v>0.41687093860874941</v>
      </c>
      <c r="AW174" s="21">
        <f>EXP(-LN(2)/2)*AW173+(1-EXP(-LN(2)/2))/(LN(2)/2)*AQ174*AT174*VLOOKUP('Données projet'!$B$10,Paramètres!$A$1:$I$89,3,0)*0.475*44/12</f>
        <v>1.2093142378638661E-20</v>
      </c>
      <c r="AX174" s="21">
        <f t="shared" si="166"/>
        <v>0.84293155614894655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252.98248842635206</v>
      </c>
      <c r="BJ174" s="59">
        <f t="shared" si="146"/>
        <v>207.11938580878308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4.5474735088646412E-13</v>
      </c>
      <c r="BZ174" s="13">
        <f>BY174*VLOOKUP('Données projet'!$B$12,Paramètres!$A$1:$I$89,3,0)*VLOOKUP('Données projet'!$B$12,Paramètres!$A$1:$I$89,5,0)</f>
        <v>2.5420376914553347E-13</v>
      </c>
      <c r="CA174" s="13">
        <f t="shared" si="170"/>
        <v>3.4258699088369875E-12</v>
      </c>
      <c r="CB174" s="20">
        <f t="shared" si="171"/>
        <v>6.4094616558195571E-12</v>
      </c>
      <c r="CC174" s="59">
        <f t="shared" si="119"/>
        <v>293.33333333333974</v>
      </c>
      <c r="CD174" s="59">
        <f ca="1">AVERAGE(OFFSET($CC$3,0,0,'Données projet'!$E$12+1,1))-AVERAGE(OFFSET($H$3,0,0,'Données projet'!$E$12+1,1))</f>
        <v>401.06118089678654</v>
      </c>
      <c r="CE174" s="59">
        <f t="shared" si="148"/>
        <v>399.58193819355591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0.62977085030160374</v>
      </c>
      <c r="CL174" s="21">
        <f>EXP(-LN(2)/25)*CL173+(1-EXP(-LN(2)/25))/(LN(2)/25)*Calculateur!CG174*Calculateur!CI174*VLOOKUP('Données projet'!$B$12,Paramètres!$A$1:$I$89,3,0)*0.475*44/12</f>
        <v>0.6699013659825428</v>
      </c>
      <c r="CM174" s="21">
        <f>EXP(-LN(2)/2)*CM173+(1-EXP(-LN(2)/2))/(LN(2)/2)*CG174*CJ174*VLOOKUP('Données projet'!$B$12,Paramètres!$A$1:$I$89,3,0)*0.475*44/12</f>
        <v>1.9603254883163921E-20</v>
      </c>
      <c r="CN174" s="22">
        <f t="shared" si="172"/>
        <v>1.2996722162841465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285.77483300338548</v>
      </c>
      <c r="CZ174" s="59">
        <f t="shared" si="150"/>
        <v>320.55212417690637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0.51127274104823628</v>
      </c>
      <c r="DG174" s="21">
        <f>EXP(-LN(2)/25)*DG173+(1-EXP(-LN(2)/25))/(LN(2)/25)*Calculateur!DB174*Calculateur!DD174*VLOOKUP('Données projet'!$B$13,Paramètres!$A$1:$I$89,3,0)*0.475*44/12</f>
        <v>0.55888921844508999</v>
      </c>
      <c r="DH174" s="21">
        <f>EXP(-LN(2)/2)*DH173+(1-EXP(-LN(2)/2))/(LN(2)/2)*DB174*DE174*VLOOKUP('Données projet'!$B$13,Paramètres!$A$1:$I$89,3,0)*0.475*44/12</f>
        <v>1.4614916300570188E-20</v>
      </c>
      <c r="DI174" s="22">
        <f t="shared" si="175"/>
        <v>1.0701619594933263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-3.177547114319168E-13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356.67698551373468</v>
      </c>
      <c r="T175" s="59">
        <f t="shared" si="142"/>
        <v>353.21836615408171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0.27440952357754639</v>
      </c>
      <c r="AA175" s="21">
        <f>EXP(-LN(2)/25)*AA174+(1-EXP(-LN(2)/25))/(LN(2)/25)*Calculateur!V175*Calculateur!X175*VLOOKUP('Données projet'!$B$9,Paramètres!$A$1:$I$89,3,0)*0.475*44/12</f>
        <v>0.58852832928189269</v>
      </c>
      <c r="AB175" s="21">
        <f>EXP(-LN(2)/2)*AB174+(1-EXP(-LN(2)/2))/(LN(2)/2)*V175*Y175*VLOOKUP('Données projet'!$B$9,Paramètres!$A$1:$I$89,3,0)*0.475*44/12</f>
        <v>1.3773640181637284E-20</v>
      </c>
      <c r="AC175" s="22">
        <f t="shared" si="163"/>
        <v>0.86293785285943914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3.9017322706058616E-13</v>
      </c>
      <c r="AK175" s="13">
        <f t="shared" si="164"/>
        <v>5.0025007393608908E-12</v>
      </c>
      <c r="AL175" s="20">
        <f t="shared" si="165"/>
        <v>9.3922404915174053E-12</v>
      </c>
      <c r="AM175" s="59">
        <f t="shared" si="113"/>
        <v>293.33333333334269</v>
      </c>
      <c r="AN175" s="59">
        <f ca="1">AVERAGE(OFFSET($AM$3,0,0,'Données projet'!$E$10+1,1))-AVERAGE(OFFSET($H$3,0,0,'Données projet'!$E$10+1,1))</f>
        <v>240.30073883588199</v>
      </c>
      <c r="AO175" s="59">
        <f t="shared" si="144"/>
        <v>263.20351282678843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0.41770582870155049</v>
      </c>
      <c r="AV175" s="21">
        <f>EXP(-LN(2)/25)*AV174+(1-EXP(-LN(2)/25))/(LN(2)/25)*Calculateur!AQ175*Calculateur!AS175*VLOOKUP('Données projet'!$B$10,Paramètres!$A$1:$I$89,3,0)*0.475*44/12</f>
        <v>0.40547158087020324</v>
      </c>
      <c r="AW175" s="21">
        <f>EXP(-LN(2)/2)*AW174+(1-EXP(-LN(2)/2))/(LN(2)/2)*AQ175*AT175*VLOOKUP('Données projet'!$B$10,Paramètres!$A$1:$I$89,3,0)*0.475*44/12</f>
        <v>8.5511429817898126E-21</v>
      </c>
      <c r="AX175" s="21">
        <f t="shared" si="166"/>
        <v>0.82317740957175367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252.98248842635206</v>
      </c>
      <c r="BJ175" s="59">
        <f t="shared" si="146"/>
        <v>207.11938580878308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4.5474735088646412E-13</v>
      </c>
      <c r="BZ175" s="13">
        <f>BY175*VLOOKUP('Données projet'!$B$12,Paramètres!$A$1:$I$89,3,0)*VLOOKUP('Données projet'!$B$12,Paramètres!$A$1:$I$89,5,0)</f>
        <v>2.5420376914553347E-13</v>
      </c>
      <c r="CA175" s="13">
        <f t="shared" si="170"/>
        <v>3.4258699088369875E-12</v>
      </c>
      <c r="CB175" s="20">
        <f t="shared" si="171"/>
        <v>6.4094616558195571E-12</v>
      </c>
      <c r="CC175" s="59">
        <f t="shared" si="119"/>
        <v>293.33333333333974</v>
      </c>
      <c r="CD175" s="59">
        <f ca="1">AVERAGE(OFFSET($CC$3,0,0,'Données projet'!$E$12+1,1))-AVERAGE(OFFSET($H$3,0,0,'Données projet'!$E$12+1,1))</f>
        <v>401.06118089678654</v>
      </c>
      <c r="CE175" s="59">
        <f t="shared" si="148"/>
        <v>399.58193819355591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0.61742142804947908</v>
      </c>
      <c r="CL175" s="21">
        <f>EXP(-LN(2)/25)*CL174+(1-EXP(-LN(2)/25))/(LN(2)/25)*Calculateur!CG175*Calculateur!CI175*VLOOKUP('Données projet'!$B$12,Paramètres!$A$1:$I$89,3,0)*0.475*44/12</f>
        <v>0.65158287790116842</v>
      </c>
      <c r="CM175" s="21">
        <f>EXP(-LN(2)/2)*CM174+(1-EXP(-LN(2)/2))/(LN(2)/2)*CG175*CJ175*VLOOKUP('Données projet'!$B$12,Paramètres!$A$1:$I$89,3,0)*0.475*44/12</f>
        <v>1.3861594461213509E-20</v>
      </c>
      <c r="CN175" s="22">
        <f t="shared" si="172"/>
        <v>1.2690043059506475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285.77483300338548</v>
      </c>
      <c r="CZ175" s="59">
        <f t="shared" si="150"/>
        <v>320.55212417690637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0.50124699444186016</v>
      </c>
      <c r="DG175" s="21">
        <f>EXP(-LN(2)/25)*DG174+(1-EXP(-LN(2)/25))/(LN(2)/25)*Calculateur!DB175*Calculateur!DD175*VLOOKUP('Données projet'!$B$13,Paramètres!$A$1:$I$89,3,0)*0.475*44/12</f>
        <v>0.54360636337600232</v>
      </c>
      <c r="DH175" s="21">
        <f>EXP(-LN(2)/2)*DH174+(1-EXP(-LN(2)/2))/(LN(2)/2)*DB175*DE175*VLOOKUP('Données projet'!$B$13,Paramètres!$A$1:$I$89,3,0)*0.475*44/12</f>
        <v>1.0334306422606991E-20</v>
      </c>
      <c r="DI175" s="22">
        <f t="shared" si="175"/>
        <v>1.0448533578178625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-3.177547114319168E-13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356.67698551373468</v>
      </c>
      <c r="T176" s="59">
        <f t="shared" si="142"/>
        <v>353.21836615408171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0.26902852019347334</v>
      </c>
      <c r="AA176" s="21">
        <f>EXP(-LN(2)/25)*AA175+(1-EXP(-LN(2)/25))/(LN(2)/25)*Calculateur!V176*Calculateur!X176*VLOOKUP('Données projet'!$B$9,Paramètres!$A$1:$I$89,3,0)*0.475*44/12</f>
        <v>0.57243499116831964</v>
      </c>
      <c r="AB176" s="21">
        <f>EXP(-LN(2)/2)*AB175+(1-EXP(-LN(2)/2))/(LN(2)/2)*V176*Y176*VLOOKUP('Données projet'!$B$9,Paramètres!$A$1:$I$89,3,0)*0.475*44/12</f>
        <v>9.7394343740592338E-21</v>
      </c>
      <c r="AC176" s="22">
        <f t="shared" si="163"/>
        <v>0.84146351136179298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3.9017322706058616E-13</v>
      </c>
      <c r="AK176" s="13">
        <f t="shared" si="164"/>
        <v>5.0025007393608908E-12</v>
      </c>
      <c r="AL176" s="20">
        <f t="shared" si="165"/>
        <v>9.3922404915174053E-12</v>
      </c>
      <c r="AM176" s="59">
        <f t="shared" si="113"/>
        <v>293.33333333334269</v>
      </c>
      <c r="AN176" s="59">
        <f ca="1">AVERAGE(OFFSET($AM$3,0,0,'Données projet'!$E$10+1,1))-AVERAGE(OFFSET($H$3,0,0,'Données projet'!$E$10+1,1))</f>
        <v>240.30073883588199</v>
      </c>
      <c r="AO176" s="59">
        <f t="shared" si="144"/>
        <v>263.20351282678843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0.4095148721761116</v>
      </c>
      <c r="AV176" s="21">
        <f>EXP(-LN(2)/25)*AV175+(1-EXP(-LN(2)/25))/(LN(2)/25)*Calculateur!AQ176*Calculateur!AS176*VLOOKUP('Données projet'!$B$10,Paramètres!$A$1:$I$89,3,0)*0.475*44/12</f>
        <v>0.3943839391684838</v>
      </c>
      <c r="AW176" s="21">
        <f>EXP(-LN(2)/2)*AW175+(1-EXP(-LN(2)/2))/(LN(2)/2)*AQ176*AT176*VLOOKUP('Données projet'!$B$10,Paramètres!$A$1:$I$89,3,0)*0.475*44/12</f>
        <v>6.0465711893193307E-21</v>
      </c>
      <c r="AX176" s="21">
        <f t="shared" si="166"/>
        <v>0.8038988113445954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252.98248842635206</v>
      </c>
      <c r="BJ176" s="59">
        <f t="shared" si="146"/>
        <v>207.11938580878308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4.5474735088646412E-13</v>
      </c>
      <c r="BZ176" s="13">
        <f>BY176*VLOOKUP('Données projet'!$B$12,Paramètres!$A$1:$I$89,3,0)*VLOOKUP('Données projet'!$B$12,Paramètres!$A$1:$I$89,5,0)</f>
        <v>2.5420376914553347E-13</v>
      </c>
      <c r="CA176" s="13">
        <f t="shared" si="170"/>
        <v>3.4258699088369875E-12</v>
      </c>
      <c r="CB176" s="20">
        <f t="shared" si="171"/>
        <v>6.4094616558195571E-12</v>
      </c>
      <c r="CC176" s="59">
        <f t="shared" si="119"/>
        <v>293.33333333333974</v>
      </c>
      <c r="CD176" s="59">
        <f ca="1">AVERAGE(OFFSET($CC$3,0,0,'Données projet'!$E$12+1,1))-AVERAGE(OFFSET($H$3,0,0,'Données projet'!$E$12+1,1))</f>
        <v>401.06118089678654</v>
      </c>
      <c r="CE176" s="59">
        <f t="shared" si="148"/>
        <v>399.58193819355591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0.60531417043531477</v>
      </c>
      <c r="CL176" s="21">
        <f>EXP(-LN(2)/25)*CL175+(1-EXP(-LN(2)/25))/(LN(2)/25)*Calculateur!CG176*Calculateur!CI176*VLOOKUP('Données projet'!$B$12,Paramètres!$A$1:$I$89,3,0)*0.475*44/12</f>
        <v>0.63376530983970658</v>
      </c>
      <c r="CM176" s="21">
        <f>EXP(-LN(2)/2)*CM175+(1-EXP(-LN(2)/2))/(LN(2)/2)*CG176*CJ176*VLOOKUP('Données projet'!$B$12,Paramètres!$A$1:$I$89,3,0)*0.475*44/12</f>
        <v>9.8016274415819605E-21</v>
      </c>
      <c r="CN176" s="22">
        <f t="shared" si="172"/>
        <v>1.2390794802750213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285.77483300338548</v>
      </c>
      <c r="CZ176" s="59">
        <f t="shared" si="150"/>
        <v>320.55212417690637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0.49141784661133353</v>
      </c>
      <c r="DG176" s="21">
        <f>EXP(-LN(2)/25)*DG175+(1-EXP(-LN(2)/25))/(LN(2)/25)*Calculateur!DB176*Calculateur!DD176*VLOOKUP('Données projet'!$B$13,Paramètres!$A$1:$I$89,3,0)*0.475*44/12</f>
        <v>0.52874141878246927</v>
      </c>
      <c r="DH176" s="21">
        <f>EXP(-LN(2)/2)*DH175+(1-EXP(-LN(2)/2))/(LN(2)/2)*DB176*DE176*VLOOKUP('Données projet'!$B$13,Paramètres!$A$1:$I$89,3,0)*0.475*44/12</f>
        <v>7.3074581502850939E-21</v>
      </c>
      <c r="DI176" s="22">
        <f t="shared" si="175"/>
        <v>1.0201592653938027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-3.177547114319168E-13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356.67698551373468</v>
      </c>
      <c r="T177" s="59">
        <f t="shared" si="142"/>
        <v>353.21836615408171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0.26375303500367397</v>
      </c>
      <c r="AA177" s="21">
        <f>EXP(-LN(2)/25)*AA176+(1-EXP(-LN(2)/25))/(LN(2)/25)*Calculateur!V177*Calculateur!X177*VLOOKUP('Données projet'!$B$9,Paramètres!$A$1:$I$89,3,0)*0.475*44/12</f>
        <v>0.55678172623177402</v>
      </c>
      <c r="AB177" s="21">
        <f>EXP(-LN(2)/2)*AB176+(1-EXP(-LN(2)/2))/(LN(2)/2)*V177*Y177*VLOOKUP('Données projet'!$B$9,Paramètres!$A$1:$I$89,3,0)*0.475*44/12</f>
        <v>6.8868200908186421E-21</v>
      </c>
      <c r="AC177" s="22">
        <f t="shared" si="163"/>
        <v>0.820534761235448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3.9017322706058616E-13</v>
      </c>
      <c r="AK177" s="13">
        <f t="shared" si="164"/>
        <v>5.0025007393608908E-12</v>
      </c>
      <c r="AL177" s="20">
        <f t="shared" si="165"/>
        <v>9.3922404915174053E-12</v>
      </c>
      <c r="AM177" s="59">
        <f t="shared" si="113"/>
        <v>293.33333333334269</v>
      </c>
      <c r="AN177" s="59">
        <f ca="1">AVERAGE(OFFSET($AM$3,0,0,'Données projet'!$E$10+1,1))-AVERAGE(OFFSET($H$3,0,0,'Données projet'!$E$10+1,1))</f>
        <v>240.30073883588199</v>
      </c>
      <c r="AO177" s="59">
        <f t="shared" si="144"/>
        <v>263.20351282678843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0.4014845353121464</v>
      </c>
      <c r="AV177" s="21">
        <f>EXP(-LN(2)/25)*AV176+(1-EXP(-LN(2)/25))/(LN(2)/25)*Calculateur!AQ177*Calculateur!AS177*VLOOKUP('Données projet'!$B$10,Paramètres!$A$1:$I$89,3,0)*0.475*44/12</f>
        <v>0.38359948961217161</v>
      </c>
      <c r="AW177" s="21">
        <f>EXP(-LN(2)/2)*AW176+(1-EXP(-LN(2)/2))/(LN(2)/2)*AQ177*AT177*VLOOKUP('Données projet'!$B$10,Paramètres!$A$1:$I$89,3,0)*0.475*44/12</f>
        <v>4.2755714908949063E-21</v>
      </c>
      <c r="AX177" s="21">
        <f t="shared" si="166"/>
        <v>0.78508402492431806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252.98248842635206</v>
      </c>
      <c r="BJ177" s="59">
        <f t="shared" si="146"/>
        <v>207.11938580878308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4.5474735088646412E-13</v>
      </c>
      <c r="BZ177" s="13">
        <f>BY177*VLOOKUP('Données projet'!$B$12,Paramètres!$A$1:$I$89,3,0)*VLOOKUP('Données projet'!$B$12,Paramètres!$A$1:$I$89,5,0)</f>
        <v>2.5420376914553347E-13</v>
      </c>
      <c r="CA177" s="13">
        <f t="shared" si="170"/>
        <v>3.4258699088369875E-12</v>
      </c>
      <c r="CB177" s="20">
        <f t="shared" si="171"/>
        <v>6.4094616558195571E-12</v>
      </c>
      <c r="CC177" s="59">
        <f t="shared" si="119"/>
        <v>293.33333333333974</v>
      </c>
      <c r="CD177" s="59">
        <f ca="1">AVERAGE(OFFSET($CC$3,0,0,'Données projet'!$E$12+1,1))-AVERAGE(OFFSET($H$3,0,0,'Données projet'!$E$12+1,1))</f>
        <v>401.06118089678654</v>
      </c>
      <c r="CE177" s="59">
        <f t="shared" si="148"/>
        <v>399.58193819355591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0.59344432875826625</v>
      </c>
      <c r="CL177" s="21">
        <f>EXP(-LN(2)/25)*CL176+(1-EXP(-LN(2)/25))/(LN(2)/25)*Calculateur!CG177*Calculateur!CI177*VLOOKUP('Données projet'!$B$12,Paramètres!$A$1:$I$89,3,0)*0.475*44/12</f>
        <v>0.61643496411387066</v>
      </c>
      <c r="CM177" s="21">
        <f>EXP(-LN(2)/2)*CM176+(1-EXP(-LN(2)/2))/(LN(2)/2)*CG177*CJ177*VLOOKUP('Données projet'!$B$12,Paramètres!$A$1:$I$89,3,0)*0.475*44/12</f>
        <v>6.9307972306067547E-21</v>
      </c>
      <c r="CN177" s="22">
        <f t="shared" si="172"/>
        <v>1.2098792928721369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285.77483300338548</v>
      </c>
      <c r="CZ177" s="59">
        <f t="shared" si="150"/>
        <v>320.55212417690637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0.48178144237457532</v>
      </c>
      <c r="DG177" s="21">
        <f>EXP(-LN(2)/25)*DG176+(1-EXP(-LN(2)/25))/(LN(2)/25)*Calculateur!DB177*Calculateur!DD177*VLOOKUP('Données projet'!$B$13,Paramètres!$A$1:$I$89,3,0)*0.475*44/12</f>
        <v>0.51428295688055992</v>
      </c>
      <c r="DH177" s="21">
        <f>EXP(-LN(2)/2)*DH176+(1-EXP(-LN(2)/2))/(LN(2)/2)*DB177*DE177*VLOOKUP('Données projet'!$B$13,Paramètres!$A$1:$I$89,3,0)*0.475*44/12</f>
        <v>5.1671532113034953E-21</v>
      </c>
      <c r="DI177" s="22">
        <f t="shared" si="175"/>
        <v>0.99606439925513524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-3.177547114319168E-13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356.67698551373468</v>
      </c>
      <c r="T178" s="59">
        <f t="shared" si="142"/>
        <v>353.21836615408171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0.25858099886071834</v>
      </c>
      <c r="AA178" s="21">
        <f>EXP(-LN(2)/25)*AA177+(1-EXP(-LN(2)/25))/(LN(2)/25)*Calculateur!V178*Calculateur!X178*VLOOKUP('Données projet'!$B$9,Paramètres!$A$1:$I$89,3,0)*0.475*44/12</f>
        <v>0.54155650064808769</v>
      </c>
      <c r="AB178" s="21">
        <f>EXP(-LN(2)/2)*AB177+(1-EXP(-LN(2)/2))/(LN(2)/2)*V178*Y178*VLOOKUP('Données projet'!$B$9,Paramètres!$A$1:$I$89,3,0)*0.475*44/12</f>
        <v>4.8697171870296169E-21</v>
      </c>
      <c r="AC178" s="22">
        <f t="shared" si="163"/>
        <v>0.80013749950880597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3.9017322706058616E-13</v>
      </c>
      <c r="AK178" s="13">
        <f t="shared" si="164"/>
        <v>5.0025007393608908E-12</v>
      </c>
      <c r="AL178" s="20">
        <f t="shared" si="165"/>
        <v>9.3922404915174053E-12</v>
      </c>
      <c r="AM178" s="59">
        <f t="shared" si="113"/>
        <v>293.33333333334269</v>
      </c>
      <c r="AN178" s="59">
        <f ca="1">AVERAGE(OFFSET($AM$3,0,0,'Données projet'!$E$10+1,1))-AVERAGE(OFFSET($H$3,0,0,'Données projet'!$E$10+1,1))</f>
        <v>240.30073883588199</v>
      </c>
      <c r="AO178" s="59">
        <f t="shared" si="144"/>
        <v>263.20351282678843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0.39361166845606171</v>
      </c>
      <c r="AV178" s="21">
        <f>EXP(-LN(2)/25)*AV177+(1-EXP(-LN(2)/25))/(LN(2)/25)*Calculateur!AQ178*Calculateur!AS178*VLOOKUP('Données projet'!$B$10,Paramètres!$A$1:$I$89,3,0)*0.475*44/12</f>
        <v>0.37310994139610637</v>
      </c>
      <c r="AW178" s="21">
        <f>EXP(-LN(2)/2)*AW177+(1-EXP(-LN(2)/2))/(LN(2)/2)*AQ178*AT178*VLOOKUP('Données projet'!$B$10,Paramètres!$A$1:$I$89,3,0)*0.475*44/12</f>
        <v>3.0232855946596653E-21</v>
      </c>
      <c r="AX178" s="21">
        <f t="shared" si="166"/>
        <v>0.76672160985216808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252.98248842635206</v>
      </c>
      <c r="BJ178" s="59">
        <f t="shared" si="146"/>
        <v>207.11938580878308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4.5474735088646412E-13</v>
      </c>
      <c r="BZ178" s="13">
        <f>BY178*VLOOKUP('Données projet'!$B$12,Paramètres!$A$1:$I$89,3,0)*VLOOKUP('Données projet'!$B$12,Paramètres!$A$1:$I$89,5,0)</f>
        <v>2.5420376914553347E-13</v>
      </c>
      <c r="CA178" s="13">
        <f t="shared" si="170"/>
        <v>3.4258699088369875E-12</v>
      </c>
      <c r="CB178" s="20">
        <f t="shared" si="171"/>
        <v>6.4094616558195571E-12</v>
      </c>
      <c r="CC178" s="59">
        <f t="shared" si="119"/>
        <v>293.33333333333974</v>
      </c>
      <c r="CD178" s="59">
        <f ca="1">AVERAGE(OFFSET($CC$3,0,0,'Données projet'!$E$12+1,1))-AVERAGE(OFFSET($H$3,0,0,'Données projet'!$E$12+1,1))</f>
        <v>401.06118089678654</v>
      </c>
      <c r="CE178" s="59">
        <f t="shared" si="148"/>
        <v>399.58193819355591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0.58180724743661605</v>
      </c>
      <c r="CL178" s="21">
        <f>EXP(-LN(2)/25)*CL177+(1-EXP(-LN(2)/25))/(LN(2)/25)*Calculateur!CG178*Calculateur!CI178*VLOOKUP('Données projet'!$B$12,Paramètres!$A$1:$I$89,3,0)*0.475*44/12</f>
        <v>0.59957851760327097</v>
      </c>
      <c r="CM178" s="21">
        <f>EXP(-LN(2)/2)*CM177+(1-EXP(-LN(2)/2))/(LN(2)/2)*CG178*CJ178*VLOOKUP('Données projet'!$B$12,Paramètres!$A$1:$I$89,3,0)*0.475*44/12</f>
        <v>4.9008137207909803E-21</v>
      </c>
      <c r="CN178" s="22">
        <f t="shared" si="172"/>
        <v>1.1813857650398871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285.77483300338548</v>
      </c>
      <c r="CZ178" s="59">
        <f t="shared" si="150"/>
        <v>320.55212417690637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0.47233400214727372</v>
      </c>
      <c r="DG178" s="21">
        <f>EXP(-LN(2)/25)*DG177+(1-EXP(-LN(2)/25))/(LN(2)/25)*Calculateur!DB178*Calculateur!DD178*VLOOKUP('Données projet'!$B$13,Paramètres!$A$1:$I$89,3,0)*0.475*44/12</f>
        <v>0.50021986237969573</v>
      </c>
      <c r="DH178" s="21">
        <f>EXP(-LN(2)/2)*DH177+(1-EXP(-LN(2)/2))/(LN(2)/2)*DB178*DE178*VLOOKUP('Données projet'!$B$13,Paramètres!$A$1:$I$89,3,0)*0.475*44/12</f>
        <v>3.653729075142547E-21</v>
      </c>
      <c r="DI178" s="22">
        <f t="shared" si="175"/>
        <v>0.97255386452696946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-3.177547114319168E-13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356.67698551373468</v>
      </c>
      <c r="T179" s="59">
        <f t="shared" si="142"/>
        <v>353.21836615408171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0.25351038319189551</v>
      </c>
      <c r="AA179" s="21">
        <f>EXP(-LN(2)/25)*AA178+(1-EXP(-LN(2)/25))/(LN(2)/25)*Calculateur!V179*Calculateur!X179*VLOOKUP('Données projet'!$B$9,Paramètres!$A$1:$I$89,3,0)*0.475*44/12</f>
        <v>0.52674760965864709</v>
      </c>
      <c r="AB179" s="21">
        <f>EXP(-LN(2)/2)*AB178+(1-EXP(-LN(2)/2))/(LN(2)/2)*V179*Y179*VLOOKUP('Données projet'!$B$9,Paramètres!$A$1:$I$89,3,0)*0.475*44/12</f>
        <v>3.4434100454093211E-21</v>
      </c>
      <c r="AC179" s="22">
        <f t="shared" si="163"/>
        <v>0.78025799285054265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3.9017322706058616E-13</v>
      </c>
      <c r="AK179" s="13">
        <f t="shared" si="164"/>
        <v>5.0025007393608908E-12</v>
      </c>
      <c r="AL179" s="20">
        <f t="shared" si="165"/>
        <v>9.3922404915174053E-12</v>
      </c>
      <c r="AM179" s="59">
        <f t="shared" si="113"/>
        <v>293.33333333334269</v>
      </c>
      <c r="AN179" s="59">
        <f ca="1">AVERAGE(OFFSET($AM$3,0,0,'Données projet'!$E$10+1,1))-AVERAGE(OFFSET($H$3,0,0,'Données projet'!$E$10+1,1))</f>
        <v>240.30073883588199</v>
      </c>
      <c r="AO179" s="59">
        <f t="shared" si="144"/>
        <v>263.20351282678843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0.38589318371705023</v>
      </c>
      <c r="AV179" s="21">
        <f>EXP(-LN(2)/25)*AV178+(1-EXP(-LN(2)/25))/(LN(2)/25)*Calculateur!AQ179*Calculateur!AS179*VLOOKUP('Données projet'!$B$10,Paramètres!$A$1:$I$89,3,0)*0.475*44/12</f>
        <v>0.36290723042763079</v>
      </c>
      <c r="AW179" s="21">
        <f>EXP(-LN(2)/2)*AW178+(1-EXP(-LN(2)/2))/(LN(2)/2)*AQ179*AT179*VLOOKUP('Données projet'!$B$10,Paramètres!$A$1:$I$89,3,0)*0.475*44/12</f>
        <v>2.1377857454474532E-21</v>
      </c>
      <c r="AX179" s="21">
        <f t="shared" si="166"/>
        <v>0.74880041414468101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252.98248842635206</v>
      </c>
      <c r="BJ179" s="59">
        <f t="shared" si="146"/>
        <v>207.11938580878308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4.5474735088646412E-13</v>
      </c>
      <c r="BZ179" s="13">
        <f>BY179*VLOOKUP('Données projet'!$B$12,Paramètres!$A$1:$I$89,3,0)*VLOOKUP('Données projet'!$B$12,Paramètres!$A$1:$I$89,5,0)</f>
        <v>2.5420376914553347E-13</v>
      </c>
      <c r="CA179" s="13">
        <f t="shared" si="170"/>
        <v>3.4258699088369875E-12</v>
      </c>
      <c r="CB179" s="20">
        <f t="shared" si="171"/>
        <v>6.4094616558195571E-12</v>
      </c>
      <c r="CC179" s="59">
        <f t="shared" si="119"/>
        <v>293.33333333333974</v>
      </c>
      <c r="CD179" s="59">
        <f ca="1">AVERAGE(OFFSET($CC$3,0,0,'Données projet'!$E$12+1,1))-AVERAGE(OFFSET($H$3,0,0,'Données projet'!$E$12+1,1))</f>
        <v>401.06118089678654</v>
      </c>
      <c r="CE179" s="59">
        <f t="shared" si="148"/>
        <v>399.58193819355591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0.57039836218176465</v>
      </c>
      <c r="CL179" s="21">
        <f>EXP(-LN(2)/25)*CL178+(1-EXP(-LN(2)/25))/(LN(2)/25)*Calculateur!CG179*Calculateur!CI179*VLOOKUP('Données projet'!$B$12,Paramètres!$A$1:$I$89,3,0)*0.475*44/12</f>
        <v>0.58318301150894558</v>
      </c>
      <c r="CM179" s="21">
        <f>EXP(-LN(2)/2)*CM178+(1-EXP(-LN(2)/2))/(LN(2)/2)*CG179*CJ179*VLOOKUP('Données projet'!$B$12,Paramètres!$A$1:$I$89,3,0)*0.475*44/12</f>
        <v>3.4653986153033774E-21</v>
      </c>
      <c r="CN179" s="22">
        <f t="shared" si="172"/>
        <v>1.1535813736907103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285.77483300338548</v>
      </c>
      <c r="CZ179" s="59">
        <f t="shared" si="150"/>
        <v>320.55212417690637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0.46307182046045997</v>
      </c>
      <c r="DG179" s="21">
        <f>EXP(-LN(2)/25)*DG178+(1-EXP(-LN(2)/25))/(LN(2)/25)*Calculateur!DB179*Calculateur!DD179*VLOOKUP('Données projet'!$B$13,Paramètres!$A$1:$I$89,3,0)*0.475*44/12</f>
        <v>0.48654132393750366</v>
      </c>
      <c r="DH179" s="21">
        <f>EXP(-LN(2)/2)*DH178+(1-EXP(-LN(2)/2))/(LN(2)/2)*DB179*DE179*VLOOKUP('Données projet'!$B$13,Paramètres!$A$1:$I$89,3,0)*0.475*44/12</f>
        <v>2.5835766056517477E-21</v>
      </c>
      <c r="DI179" s="22">
        <f t="shared" si="175"/>
        <v>0.94961314439796363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-3.177547114319168E-13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356.67698551373468</v>
      </c>
      <c r="T180" s="59">
        <f t="shared" si="142"/>
        <v>353.21836615408171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0.24853919920356812</v>
      </c>
      <c r="AA180" s="21">
        <f>EXP(-LN(2)/25)*AA179+(1-EXP(-LN(2)/25))/(LN(2)/25)*Calculateur!V180*Calculateur!X180*VLOOKUP('Données projet'!$B$9,Paramètres!$A$1:$I$89,3,0)*0.475*44/12</f>
        <v>0.51234366857207847</v>
      </c>
      <c r="AB180" s="21">
        <f>EXP(-LN(2)/2)*AB179+(1-EXP(-LN(2)/2))/(LN(2)/2)*V180*Y180*VLOOKUP('Données projet'!$B$9,Paramètres!$A$1:$I$89,3,0)*0.475*44/12</f>
        <v>2.4348585935148085E-21</v>
      </c>
      <c r="AC180" s="22">
        <f t="shared" si="163"/>
        <v>0.76088286777564662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3.9017322706058616E-13</v>
      </c>
      <c r="AK180" s="13">
        <f t="shared" si="164"/>
        <v>5.0025007393608908E-12</v>
      </c>
      <c r="AL180" s="20">
        <f t="shared" si="165"/>
        <v>9.3922404915174053E-12</v>
      </c>
      <c r="AM180" s="59">
        <f t="shared" si="113"/>
        <v>293.33333333334269</v>
      </c>
      <c r="AN180" s="59">
        <f ca="1">AVERAGE(OFFSET($AM$3,0,0,'Données projet'!$E$10+1,1))-AVERAGE(OFFSET($H$3,0,0,'Données projet'!$E$10+1,1))</f>
        <v>240.30073883588199</v>
      </c>
      <c r="AO180" s="59">
        <f t="shared" si="144"/>
        <v>263.20351282678843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0.3783260537559599</v>
      </c>
      <c r="AV180" s="21">
        <f>EXP(-LN(2)/25)*AV179+(1-EXP(-LN(2)/25))/(LN(2)/25)*Calculateur!AQ180*Calculateur!AS180*VLOOKUP('Données projet'!$B$10,Paramètres!$A$1:$I$89,3,0)*0.475*44/12</f>
        <v>0.35298351312712539</v>
      </c>
      <c r="AW180" s="21">
        <f>EXP(-LN(2)/2)*AW179+(1-EXP(-LN(2)/2))/(LN(2)/2)*AQ180*AT180*VLOOKUP('Données projet'!$B$10,Paramètres!$A$1:$I$89,3,0)*0.475*44/12</f>
        <v>1.5116427973298327E-21</v>
      </c>
      <c r="AX180" s="21">
        <f t="shared" si="166"/>
        <v>0.73130956688308535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252.98248842635206</v>
      </c>
      <c r="BJ180" s="59">
        <f t="shared" si="146"/>
        <v>207.11938580878308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4.5474735088646412E-13</v>
      </c>
      <c r="BZ180" s="13">
        <f>BY180*VLOOKUP('Données projet'!$B$12,Paramètres!$A$1:$I$89,3,0)*VLOOKUP('Données projet'!$B$12,Paramètres!$A$1:$I$89,5,0)</f>
        <v>2.5420376914553347E-13</v>
      </c>
      <c r="CA180" s="13">
        <f t="shared" si="170"/>
        <v>3.4258699088369875E-12</v>
      </c>
      <c r="CB180" s="20">
        <f t="shared" si="171"/>
        <v>6.4094616558195571E-12</v>
      </c>
      <c r="CC180" s="59">
        <f t="shared" si="119"/>
        <v>293.33333333333974</v>
      </c>
      <c r="CD180" s="59">
        <f ca="1">AVERAGE(OFFSET($CC$3,0,0,'Données projet'!$E$12+1,1))-AVERAGE(OFFSET($H$3,0,0,'Données projet'!$E$12+1,1))</f>
        <v>401.06118089678654</v>
      </c>
      <c r="CE180" s="59">
        <f t="shared" si="148"/>
        <v>399.58193819355591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0.55921319820802806</v>
      </c>
      <c r="CL180" s="21">
        <f>EXP(-LN(2)/25)*CL179+(1-EXP(-LN(2)/25))/(LN(2)/25)*Calculateur!CG180*Calculateur!CI180*VLOOKUP('Données projet'!$B$12,Paramètres!$A$1:$I$89,3,0)*0.475*44/12</f>
        <v>0.56723584139097172</v>
      </c>
      <c r="CM180" s="21">
        <f>EXP(-LN(2)/2)*CM179+(1-EXP(-LN(2)/2))/(LN(2)/2)*CG180*CJ180*VLOOKUP('Données projet'!$B$12,Paramètres!$A$1:$I$89,3,0)*0.475*44/12</f>
        <v>2.4504068603954901E-21</v>
      </c>
      <c r="CN180" s="22">
        <f t="shared" si="172"/>
        <v>1.1264490395989997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285.77483300338548</v>
      </c>
      <c r="CZ180" s="59">
        <f t="shared" si="150"/>
        <v>320.55212417690637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0.4539912645071516</v>
      </c>
      <c r="DG180" s="21">
        <f>EXP(-LN(2)/25)*DG179+(1-EXP(-LN(2)/25))/(LN(2)/25)*Calculateur!DB180*Calculateur!DD180*VLOOKUP('Données projet'!$B$13,Paramètres!$A$1:$I$89,3,0)*0.475*44/12</f>
        <v>0.47323682584833637</v>
      </c>
      <c r="DH180" s="21">
        <f>EXP(-LN(2)/2)*DH179+(1-EXP(-LN(2)/2))/(LN(2)/2)*DB180*DE180*VLOOKUP('Données projet'!$B$13,Paramètres!$A$1:$I$89,3,0)*0.475*44/12</f>
        <v>1.8268645375712735E-21</v>
      </c>
      <c r="DI180" s="22">
        <f t="shared" si="175"/>
        <v>0.92722809035548792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-3.177547114319168E-13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356.67698551373468</v>
      </c>
      <c r="T181" s="59">
        <f t="shared" si="142"/>
        <v>353.21836615408171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0.243665497101129</v>
      </c>
      <c r="AA181" s="21">
        <f>EXP(-LN(2)/25)*AA180+(1-EXP(-LN(2)/25))/(LN(2)/25)*Calculateur!V181*Calculateur!X181*VLOOKUP('Données projet'!$B$9,Paramètres!$A$1:$I$89,3,0)*0.475*44/12</f>
        <v>0.49833360401199245</v>
      </c>
      <c r="AB181" s="21">
        <f>EXP(-LN(2)/2)*AB180+(1-EXP(-LN(2)/2))/(LN(2)/2)*V181*Y181*VLOOKUP('Données projet'!$B$9,Paramètres!$A$1:$I$89,3,0)*0.475*44/12</f>
        <v>1.7217050227046605E-21</v>
      </c>
      <c r="AC181" s="22">
        <f t="shared" si="163"/>
        <v>0.74199910111312151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3.9017322706058616E-13</v>
      </c>
      <c r="AK181" s="13">
        <f t="shared" si="164"/>
        <v>5.0025007393608908E-12</v>
      </c>
      <c r="AL181" s="20">
        <f t="shared" si="165"/>
        <v>9.3922404915174053E-12</v>
      </c>
      <c r="AM181" s="59">
        <f t="shared" si="113"/>
        <v>293.33333333334269</v>
      </c>
      <c r="AN181" s="59">
        <f ca="1">AVERAGE(OFFSET($AM$3,0,0,'Données projet'!$E$10+1,1))-AVERAGE(OFFSET($H$3,0,0,'Données projet'!$E$10+1,1))</f>
        <v>240.30073883588199</v>
      </c>
      <c r="AO181" s="59">
        <f t="shared" si="144"/>
        <v>263.20351282678843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0.37090731059791304</v>
      </c>
      <c r="AV181" s="21">
        <f>EXP(-LN(2)/25)*AV180+(1-EXP(-LN(2)/25))/(LN(2)/25)*Calculateur!AQ181*Calculateur!AS181*VLOOKUP('Données projet'!$B$10,Paramètres!$A$1:$I$89,3,0)*0.475*44/12</f>
        <v>0.34333116039806794</v>
      </c>
      <c r="AW181" s="21">
        <f>EXP(-LN(2)/2)*AW180+(1-EXP(-LN(2)/2))/(LN(2)/2)*AQ181*AT181*VLOOKUP('Données projet'!$B$10,Paramètres!$A$1:$I$89,3,0)*0.475*44/12</f>
        <v>1.0688928727237266E-21</v>
      </c>
      <c r="AX181" s="21">
        <f t="shared" si="166"/>
        <v>0.71423847099598103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252.98248842635206</v>
      </c>
      <c r="BJ181" s="59">
        <f t="shared" si="146"/>
        <v>207.11938580878308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4.5474735088646412E-13</v>
      </c>
      <c r="BZ181" s="13">
        <f>BY181*VLOOKUP('Données projet'!$B$12,Paramètres!$A$1:$I$89,3,0)*VLOOKUP('Données projet'!$B$12,Paramètres!$A$1:$I$89,5,0)</f>
        <v>2.5420376914553347E-13</v>
      </c>
      <c r="CA181" s="13">
        <f t="shared" si="170"/>
        <v>3.4258699088369875E-12</v>
      </c>
      <c r="CB181" s="20">
        <f t="shared" si="171"/>
        <v>6.4094616558195571E-12</v>
      </c>
      <c r="CC181" s="59">
        <f t="shared" si="119"/>
        <v>293.33333333333974</v>
      </c>
      <c r="CD181" s="59">
        <f ca="1">AVERAGE(OFFSET($CC$3,0,0,'Données projet'!$E$12+1,1))-AVERAGE(OFFSET($H$3,0,0,'Données projet'!$E$12+1,1))</f>
        <v>401.06118089678654</v>
      </c>
      <c r="CE181" s="59">
        <f t="shared" si="148"/>
        <v>399.58193819355591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0.54824736847754008</v>
      </c>
      <c r="CL181" s="21">
        <f>EXP(-LN(2)/25)*CL180+(1-EXP(-LN(2)/25))/(LN(2)/25)*Calculateur!CG181*Calculateur!CI181*VLOOKUP('Données projet'!$B$12,Paramètres!$A$1:$I$89,3,0)*0.475*44/12</f>
        <v>0.55172474747849909</v>
      </c>
      <c r="CM181" s="21">
        <f>EXP(-LN(2)/2)*CM180+(1-EXP(-LN(2)/2))/(LN(2)/2)*CG181*CJ181*VLOOKUP('Données projet'!$B$12,Paramètres!$A$1:$I$89,3,0)*0.475*44/12</f>
        <v>1.7326993076516887E-21</v>
      </c>
      <c r="CN181" s="22">
        <f t="shared" si="172"/>
        <v>1.0999721159560392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285.77483300338548</v>
      </c>
      <c r="CZ181" s="59">
        <f t="shared" si="150"/>
        <v>320.55212417690637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0.44508877271749536</v>
      </c>
      <c r="DG181" s="21">
        <f>EXP(-LN(2)/25)*DG180+(1-EXP(-LN(2)/25))/(LN(2)/25)*Calculateur!DB181*Calculateur!DD181*VLOOKUP('Données projet'!$B$13,Paramètres!$A$1:$I$89,3,0)*0.475*44/12</f>
        <v>0.46029613995907054</v>
      </c>
      <c r="DH181" s="21">
        <f>EXP(-LN(2)/2)*DH180+(1-EXP(-LN(2)/2))/(LN(2)/2)*DB181*DE181*VLOOKUP('Données projet'!$B$13,Paramètres!$A$1:$I$89,3,0)*0.475*44/12</f>
        <v>1.2917883028258738E-21</v>
      </c>
      <c r="DI181" s="22">
        <f t="shared" si="175"/>
        <v>0.90538491267656585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-3.177547114319168E-13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356.67698551373468</v>
      </c>
      <c r="T182" s="59">
        <f t="shared" si="142"/>
        <v>353.21836615408171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0.23888736532425398</v>
      </c>
      <c r="AA182" s="21">
        <f>EXP(-LN(2)/25)*AA181+(1-EXP(-LN(2)/25))/(LN(2)/25)*Calculateur!V182*Calculateur!X182*VLOOKUP('Données projet'!$B$9,Paramètres!$A$1:$I$89,3,0)*0.475*44/12</f>
        <v>0.48470664540405922</v>
      </c>
      <c r="AB182" s="21">
        <f>EXP(-LN(2)/2)*AB181+(1-EXP(-LN(2)/2))/(LN(2)/2)*V182*Y182*VLOOKUP('Données projet'!$B$9,Paramètres!$A$1:$I$89,3,0)*0.475*44/12</f>
        <v>1.2174292967574042E-21</v>
      </c>
      <c r="AC182" s="22">
        <f t="shared" si="163"/>
        <v>0.7235940107283132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3.9017322706058616E-13</v>
      </c>
      <c r="AK182" s="13">
        <f t="shared" si="164"/>
        <v>5.0025007393608908E-12</v>
      </c>
      <c r="AL182" s="20">
        <f t="shared" si="165"/>
        <v>9.3922404915174053E-12</v>
      </c>
      <c r="AM182" s="59">
        <f t="shared" si="113"/>
        <v>293.33333333334269</v>
      </c>
      <c r="AN182" s="59">
        <f ca="1">AVERAGE(OFFSET($AM$3,0,0,'Données projet'!$E$10+1,1))-AVERAGE(OFFSET($H$3,0,0,'Données projet'!$E$10+1,1))</f>
        <v>240.30073883588199</v>
      </c>
      <c r="AO182" s="59">
        <f t="shared" si="144"/>
        <v>263.20351282678843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0.36363404446820896</v>
      </c>
      <c r="AV182" s="21">
        <f>EXP(-LN(2)/25)*AV181+(1-EXP(-LN(2)/25))/(LN(2)/25)*Calculateur!AQ182*Calculateur!AS182*VLOOKUP('Données projet'!$B$10,Paramètres!$A$1:$I$89,3,0)*0.475*44/12</f>
        <v>0.33394275176198174</v>
      </c>
      <c r="AW182" s="21">
        <f>EXP(-LN(2)/2)*AW181+(1-EXP(-LN(2)/2))/(LN(2)/2)*AQ182*AT182*VLOOKUP('Données projet'!$B$10,Paramètres!$A$1:$I$89,3,0)*0.475*44/12</f>
        <v>7.5582139866491633E-22</v>
      </c>
      <c r="AX182" s="21">
        <f t="shared" si="166"/>
        <v>0.69757679623019064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252.98248842635206</v>
      </c>
      <c r="BJ182" s="59">
        <f t="shared" si="146"/>
        <v>207.11938580878308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4.5474735088646412E-13</v>
      </c>
      <c r="BZ182" s="13">
        <f>BY182*VLOOKUP('Données projet'!$B$12,Paramètres!$A$1:$I$89,3,0)*VLOOKUP('Données projet'!$B$12,Paramètres!$A$1:$I$89,5,0)</f>
        <v>2.5420376914553347E-13</v>
      </c>
      <c r="CA182" s="13">
        <f t="shared" si="170"/>
        <v>3.4258699088369875E-12</v>
      </c>
      <c r="CB182" s="20">
        <f t="shared" si="171"/>
        <v>6.4094616558195571E-12</v>
      </c>
      <c r="CC182" s="59">
        <f t="shared" si="119"/>
        <v>293.33333333333974</v>
      </c>
      <c r="CD182" s="59">
        <f ca="1">AVERAGE(OFFSET($CC$3,0,0,'Données projet'!$E$12+1,1))-AVERAGE(OFFSET($H$3,0,0,'Données projet'!$E$12+1,1))</f>
        <v>401.06118089678654</v>
      </c>
      <c r="CE182" s="59">
        <f t="shared" si="148"/>
        <v>399.58193819355591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0.53749657197957124</v>
      </c>
      <c r="CL182" s="21">
        <f>EXP(-LN(2)/25)*CL181+(1-EXP(-LN(2)/25))/(LN(2)/25)*Calculateur!CG182*Calculateur!CI182*VLOOKUP('Données projet'!$B$12,Paramètres!$A$1:$I$89,3,0)*0.475*44/12</f>
        <v>0.53663780524475602</v>
      </c>
      <c r="CM182" s="21">
        <f>EXP(-LN(2)/2)*CM181+(1-EXP(-LN(2)/2))/(LN(2)/2)*CG182*CJ182*VLOOKUP('Données projet'!$B$12,Paramètres!$A$1:$I$89,3,0)*0.475*44/12</f>
        <v>1.2252034301977451E-21</v>
      </c>
      <c r="CN182" s="22">
        <f t="shared" si="172"/>
        <v>1.0741343772243273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285.77483300338548</v>
      </c>
      <c r="CZ182" s="59">
        <f t="shared" si="150"/>
        <v>320.55212417690637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0.43636085336185049</v>
      </c>
      <c r="DG182" s="21">
        <f>EXP(-LN(2)/25)*DG181+(1-EXP(-LN(2)/25))/(LN(2)/25)*Calculateur!DB182*Calculateur!DD182*VLOOKUP('Données projet'!$B$13,Paramètres!$A$1:$I$89,3,0)*0.475*44/12</f>
        <v>0.44770931780596779</v>
      </c>
      <c r="DH182" s="21">
        <f>EXP(-LN(2)/2)*DH181+(1-EXP(-LN(2)/2))/(LN(2)/2)*DB182*DE182*VLOOKUP('Données projet'!$B$13,Paramètres!$A$1:$I$89,3,0)*0.475*44/12</f>
        <v>9.1343226878563674E-22</v>
      </c>
      <c r="DI182" s="22">
        <f t="shared" si="175"/>
        <v>0.88407017116781828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-3.177547114319168E-13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356.67698551373468</v>
      </c>
      <c r="T183" s="59">
        <f t="shared" si="142"/>
        <v>353.21836615408171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0.23420292979715085</v>
      </c>
      <c r="AA183" s="21">
        <f>EXP(-LN(2)/25)*AA182+(1-EXP(-LN(2)/25))/(LN(2)/25)*Calculateur!V183*Calculateur!X183*VLOOKUP('Données projet'!$B$9,Paramètres!$A$1:$I$89,3,0)*0.475*44/12</f>
        <v>0.47145231669587057</v>
      </c>
      <c r="AB183" s="21">
        <f>EXP(-LN(2)/2)*AB182+(1-EXP(-LN(2)/2))/(LN(2)/2)*V183*Y183*VLOOKUP('Données projet'!$B$9,Paramètres!$A$1:$I$89,3,0)*0.475*44/12</f>
        <v>8.6085251135233027E-22</v>
      </c>
      <c r="AC183" s="22">
        <f t="shared" si="163"/>
        <v>0.70565524649302147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3.9017322706058616E-13</v>
      </c>
      <c r="AK183" s="13">
        <f t="shared" si="164"/>
        <v>5.0025007393608908E-12</v>
      </c>
      <c r="AL183" s="20">
        <f t="shared" si="165"/>
        <v>9.3922404915174053E-12</v>
      </c>
      <c r="AM183" s="59">
        <f t="shared" si="113"/>
        <v>293.33333333334269</v>
      </c>
      <c r="AN183" s="59">
        <f ca="1">AVERAGE(OFFSET($AM$3,0,0,'Données projet'!$E$10+1,1))-AVERAGE(OFFSET($H$3,0,0,'Données projet'!$E$10+1,1))</f>
        <v>240.30073883588199</v>
      </c>
      <c r="AO183" s="59">
        <f t="shared" si="144"/>
        <v>263.20351282678843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0.35650340265105407</v>
      </c>
      <c r="AV183" s="21">
        <f>EXP(-LN(2)/25)*AV182+(1-EXP(-LN(2)/25))/(LN(2)/25)*Calculateur!AQ183*Calculateur!AS183*VLOOKUP('Données projet'!$B$10,Paramètres!$A$1:$I$89,3,0)*0.475*44/12</f>
        <v>0.32481106965376427</v>
      </c>
      <c r="AW183" s="21">
        <f>EXP(-LN(2)/2)*AW182+(1-EXP(-LN(2)/2))/(LN(2)/2)*AQ183*AT183*VLOOKUP('Données projet'!$B$10,Paramètres!$A$1:$I$89,3,0)*0.475*44/12</f>
        <v>5.3444643636186329E-22</v>
      </c>
      <c r="AX183" s="21">
        <f t="shared" si="166"/>
        <v>0.68131447230481834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252.98248842635206</v>
      </c>
      <c r="BJ183" s="59">
        <f t="shared" si="146"/>
        <v>207.11938580878308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4.5474735088646412E-13</v>
      </c>
      <c r="BZ183" s="13">
        <f>BY183*VLOOKUP('Données projet'!$B$12,Paramètres!$A$1:$I$89,3,0)*VLOOKUP('Données projet'!$B$12,Paramètres!$A$1:$I$89,5,0)</f>
        <v>2.5420376914553347E-13</v>
      </c>
      <c r="CA183" s="13">
        <f t="shared" si="170"/>
        <v>3.4258699088369875E-12</v>
      </c>
      <c r="CB183" s="20">
        <f t="shared" si="171"/>
        <v>6.4094616558195571E-12</v>
      </c>
      <c r="CC183" s="59">
        <f t="shared" si="119"/>
        <v>293.33333333333974</v>
      </c>
      <c r="CD183" s="59">
        <f ca="1">AVERAGE(OFFSET($CC$3,0,0,'Données projet'!$E$12+1,1))-AVERAGE(OFFSET($H$3,0,0,'Données projet'!$E$12+1,1))</f>
        <v>401.06118089678654</v>
      </c>
      <c r="CE183" s="59">
        <f t="shared" si="148"/>
        <v>399.58193819355591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0.52695659204358913</v>
      </c>
      <c r="CL183" s="21">
        <f>EXP(-LN(2)/25)*CL182+(1-EXP(-LN(2)/25))/(LN(2)/25)*Calculateur!CG183*Calculateur!CI183*VLOOKUP('Données projet'!$B$12,Paramètres!$A$1:$I$89,3,0)*0.475*44/12</f>
        <v>0.52196341623978249</v>
      </c>
      <c r="CM183" s="21">
        <f>EXP(-LN(2)/2)*CM182+(1-EXP(-LN(2)/2))/(LN(2)/2)*CG183*CJ183*VLOOKUP('Données projet'!$B$12,Paramètres!$A$1:$I$89,3,0)*0.475*44/12</f>
        <v>8.6634965382584434E-22</v>
      </c>
      <c r="CN183" s="22">
        <f t="shared" si="172"/>
        <v>1.0489200082833716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285.77483300338548</v>
      </c>
      <c r="CZ183" s="59">
        <f t="shared" si="150"/>
        <v>320.55212417690637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0.42780408318126462</v>
      </c>
      <c r="DG183" s="21">
        <f>EXP(-LN(2)/25)*DG182+(1-EXP(-LN(2)/25))/(LN(2)/25)*Calculateur!DB183*Calculateur!DD183*VLOOKUP('Données projet'!$B$13,Paramètres!$A$1:$I$89,3,0)*0.475*44/12</f>
        <v>0.43546668296655383</v>
      </c>
      <c r="DH183" s="21">
        <f>EXP(-LN(2)/2)*DH182+(1-EXP(-LN(2)/2))/(LN(2)/2)*DB183*DE183*VLOOKUP('Données projet'!$B$13,Paramètres!$A$1:$I$89,3,0)*0.475*44/12</f>
        <v>6.4589415141293692E-22</v>
      </c>
      <c r="DI183" s="22">
        <f t="shared" si="175"/>
        <v>0.8632707661478185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-3.177547114319168E-13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356.67698551373468</v>
      </c>
      <c r="T184" s="59">
        <f t="shared" si="142"/>
        <v>353.21836615408171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0.22961035319351067</v>
      </c>
      <c r="AA184" s="21">
        <f>EXP(-LN(2)/25)*AA183+(1-EXP(-LN(2)/25))/(LN(2)/25)*Calculateur!V184*Calculateur!X184*VLOOKUP('Données projet'!$B$9,Paramètres!$A$1:$I$89,3,0)*0.475*44/12</f>
        <v>0.45856042830322219</v>
      </c>
      <c r="AB184" s="21">
        <f>EXP(-LN(2)/2)*AB183+(1-EXP(-LN(2)/2))/(LN(2)/2)*V184*Y184*VLOOKUP('Données projet'!$B$9,Paramètres!$A$1:$I$89,3,0)*0.475*44/12</f>
        <v>6.0871464837870211E-22</v>
      </c>
      <c r="AC184" s="22">
        <f t="shared" si="163"/>
        <v>0.68817078149673283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3.9017322706058616E-13</v>
      </c>
      <c r="AK184" s="13">
        <f t="shared" si="164"/>
        <v>5.0025007393608908E-12</v>
      </c>
      <c r="AL184" s="20">
        <f t="shared" si="165"/>
        <v>9.3922404915174053E-12</v>
      </c>
      <c r="AM184" s="59">
        <f t="shared" si="113"/>
        <v>293.33333333334269</v>
      </c>
      <c r="AN184" s="59">
        <f ca="1">AVERAGE(OFFSET($AM$3,0,0,'Données projet'!$E$10+1,1))-AVERAGE(OFFSET($H$3,0,0,'Données projet'!$E$10+1,1))</f>
        <v>240.30073883588199</v>
      </c>
      <c r="AO184" s="59">
        <f t="shared" si="144"/>
        <v>263.20351282678843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0.34951258837067156</v>
      </c>
      <c r="AV184" s="21">
        <f>EXP(-LN(2)/25)*AV183+(1-EXP(-LN(2)/25))/(LN(2)/25)*Calculateur!AQ184*Calculateur!AS184*VLOOKUP('Données projet'!$B$10,Paramètres!$A$1:$I$89,3,0)*0.475*44/12</f>
        <v>0.31592909387301032</v>
      </c>
      <c r="AW184" s="21">
        <f>EXP(-LN(2)/2)*AW183+(1-EXP(-LN(2)/2))/(LN(2)/2)*AQ184*AT184*VLOOKUP('Données projet'!$B$10,Paramètres!$A$1:$I$89,3,0)*0.475*44/12</f>
        <v>3.7791069933245817E-22</v>
      </c>
      <c r="AX184" s="21">
        <f t="shared" si="166"/>
        <v>0.66544168224368194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252.98248842635206</v>
      </c>
      <c r="BJ184" s="59">
        <f t="shared" si="146"/>
        <v>207.11938580878308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4.5474735088646412E-13</v>
      </c>
      <c r="BZ184" s="13">
        <f>BY184*VLOOKUP('Données projet'!$B$12,Paramètres!$A$1:$I$89,3,0)*VLOOKUP('Données projet'!$B$12,Paramètres!$A$1:$I$89,5,0)</f>
        <v>2.5420376914553347E-13</v>
      </c>
      <c r="CA184" s="13">
        <f t="shared" si="170"/>
        <v>3.4258699088369875E-12</v>
      </c>
      <c r="CB184" s="20">
        <f t="shared" si="171"/>
        <v>6.4094616558195571E-12</v>
      </c>
      <c r="CC184" s="59">
        <f t="shared" si="119"/>
        <v>293.33333333333974</v>
      </c>
      <c r="CD184" s="59">
        <f ca="1">AVERAGE(OFFSET($CC$3,0,0,'Données projet'!$E$12+1,1))-AVERAGE(OFFSET($H$3,0,0,'Données projet'!$E$12+1,1))</f>
        <v>401.06118089678654</v>
      </c>
      <c r="CE184" s="59">
        <f t="shared" si="148"/>
        <v>399.58193819355591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0.51662329468539869</v>
      </c>
      <c r="CL184" s="21">
        <f>EXP(-LN(2)/25)*CL183+(1-EXP(-LN(2)/25))/(LN(2)/25)*Calculateur!CG184*Calculateur!CI184*VLOOKUP('Données projet'!$B$12,Paramètres!$A$1:$I$89,3,0)*0.475*44/12</f>
        <v>0.50769029917384256</v>
      </c>
      <c r="CM184" s="21">
        <f>EXP(-LN(2)/2)*CM183+(1-EXP(-LN(2)/2))/(LN(2)/2)*CG184*CJ184*VLOOKUP('Données projet'!$B$12,Paramètres!$A$1:$I$89,3,0)*0.475*44/12</f>
        <v>6.1260171509887253E-22</v>
      </c>
      <c r="CN184" s="22">
        <f t="shared" si="172"/>
        <v>1.0243135938592411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285.77483300338548</v>
      </c>
      <c r="CZ184" s="59">
        <f t="shared" si="150"/>
        <v>320.55212417690637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0.41941510604480559</v>
      </c>
      <c r="DG184" s="21">
        <f>EXP(-LN(2)/25)*DG183+(1-EXP(-LN(2)/25))/(LN(2)/25)*Calculateur!DB184*Calculateur!DD184*VLOOKUP('Données projet'!$B$13,Paramètres!$A$1:$I$89,3,0)*0.475*44/12</f>
        <v>0.42355882362063585</v>
      </c>
      <c r="DH184" s="21">
        <f>EXP(-LN(2)/2)*DH183+(1-EXP(-LN(2)/2))/(LN(2)/2)*DB184*DE184*VLOOKUP('Données projet'!$B$13,Paramètres!$A$1:$I$89,3,0)*0.475*44/12</f>
        <v>4.5671613439281837E-22</v>
      </c>
      <c r="DI184" s="22">
        <f t="shared" si="175"/>
        <v>0.84297392966544149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-3.177547114319168E-13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356.67698551373468</v>
      </c>
      <c r="T185" s="59">
        <f t="shared" si="142"/>
        <v>353.21836615408171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0.22510783421587274</v>
      </c>
      <c r="AA185" s="21">
        <f>EXP(-LN(2)/25)*AA184+(1-EXP(-LN(2)/25))/(LN(2)/25)*Calculateur!V185*Calculateur!X185*VLOOKUP('Données projet'!$B$9,Paramètres!$A$1:$I$89,3,0)*0.475*44/12</f>
        <v>0.44602106927662571</v>
      </c>
      <c r="AB185" s="21">
        <f>EXP(-LN(2)/2)*AB184+(1-EXP(-LN(2)/2))/(LN(2)/2)*V185*Y185*VLOOKUP('Données projet'!$B$9,Paramètres!$A$1:$I$89,3,0)*0.475*44/12</f>
        <v>4.3042625567616513E-22</v>
      </c>
      <c r="AC185" s="22">
        <f t="shared" si="163"/>
        <v>0.67112890349249843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3.9017322706058616E-13</v>
      </c>
      <c r="AK185" s="13">
        <f t="shared" si="164"/>
        <v>5.0025007393608908E-12</v>
      </c>
      <c r="AL185" s="20">
        <f t="shared" si="165"/>
        <v>9.3922404915174053E-12</v>
      </c>
      <c r="AM185" s="59">
        <f t="shared" si="113"/>
        <v>293.33333333334269</v>
      </c>
      <c r="AN185" s="59">
        <f ca="1">AVERAGE(OFFSET($AM$3,0,0,'Données projet'!$E$10+1,1))-AVERAGE(OFFSET($H$3,0,0,'Données projet'!$E$10+1,1))</f>
        <v>240.30073883588199</v>
      </c>
      <c r="AO185" s="59">
        <f t="shared" si="144"/>
        <v>263.20351282678843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0.34265885969435167</v>
      </c>
      <c r="AV185" s="21">
        <f>EXP(-LN(2)/25)*AV184+(1-EXP(-LN(2)/25))/(LN(2)/25)*Calculateur!AQ185*Calculateur!AS185*VLOOKUP('Données projet'!$B$10,Paramètres!$A$1:$I$89,3,0)*0.475*44/12</f>
        <v>0.30728999618706387</v>
      </c>
      <c r="AW185" s="21">
        <f>EXP(-LN(2)/2)*AW184+(1-EXP(-LN(2)/2))/(LN(2)/2)*AQ185*AT185*VLOOKUP('Données projet'!$B$10,Paramètres!$A$1:$I$89,3,0)*0.475*44/12</f>
        <v>2.6722321818093164E-22</v>
      </c>
      <c r="AX185" s="21">
        <f t="shared" si="166"/>
        <v>0.64994885588141549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252.98248842635206</v>
      </c>
      <c r="BJ185" s="59">
        <f t="shared" si="146"/>
        <v>207.11938580878308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4.5474735088646412E-13</v>
      </c>
      <c r="BZ185" s="13">
        <f>BY185*VLOOKUP('Données projet'!$B$12,Paramètres!$A$1:$I$89,3,0)*VLOOKUP('Données projet'!$B$12,Paramètres!$A$1:$I$89,5,0)</f>
        <v>2.5420376914553347E-13</v>
      </c>
      <c r="CA185" s="13">
        <f t="shared" si="170"/>
        <v>3.4258699088369875E-12</v>
      </c>
      <c r="CB185" s="20">
        <f t="shared" si="171"/>
        <v>6.4094616558195571E-12</v>
      </c>
      <c r="CC185" s="59">
        <f t="shared" si="119"/>
        <v>293.33333333333974</v>
      </c>
      <c r="CD185" s="59">
        <f ca="1">AVERAGE(OFFSET($CC$3,0,0,'Données projet'!$E$12+1,1))-AVERAGE(OFFSET($H$3,0,0,'Données projet'!$E$12+1,1))</f>
        <v>401.06118089678654</v>
      </c>
      <c r="CE185" s="59">
        <f t="shared" si="148"/>
        <v>399.58193819355591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0.50649262698571329</v>
      </c>
      <c r="CL185" s="21">
        <f>EXP(-LN(2)/25)*CL184+(1-EXP(-LN(2)/25))/(LN(2)/25)*Calculateur!CG185*Calculateur!CI185*VLOOKUP('Données projet'!$B$12,Paramètres!$A$1:$I$89,3,0)*0.475*44/12</f>
        <v>0.49380748124466134</v>
      </c>
      <c r="CM185" s="21">
        <f>EXP(-LN(2)/2)*CM184+(1-EXP(-LN(2)/2))/(LN(2)/2)*CG185*CJ185*VLOOKUP('Données projet'!$B$12,Paramètres!$A$1:$I$89,3,0)*0.475*44/12</f>
        <v>4.3317482691292217E-22</v>
      </c>
      <c r="CN185" s="22">
        <f t="shared" si="172"/>
        <v>1.0003001082303746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285.77483300338548</v>
      </c>
      <c r="CZ185" s="59">
        <f t="shared" si="150"/>
        <v>320.55212417690637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0.41119063163322173</v>
      </c>
      <c r="DG185" s="21">
        <f>EXP(-LN(2)/25)*DG184+(1-EXP(-LN(2)/25))/(LN(2)/25)*Calculateur!DB185*Calculateur!DD185*VLOOKUP('Données projet'!$B$13,Paramètres!$A$1:$I$89,3,0)*0.475*44/12</f>
        <v>0.41197658531473907</v>
      </c>
      <c r="DH185" s="21">
        <f>EXP(-LN(2)/2)*DH184+(1-EXP(-LN(2)/2))/(LN(2)/2)*DB185*DE185*VLOOKUP('Données projet'!$B$13,Paramètres!$A$1:$I$89,3,0)*0.475*44/12</f>
        <v>3.2294707570646846E-22</v>
      </c>
      <c r="DI185" s="22">
        <f t="shared" si="175"/>
        <v>0.8231672169479608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-3.177547114319168E-13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356.67698551373468</v>
      </c>
      <c r="T186" s="59">
        <f t="shared" si="142"/>
        <v>353.21836615408171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0.22069360688912087</v>
      </c>
      <c r="AA186" s="21">
        <f>EXP(-LN(2)/25)*AA185+(1-EXP(-LN(2)/25))/(LN(2)/25)*Calculateur!V186*Calculateur!X186*VLOOKUP('Données projet'!$B$9,Paramètres!$A$1:$I$89,3,0)*0.475*44/12</f>
        <v>0.43382459968202775</v>
      </c>
      <c r="AB186" s="21">
        <f>EXP(-LN(2)/2)*AB185+(1-EXP(-LN(2)/2))/(LN(2)/2)*V186*Y186*VLOOKUP('Données projet'!$B$9,Paramètres!$A$1:$I$89,3,0)*0.475*44/12</f>
        <v>3.0435732418935106E-22</v>
      </c>
      <c r="AC186" s="22">
        <f t="shared" si="163"/>
        <v>0.65451820657114856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3.9017322706058616E-13</v>
      </c>
      <c r="AK186" s="13">
        <f t="shared" si="164"/>
        <v>5.0025007393608908E-12</v>
      </c>
      <c r="AL186" s="20">
        <f t="shared" si="165"/>
        <v>9.3922404915174053E-12</v>
      </c>
      <c r="AM186" s="59">
        <f t="shared" si="113"/>
        <v>293.33333333334269</v>
      </c>
      <c r="AN186" s="59">
        <f ca="1">AVERAGE(OFFSET($AM$3,0,0,'Données projet'!$E$10+1,1))-AVERAGE(OFFSET($H$3,0,0,'Données projet'!$E$10+1,1))</f>
        <v>240.30073883588199</v>
      </c>
      <c r="AO186" s="59">
        <f t="shared" si="144"/>
        <v>263.20351282678843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0.33593952845701269</v>
      </c>
      <c r="AV186" s="21">
        <f>EXP(-LN(2)/25)*AV185+(1-EXP(-LN(2)/25))/(LN(2)/25)*Calculateur!AQ186*Calculateur!AS186*VLOOKUP('Données projet'!$B$10,Paramètres!$A$1:$I$89,3,0)*0.475*44/12</f>
        <v>0.29888713508165005</v>
      </c>
      <c r="AW186" s="21">
        <f>EXP(-LN(2)/2)*AW185+(1-EXP(-LN(2)/2))/(LN(2)/2)*AQ186*AT186*VLOOKUP('Données projet'!$B$10,Paramètres!$A$1:$I$89,3,0)*0.475*44/12</f>
        <v>1.8895534966622908E-22</v>
      </c>
      <c r="AX186" s="21">
        <f t="shared" si="166"/>
        <v>0.63482666353866279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252.98248842635206</v>
      </c>
      <c r="BJ186" s="59">
        <f t="shared" si="146"/>
        <v>207.11938580878308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4.5474735088646412E-13</v>
      </c>
      <c r="BZ186" s="13">
        <f>BY186*VLOOKUP('Données projet'!$B$12,Paramètres!$A$1:$I$89,3,0)*VLOOKUP('Données projet'!$B$12,Paramètres!$A$1:$I$89,5,0)</f>
        <v>2.5420376914553347E-13</v>
      </c>
      <c r="CA186" s="13">
        <f t="shared" si="170"/>
        <v>3.4258699088369875E-12</v>
      </c>
      <c r="CB186" s="20">
        <f t="shared" si="171"/>
        <v>6.4094616558195571E-12</v>
      </c>
      <c r="CC186" s="59">
        <f t="shared" si="119"/>
        <v>293.33333333333974</v>
      </c>
      <c r="CD186" s="59">
        <f ca="1">AVERAGE(OFFSET($CC$3,0,0,'Données projet'!$E$12+1,1))-AVERAGE(OFFSET($H$3,0,0,'Données projet'!$E$12+1,1))</f>
        <v>401.06118089678654</v>
      </c>
      <c r="CE186" s="59">
        <f t="shared" si="148"/>
        <v>399.58193819355591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0.49656061550052161</v>
      </c>
      <c r="CL186" s="21">
        <f>EXP(-LN(2)/25)*CL185+(1-EXP(-LN(2)/25))/(LN(2)/25)*Calculateur!CG186*Calculateur!CI186*VLOOKUP('Données projet'!$B$12,Paramètres!$A$1:$I$89,3,0)*0.475*44/12</f>
        <v>0.48030428970181926</v>
      </c>
      <c r="CM186" s="21">
        <f>EXP(-LN(2)/2)*CM185+(1-EXP(-LN(2)/2))/(LN(2)/2)*CG186*CJ186*VLOOKUP('Données projet'!$B$12,Paramètres!$A$1:$I$89,3,0)*0.475*44/12</f>
        <v>3.0630085754943627E-22</v>
      </c>
      <c r="CN186" s="22">
        <f t="shared" si="172"/>
        <v>0.97686490520234082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285.77483300338548</v>
      </c>
      <c r="CZ186" s="59">
        <f t="shared" si="150"/>
        <v>320.55212417690637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0.40312743414841495</v>
      </c>
      <c r="DG186" s="21">
        <f>EXP(-LN(2)/25)*DG185+(1-EXP(-LN(2)/25))/(LN(2)/25)*Calculateur!DB186*Calculateur!DD186*VLOOKUP('Données projet'!$B$13,Paramètres!$A$1:$I$89,3,0)*0.475*44/12</f>
        <v>0.40071106392440048</v>
      </c>
      <c r="DH186" s="21">
        <f>EXP(-LN(2)/2)*DH185+(1-EXP(-LN(2)/2))/(LN(2)/2)*DB186*DE186*VLOOKUP('Données projet'!$B$13,Paramètres!$A$1:$I$89,3,0)*0.475*44/12</f>
        <v>2.2835806719640919E-22</v>
      </c>
      <c r="DI186" s="22">
        <f t="shared" si="175"/>
        <v>0.80383849807281549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-3.177547114319168E-13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356.67698551373468</v>
      </c>
      <c r="T187" s="59">
        <f t="shared" si="142"/>
        <v>353.21836615408171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0.21636593986783381</v>
      </c>
      <c r="AA187" s="21">
        <f>EXP(-LN(2)/25)*AA186+(1-EXP(-LN(2)/25))/(LN(2)/25)*Calculateur!V187*Calculateur!X187*VLOOKUP('Données projet'!$B$9,Paramètres!$A$1:$I$89,3,0)*0.475*44/12</f>
        <v>0.4219616431898785</v>
      </c>
      <c r="AB187" s="21">
        <f>EXP(-LN(2)/2)*AB186+(1-EXP(-LN(2)/2))/(LN(2)/2)*V187*Y187*VLOOKUP('Données projet'!$B$9,Paramètres!$A$1:$I$89,3,0)*0.475*44/12</f>
        <v>2.1521312783808257E-22</v>
      </c>
      <c r="AC187" s="22">
        <f t="shared" si="163"/>
        <v>0.63832758305771231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3.9017322706058616E-13</v>
      </c>
      <c r="AK187" s="13">
        <f t="shared" si="164"/>
        <v>5.0025007393608908E-12</v>
      </c>
      <c r="AL187" s="20">
        <f t="shared" si="165"/>
        <v>9.3922404915174053E-12</v>
      </c>
      <c r="AM187" s="59">
        <f t="shared" si="113"/>
        <v>293.33333333334269</v>
      </c>
      <c r="AN187" s="59">
        <f ca="1">AVERAGE(OFFSET($AM$3,0,0,'Données projet'!$E$10+1,1))-AVERAGE(OFFSET($H$3,0,0,'Données projet'!$E$10+1,1))</f>
        <v>240.30073883588199</v>
      </c>
      <c r="AO187" s="59">
        <f t="shared" si="144"/>
        <v>263.20351282678843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0.32935195920685056</v>
      </c>
      <c r="AV187" s="21">
        <f>EXP(-LN(2)/25)*AV186+(1-EXP(-LN(2)/25))/(LN(2)/25)*Calculateur!AQ187*Calculateur!AS187*VLOOKUP('Données projet'!$B$10,Paramètres!$A$1:$I$89,3,0)*0.475*44/12</f>
        <v>0.29071405065505102</v>
      </c>
      <c r="AW187" s="21">
        <f>EXP(-LN(2)/2)*AW186+(1-EXP(-LN(2)/2))/(LN(2)/2)*AQ187*AT187*VLOOKUP('Données projet'!$B$10,Paramètres!$A$1:$I$89,3,0)*0.475*44/12</f>
        <v>1.3361160909046582E-22</v>
      </c>
      <c r="AX187" s="21">
        <f t="shared" si="166"/>
        <v>0.62006600986190152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252.98248842635206</v>
      </c>
      <c r="BJ187" s="59">
        <f t="shared" si="146"/>
        <v>207.11938580878308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4.5474735088646412E-13</v>
      </c>
      <c r="BZ187" s="13">
        <f>BY187*VLOOKUP('Données projet'!$B$12,Paramètres!$A$1:$I$89,3,0)*VLOOKUP('Données projet'!$B$12,Paramètres!$A$1:$I$89,5,0)</f>
        <v>2.5420376914553347E-13</v>
      </c>
      <c r="CA187" s="13">
        <f t="shared" si="170"/>
        <v>3.4258699088369875E-12</v>
      </c>
      <c r="CB187" s="20">
        <f t="shared" si="171"/>
        <v>6.4094616558195571E-12</v>
      </c>
      <c r="CC187" s="59">
        <f t="shared" si="119"/>
        <v>293.33333333333974</v>
      </c>
      <c r="CD187" s="59">
        <f ca="1">AVERAGE(OFFSET($CC$3,0,0,'Données projet'!$E$12+1,1))-AVERAGE(OFFSET($H$3,0,0,'Données projet'!$E$12+1,1))</f>
        <v>401.06118089678654</v>
      </c>
      <c r="CE187" s="59">
        <f t="shared" si="148"/>
        <v>399.58193819355591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0.48682336470262572</v>
      </c>
      <c r="CL187" s="21">
        <f>EXP(-LN(2)/25)*CL186+(1-EXP(-LN(2)/25))/(LN(2)/25)*Calculateur!CG187*Calculateur!CI187*VLOOKUP('Données projet'!$B$12,Paramètres!$A$1:$I$89,3,0)*0.475*44/12</f>
        <v>0.4671703436418182</v>
      </c>
      <c r="CM187" s="21">
        <f>EXP(-LN(2)/2)*CM186+(1-EXP(-LN(2)/2))/(LN(2)/2)*CG187*CJ187*VLOOKUP('Données projet'!$B$12,Paramètres!$A$1:$I$89,3,0)*0.475*44/12</f>
        <v>2.1658741345646109E-22</v>
      </c>
      <c r="CN187" s="22">
        <f t="shared" si="172"/>
        <v>0.95399370834444386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285.77483300338548</v>
      </c>
      <c r="CZ187" s="59">
        <f t="shared" si="150"/>
        <v>320.55212417690637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0.3952223510482204</v>
      </c>
      <c r="DG187" s="21">
        <f>EXP(-LN(2)/25)*DG186+(1-EXP(-LN(2)/25))/(LN(2)/25)*Calculateur!DB187*Calculateur!DD187*VLOOKUP('Données projet'!$B$13,Paramètres!$A$1:$I$89,3,0)*0.475*44/12</f>
        <v>0.38975359880890875</v>
      </c>
      <c r="DH187" s="21">
        <f>EXP(-LN(2)/2)*DH186+(1-EXP(-LN(2)/2))/(LN(2)/2)*DB187*DE187*VLOOKUP('Données projet'!$B$13,Paramètres!$A$1:$I$89,3,0)*0.475*44/12</f>
        <v>1.6147353785323423E-22</v>
      </c>
      <c r="DI187" s="22">
        <f t="shared" si="175"/>
        <v>0.78497594985712915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-3.177547114319168E-13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356.67698551373468</v>
      </c>
      <c r="T188" s="59">
        <f t="shared" si="142"/>
        <v>353.21836615408171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0.21212313575721795</v>
      </c>
      <c r="AA188" s="21">
        <f>EXP(-LN(2)/25)*AA187+(1-EXP(-LN(2)/25))/(LN(2)/25)*Calculateur!V188*Calculateur!X188*VLOOKUP('Données projet'!$B$9,Paramètres!$A$1:$I$89,3,0)*0.475*44/12</f>
        <v>0.41042307986685284</v>
      </c>
      <c r="AB188" s="21">
        <f>EXP(-LN(2)/2)*AB187+(1-EXP(-LN(2)/2))/(LN(2)/2)*V188*Y188*VLOOKUP('Données projet'!$B$9,Paramètres!$A$1:$I$89,3,0)*0.475*44/12</f>
        <v>1.5217866209467553E-22</v>
      </c>
      <c r="AC188" s="22">
        <f t="shared" si="163"/>
        <v>0.62254621562407075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3.9017322706058616E-13</v>
      </c>
      <c r="AK188" s="13">
        <f t="shared" si="164"/>
        <v>5.0025007393608908E-12</v>
      </c>
      <c r="AL188" s="20">
        <f t="shared" si="165"/>
        <v>9.3922404915174053E-12</v>
      </c>
      <c r="AM188" s="59">
        <f t="shared" si="113"/>
        <v>293.33333333334269</v>
      </c>
      <c r="AN188" s="59">
        <f ca="1">AVERAGE(OFFSET($AM$3,0,0,'Données projet'!$E$10+1,1))-AVERAGE(OFFSET($H$3,0,0,'Données projet'!$E$10+1,1))</f>
        <v>240.30073883588199</v>
      </c>
      <c r="AO188" s="59">
        <f t="shared" si="144"/>
        <v>263.20351282678843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0.32289356817166359</v>
      </c>
      <c r="AV188" s="21">
        <f>EXP(-LN(2)/25)*AV187+(1-EXP(-LN(2)/25))/(LN(2)/25)*Calculateur!AQ188*Calculateur!AS188*VLOOKUP('Données projet'!$B$10,Paramètres!$A$1:$I$89,3,0)*0.475*44/12</f>
        <v>0.28276445965190117</v>
      </c>
      <c r="AW188" s="21">
        <f>EXP(-LN(2)/2)*AW187+(1-EXP(-LN(2)/2))/(LN(2)/2)*AQ188*AT188*VLOOKUP('Données projet'!$B$10,Paramètres!$A$1:$I$89,3,0)*0.475*44/12</f>
        <v>9.4477674833114541E-23</v>
      </c>
      <c r="AX188" s="21">
        <f t="shared" si="166"/>
        <v>0.60565802782356482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252.98248842635206</v>
      </c>
      <c r="BJ188" s="59">
        <f t="shared" si="146"/>
        <v>207.11938580878308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4.5474735088646412E-13</v>
      </c>
      <c r="BZ188" s="13">
        <f>BY188*VLOOKUP('Données projet'!$B$12,Paramètres!$A$1:$I$89,3,0)*VLOOKUP('Données projet'!$B$12,Paramètres!$A$1:$I$89,5,0)</f>
        <v>2.5420376914553347E-13</v>
      </c>
      <c r="CA188" s="13">
        <f t="shared" si="170"/>
        <v>3.4258699088369875E-12</v>
      </c>
      <c r="CB188" s="20">
        <f t="shared" si="171"/>
        <v>6.4094616558195571E-12</v>
      </c>
      <c r="CC188" s="59">
        <f t="shared" si="119"/>
        <v>293.33333333333974</v>
      </c>
      <c r="CD188" s="59">
        <f ca="1">AVERAGE(OFFSET($CC$3,0,0,'Données projet'!$E$12+1,1))-AVERAGE(OFFSET($H$3,0,0,'Données projet'!$E$12+1,1))</f>
        <v>401.06118089678654</v>
      </c>
      <c r="CE188" s="59">
        <f t="shared" si="148"/>
        <v>399.58193819355591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0.47727705545374</v>
      </c>
      <c r="CL188" s="21">
        <f>EXP(-LN(2)/25)*CL187+(1-EXP(-LN(2)/25))/(LN(2)/25)*Calculateur!CG188*Calculateur!CI188*VLOOKUP('Données projet'!$B$12,Paramètres!$A$1:$I$89,3,0)*0.475*44/12</f>
        <v>0.45439554602751203</v>
      </c>
      <c r="CM188" s="21">
        <f>EXP(-LN(2)/2)*CM187+(1-EXP(-LN(2)/2))/(LN(2)/2)*CG188*CJ188*VLOOKUP('Données projet'!$B$12,Paramètres!$A$1:$I$89,3,0)*0.475*44/12</f>
        <v>1.5315042877471813E-22</v>
      </c>
      <c r="CN188" s="22">
        <f t="shared" si="172"/>
        <v>0.93167260148125197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285.77483300338548</v>
      </c>
      <c r="CZ188" s="59">
        <f t="shared" si="150"/>
        <v>320.55212417690637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0.38747228180599608</v>
      </c>
      <c r="DG188" s="21">
        <f>EXP(-LN(2)/25)*DG187+(1-EXP(-LN(2)/25))/(LN(2)/25)*Calculateur!DB188*Calculateur!DD188*VLOOKUP('Données projet'!$B$13,Paramètres!$A$1:$I$89,3,0)*0.475*44/12</f>
        <v>0.37909576615322815</v>
      </c>
      <c r="DH188" s="21">
        <f>EXP(-LN(2)/2)*DH187+(1-EXP(-LN(2)/2))/(LN(2)/2)*DB188*DE188*VLOOKUP('Données projet'!$B$13,Paramètres!$A$1:$I$89,3,0)*0.475*44/12</f>
        <v>1.1417903359820459E-22</v>
      </c>
      <c r="DI188" s="22">
        <f t="shared" si="175"/>
        <v>0.76656804795922429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-3.177547114319168E-13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356.67698551373468</v>
      </c>
      <c r="T189" s="59">
        <f t="shared" si="142"/>
        <v>353.21836615408171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0.20796353044735627</v>
      </c>
      <c r="AA189" s="21">
        <f>EXP(-LN(2)/25)*AA188+(1-EXP(-LN(2)/25))/(LN(2)/25)*Calculateur!V189*Calculateur!X189*VLOOKUP('Données projet'!$B$9,Paramètres!$A$1:$I$89,3,0)*0.475*44/12</f>
        <v>0.399200039164682</v>
      </c>
      <c r="AB189" s="21">
        <f>EXP(-LN(2)/2)*AB188+(1-EXP(-LN(2)/2))/(LN(2)/2)*V189*Y189*VLOOKUP('Données projet'!$B$9,Paramètres!$A$1:$I$89,3,0)*0.475*44/12</f>
        <v>1.0760656391904128E-22</v>
      </c>
      <c r="AC189" s="22">
        <f t="shared" si="163"/>
        <v>0.60716356961203832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3.9017322706058616E-13</v>
      </c>
      <c r="AK189" s="13">
        <f t="shared" si="164"/>
        <v>5.0025007393608908E-12</v>
      </c>
      <c r="AL189" s="20">
        <f t="shared" si="165"/>
        <v>9.3922404915174053E-12</v>
      </c>
      <c r="AM189" s="59">
        <f t="shared" si="113"/>
        <v>293.33333333334269</v>
      </c>
      <c r="AN189" s="59">
        <f ca="1">AVERAGE(OFFSET($AM$3,0,0,'Données projet'!$E$10+1,1))-AVERAGE(OFFSET($H$3,0,0,'Données projet'!$E$10+1,1))</f>
        <v>240.30073883588199</v>
      </c>
      <c r="AO189" s="59">
        <f t="shared" si="144"/>
        <v>263.20351282678843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0.3165618222454471</v>
      </c>
      <c r="AV189" s="21">
        <f>EXP(-LN(2)/25)*AV188+(1-EXP(-LN(2)/25))/(LN(2)/25)*Calculateur!AQ189*Calculateur!AS189*VLOOKUP('Données projet'!$B$10,Paramètres!$A$1:$I$89,3,0)*0.475*44/12</f>
        <v>0.27503225063278325</v>
      </c>
      <c r="AW189" s="21">
        <f>EXP(-LN(2)/2)*AW188+(1-EXP(-LN(2)/2))/(LN(2)/2)*AQ189*AT189*VLOOKUP('Données projet'!$B$10,Paramètres!$A$1:$I$89,3,0)*0.475*44/12</f>
        <v>6.6805804545232911E-23</v>
      </c>
      <c r="AX189" s="21">
        <f t="shared" si="166"/>
        <v>0.59159407287823029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252.98248842635206</v>
      </c>
      <c r="BJ189" s="59">
        <f t="shared" si="146"/>
        <v>207.11938580878308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4.5474735088646412E-13</v>
      </c>
      <c r="BZ189" s="13">
        <f>BY189*VLOOKUP('Données projet'!$B$12,Paramètres!$A$1:$I$89,3,0)*VLOOKUP('Données projet'!$B$12,Paramètres!$A$1:$I$89,5,0)</f>
        <v>2.5420376914553347E-13</v>
      </c>
      <c r="CA189" s="13">
        <f t="shared" si="170"/>
        <v>3.4258699088369875E-12</v>
      </c>
      <c r="CB189" s="20">
        <f t="shared" si="171"/>
        <v>6.4094616558195571E-12</v>
      </c>
      <c r="CC189" s="59">
        <f t="shared" si="119"/>
        <v>293.33333333333974</v>
      </c>
      <c r="CD189" s="59">
        <f ca="1">AVERAGE(OFFSET($CC$3,0,0,'Données projet'!$E$12+1,1))-AVERAGE(OFFSET($H$3,0,0,'Données projet'!$E$12+1,1))</f>
        <v>401.06118089678654</v>
      </c>
      <c r="CE189" s="59">
        <f t="shared" si="148"/>
        <v>399.58193819355591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0.46791794350655125</v>
      </c>
      <c r="CL189" s="21">
        <f>EXP(-LN(2)/25)*CL188+(1-EXP(-LN(2)/25))/(LN(2)/25)*Calculateur!CG189*Calculateur!CI189*VLOOKUP('Données projet'!$B$12,Paramètres!$A$1:$I$89,3,0)*0.475*44/12</f>
        <v>0.44197007592576648</v>
      </c>
      <c r="CM189" s="21">
        <f>EXP(-LN(2)/2)*CM188+(1-EXP(-LN(2)/2))/(LN(2)/2)*CG189*CJ189*VLOOKUP('Données projet'!$B$12,Paramètres!$A$1:$I$89,3,0)*0.475*44/12</f>
        <v>1.0829370672823054E-22</v>
      </c>
      <c r="CN189" s="22">
        <f t="shared" si="172"/>
        <v>0.90988801943231779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285.77483300338548</v>
      </c>
      <c r="CZ189" s="59">
        <f t="shared" si="150"/>
        <v>320.55212417690637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0.37987418669453626</v>
      </c>
      <c r="DG189" s="21">
        <f>EXP(-LN(2)/25)*DG188+(1-EXP(-LN(2)/25))/(LN(2)/25)*Calculateur!DB189*Calculateur!DD189*VLOOKUP('Données projet'!$B$13,Paramètres!$A$1:$I$89,3,0)*0.475*44/12</f>
        <v>0.36872937249198823</v>
      </c>
      <c r="DH189" s="21">
        <f>EXP(-LN(2)/2)*DH188+(1-EXP(-LN(2)/2))/(LN(2)/2)*DB189*DE189*VLOOKUP('Données projet'!$B$13,Paramètres!$A$1:$I$89,3,0)*0.475*44/12</f>
        <v>8.0736768926617114E-23</v>
      </c>
      <c r="DI189" s="22">
        <f t="shared" si="175"/>
        <v>0.74860355918652455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-3.177547114319168E-13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356.67698551373468</v>
      </c>
      <c r="T190" s="59">
        <f t="shared" si="142"/>
        <v>353.21836615408171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0.20388549246051227</v>
      </c>
      <c r="AA190" s="21">
        <f>EXP(-LN(2)/25)*AA189+(1-EXP(-LN(2)/25))/(LN(2)/25)*Calculateur!V190*Calculateur!X190*VLOOKUP('Données projet'!$B$9,Paramètres!$A$1:$I$89,3,0)*0.475*44/12</f>
        <v>0.3882838931007061</v>
      </c>
      <c r="AB190" s="21">
        <f>EXP(-LN(2)/2)*AB189+(1-EXP(-LN(2)/2))/(LN(2)/2)*V190*Y190*VLOOKUP('Données projet'!$B$9,Paramètres!$A$1:$I$89,3,0)*0.475*44/12</f>
        <v>7.6089331047337764E-23</v>
      </c>
      <c r="AC190" s="22">
        <f t="shared" si="163"/>
        <v>0.59216938556121834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3.9017322706058616E-13</v>
      </c>
      <c r="AK190" s="13">
        <f t="shared" si="164"/>
        <v>5.0025007393608908E-12</v>
      </c>
      <c r="AL190" s="20">
        <f t="shared" si="165"/>
        <v>9.3922404915174053E-12</v>
      </c>
      <c r="AM190" s="59">
        <f t="shared" si="113"/>
        <v>293.33333333334269</v>
      </c>
      <c r="AN190" s="59">
        <f ca="1">AVERAGE(OFFSET($AM$3,0,0,'Données projet'!$E$10+1,1))-AVERAGE(OFFSET($H$3,0,0,'Données projet'!$E$10+1,1))</f>
        <v>240.30073883588199</v>
      </c>
      <c r="AO190" s="59">
        <f t="shared" si="144"/>
        <v>263.20351282678843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0.31035423799486</v>
      </c>
      <c r="AV190" s="21">
        <f>EXP(-LN(2)/25)*AV189+(1-EXP(-LN(2)/25))/(LN(2)/25)*Calculateur!AQ190*Calculateur!AS190*VLOOKUP('Données projet'!$B$10,Paramètres!$A$1:$I$89,3,0)*0.475*44/12</f>
        <v>0.26751147927591234</v>
      </c>
      <c r="AW190" s="21">
        <f>EXP(-LN(2)/2)*AW189+(1-EXP(-LN(2)/2))/(LN(2)/2)*AQ190*AT190*VLOOKUP('Données projet'!$B$10,Paramètres!$A$1:$I$89,3,0)*0.475*44/12</f>
        <v>4.7238837416557271E-23</v>
      </c>
      <c r="AX190" s="21">
        <f t="shared" si="166"/>
        <v>0.57786571727077241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252.98248842635206</v>
      </c>
      <c r="BJ190" s="59">
        <f t="shared" si="146"/>
        <v>207.11938580878308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4.5474735088646412E-13</v>
      </c>
      <c r="BZ190" s="13">
        <f>BY190*VLOOKUP('Données projet'!$B$12,Paramètres!$A$1:$I$89,3,0)*VLOOKUP('Données projet'!$B$12,Paramètres!$A$1:$I$89,5,0)</f>
        <v>2.5420376914553347E-13</v>
      </c>
      <c r="CA190" s="13">
        <f t="shared" si="170"/>
        <v>3.4258699088369875E-12</v>
      </c>
      <c r="CB190" s="20">
        <f t="shared" si="171"/>
        <v>6.4094616558195571E-12</v>
      </c>
      <c r="CC190" s="59">
        <f t="shared" si="119"/>
        <v>293.33333333333974</v>
      </c>
      <c r="CD190" s="59">
        <f ca="1">AVERAGE(OFFSET($CC$3,0,0,'Données projet'!$E$12+1,1))-AVERAGE(OFFSET($H$3,0,0,'Données projet'!$E$12+1,1))</f>
        <v>401.06118089678654</v>
      </c>
      <c r="CE190" s="59">
        <f t="shared" si="148"/>
        <v>399.58193819355591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0.45874235803615221</v>
      </c>
      <c r="CL190" s="21">
        <f>EXP(-LN(2)/25)*CL189+(1-EXP(-LN(2)/25))/(LN(2)/25)*Calculateur!CG190*Calculateur!CI190*VLOOKUP('Données projet'!$B$12,Paramètres!$A$1:$I$89,3,0)*0.475*44/12</f>
        <v>0.42988438095738024</v>
      </c>
      <c r="CM190" s="21">
        <f>EXP(-LN(2)/2)*CM189+(1-EXP(-LN(2)/2))/(LN(2)/2)*CG190*CJ190*VLOOKUP('Données projet'!$B$12,Paramètres!$A$1:$I$89,3,0)*0.475*44/12</f>
        <v>7.6575214387359067E-23</v>
      </c>
      <c r="CN190" s="22">
        <f t="shared" si="172"/>
        <v>0.88862673899353251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285.77483300338548</v>
      </c>
      <c r="CZ190" s="59">
        <f t="shared" si="150"/>
        <v>320.55212417690637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0.37242508559383181</v>
      </c>
      <c r="DG190" s="21">
        <f>EXP(-LN(2)/25)*DG189+(1-EXP(-LN(2)/25))/(LN(2)/25)*Calculateur!DB190*Calculateur!DD190*VLOOKUP('Données projet'!$B$13,Paramètres!$A$1:$I$89,3,0)*0.475*44/12</f>
        <v>0.35864644841055987</v>
      </c>
      <c r="DH190" s="21">
        <f>EXP(-LN(2)/2)*DH189+(1-EXP(-LN(2)/2))/(LN(2)/2)*DB190*DE190*VLOOKUP('Données projet'!$B$13,Paramètres!$A$1:$I$89,3,0)*0.475*44/12</f>
        <v>5.7089516799102296E-23</v>
      </c>
      <c r="DI190" s="22">
        <f t="shared" si="175"/>
        <v>0.73107153400439162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-3.177547114319168E-13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356.67698551373468</v>
      </c>
      <c r="T191" s="59">
        <f t="shared" si="142"/>
        <v>353.21836615408171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0.19988742231123272</v>
      </c>
      <c r="AA191" s="21">
        <f>EXP(-LN(2)/25)*AA190+(1-EXP(-LN(2)/25))/(LN(2)/25)*Calculateur!V191*Calculateur!X191*VLOOKUP('Données projet'!$B$9,Paramètres!$A$1:$I$89,3,0)*0.475*44/12</f>
        <v>0.3776662496249048</v>
      </c>
      <c r="AB191" s="21">
        <f>EXP(-LN(2)/2)*AB190+(1-EXP(-LN(2)/2))/(LN(2)/2)*V191*Y191*VLOOKUP('Données projet'!$B$9,Paramètres!$A$1:$I$89,3,0)*0.475*44/12</f>
        <v>5.3803281959520642E-23</v>
      </c>
      <c r="AC191" s="22">
        <f t="shared" si="163"/>
        <v>0.57755367193613749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3.9017322706058616E-13</v>
      </c>
      <c r="AK191" s="13">
        <f t="shared" si="164"/>
        <v>5.0025007393608908E-12</v>
      </c>
      <c r="AL191" s="20">
        <f t="shared" si="165"/>
        <v>9.3922404915174053E-12</v>
      </c>
      <c r="AM191" s="59">
        <f t="shared" si="113"/>
        <v>293.33333333334269</v>
      </c>
      <c r="AN191" s="59">
        <f ca="1">AVERAGE(OFFSET($AM$3,0,0,'Données projet'!$E$10+1,1))-AVERAGE(OFFSET($H$3,0,0,'Données projet'!$E$10+1,1))</f>
        <v>240.30073883588199</v>
      </c>
      <c r="AO191" s="59">
        <f t="shared" si="144"/>
        <v>263.20351282678843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0.30426838068517442</v>
      </c>
      <c r="AV191" s="21">
        <f>EXP(-LN(2)/25)*AV190+(1-EXP(-LN(2)/25))/(LN(2)/25)*Calculateur!AQ191*Calculateur!AS191*VLOOKUP('Données projet'!$B$10,Paramètres!$A$1:$I$89,3,0)*0.475*44/12</f>
        <v>0.26019636380729522</v>
      </c>
      <c r="AW191" s="21">
        <f>EXP(-LN(2)/2)*AW190+(1-EXP(-LN(2)/2))/(LN(2)/2)*AQ191*AT191*VLOOKUP('Données projet'!$B$10,Paramètres!$A$1:$I$89,3,0)*0.475*44/12</f>
        <v>3.3402902272616456E-23</v>
      </c>
      <c r="AX191" s="21">
        <f t="shared" si="166"/>
        <v>0.56446474449246964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252.98248842635206</v>
      </c>
      <c r="BJ191" s="59">
        <f t="shared" si="146"/>
        <v>207.11938580878308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4.5474735088646412E-13</v>
      </c>
      <c r="BZ191" s="13">
        <f>BY191*VLOOKUP('Données projet'!$B$12,Paramètres!$A$1:$I$89,3,0)*VLOOKUP('Données projet'!$B$12,Paramètres!$A$1:$I$89,5,0)</f>
        <v>2.5420376914553347E-13</v>
      </c>
      <c r="CA191" s="13">
        <f t="shared" si="170"/>
        <v>3.4258699088369875E-12</v>
      </c>
      <c r="CB191" s="20">
        <f t="shared" si="171"/>
        <v>6.4094616558195571E-12</v>
      </c>
      <c r="CC191" s="59">
        <f t="shared" si="119"/>
        <v>293.33333333333974</v>
      </c>
      <c r="CD191" s="59">
        <f ca="1">AVERAGE(OFFSET($CC$3,0,0,'Données projet'!$E$12+1,1))-AVERAGE(OFFSET($H$3,0,0,'Données projet'!$E$12+1,1))</f>
        <v>401.06118089678654</v>
      </c>
      <c r="CE191" s="59">
        <f t="shared" si="148"/>
        <v>399.58193819355591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0.44974670020027319</v>
      </c>
      <c r="CL191" s="21">
        <f>EXP(-LN(2)/25)*CL190+(1-EXP(-LN(2)/25))/(LN(2)/25)*Calculateur!CG191*Calculateur!CI191*VLOOKUP('Données projet'!$B$12,Paramètres!$A$1:$I$89,3,0)*0.475*44/12</f>
        <v>0.41812916995346361</v>
      </c>
      <c r="CM191" s="21">
        <f>EXP(-LN(2)/2)*CM190+(1-EXP(-LN(2)/2))/(LN(2)/2)*CG191*CJ191*VLOOKUP('Données projet'!$B$12,Paramètres!$A$1:$I$89,3,0)*0.475*44/12</f>
        <v>5.4146853364115271E-23</v>
      </c>
      <c r="CN191" s="22">
        <f t="shared" si="172"/>
        <v>0.86787587015373679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285.77483300338548</v>
      </c>
      <c r="CZ191" s="59">
        <f t="shared" si="150"/>
        <v>320.55212417690637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0.36512205682220911</v>
      </c>
      <c r="DG191" s="21">
        <f>EXP(-LN(2)/25)*DG190+(1-EXP(-LN(2)/25))/(LN(2)/25)*Calculateur!DB191*Calculateur!DD191*VLOOKUP('Données projet'!$B$13,Paramètres!$A$1:$I$89,3,0)*0.475*44/12</f>
        <v>0.34883924241837611</v>
      </c>
      <c r="DH191" s="21">
        <f>EXP(-LN(2)/2)*DH190+(1-EXP(-LN(2)/2))/(LN(2)/2)*DB191*DE191*VLOOKUP('Données projet'!$B$13,Paramètres!$A$1:$I$89,3,0)*0.475*44/12</f>
        <v>4.0368384463308557E-23</v>
      </c>
      <c r="DI191" s="22">
        <f t="shared" si="175"/>
        <v>0.71396129924058527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-3.177547114319168E-13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356.67698551373468</v>
      </c>
      <c r="T192" s="59">
        <f t="shared" si="142"/>
        <v>353.21836615408171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0.19596775187899851</v>
      </c>
      <c r="AA192" s="21">
        <f>EXP(-LN(2)/25)*AA191+(1-EXP(-LN(2)/25))/(LN(2)/25)*Calculateur!V192*Calculateur!X192*VLOOKUP('Données projet'!$B$9,Paramètres!$A$1:$I$89,3,0)*0.475*44/12</f>
        <v>0.36733894616830687</v>
      </c>
      <c r="AB192" s="21">
        <f>EXP(-LN(2)/2)*AB191+(1-EXP(-LN(2)/2))/(LN(2)/2)*V192*Y192*VLOOKUP('Données projet'!$B$9,Paramètres!$A$1:$I$89,3,0)*0.475*44/12</f>
        <v>3.8044665523668882E-23</v>
      </c>
      <c r="AC192" s="22">
        <f t="shared" si="163"/>
        <v>0.56330669804730538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3.9017322706058616E-13</v>
      </c>
      <c r="AK192" s="13">
        <f t="shared" si="164"/>
        <v>5.0025007393608908E-12</v>
      </c>
      <c r="AL192" s="20">
        <f t="shared" si="165"/>
        <v>9.3922404915174053E-12</v>
      </c>
      <c r="AM192" s="59">
        <f t="shared" si="113"/>
        <v>293.33333333334269</v>
      </c>
      <c r="AN192" s="59">
        <f ca="1">AVERAGE(OFFSET($AM$3,0,0,'Données projet'!$E$10+1,1))-AVERAGE(OFFSET($H$3,0,0,'Données projet'!$E$10+1,1))</f>
        <v>240.30073883588199</v>
      </c>
      <c r="AO192" s="59">
        <f t="shared" si="144"/>
        <v>263.20351282678843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0.29830186332532532</v>
      </c>
      <c r="AV192" s="21">
        <f>EXP(-LN(2)/25)*AV191+(1-EXP(-LN(2)/25))/(LN(2)/25)*Calculateur!AQ192*Calculateur!AS192*VLOOKUP('Données projet'!$B$10,Paramètres!$A$1:$I$89,3,0)*0.475*44/12</f>
        <v>0.25308128055585266</v>
      </c>
      <c r="AW192" s="21">
        <f>EXP(-LN(2)/2)*AW191+(1-EXP(-LN(2)/2))/(LN(2)/2)*AQ192*AT192*VLOOKUP('Données projet'!$B$10,Paramètres!$A$1:$I$89,3,0)*0.475*44/12</f>
        <v>2.3619418708278635E-23</v>
      </c>
      <c r="AX192" s="21">
        <f t="shared" si="166"/>
        <v>0.55138314388117804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252.98248842635206</v>
      </c>
      <c r="BJ192" s="59">
        <f t="shared" si="146"/>
        <v>207.11938580878308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4.5474735088646412E-13</v>
      </c>
      <c r="BZ192" s="13">
        <f>BY192*VLOOKUP('Données projet'!$B$12,Paramètres!$A$1:$I$89,3,0)*VLOOKUP('Données projet'!$B$12,Paramètres!$A$1:$I$89,5,0)</f>
        <v>2.5420376914553347E-13</v>
      </c>
      <c r="CA192" s="13">
        <f t="shared" si="170"/>
        <v>3.4258699088369875E-12</v>
      </c>
      <c r="CB192" s="20">
        <f t="shared" si="171"/>
        <v>6.4094616558195571E-12</v>
      </c>
      <c r="CC192" s="59">
        <f t="shared" si="119"/>
        <v>293.33333333333974</v>
      </c>
      <c r="CD192" s="59">
        <f ca="1">AVERAGE(OFFSET($CC$3,0,0,'Données projet'!$E$12+1,1))-AVERAGE(OFFSET($H$3,0,0,'Données projet'!$E$12+1,1))</f>
        <v>401.06118089678654</v>
      </c>
      <c r="CE192" s="59">
        <f t="shared" si="148"/>
        <v>399.58193819355591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0.44092744172774628</v>
      </c>
      <c r="CL192" s="21">
        <f>EXP(-LN(2)/25)*CL191+(1-EXP(-LN(2)/25))/(LN(2)/25)*Calculateur!CG192*Calculateur!CI192*VLOOKUP('Données projet'!$B$12,Paramètres!$A$1:$I$89,3,0)*0.475*44/12</f>
        <v>0.40669540581262875</v>
      </c>
      <c r="CM192" s="21">
        <f>EXP(-LN(2)/2)*CM191+(1-EXP(-LN(2)/2))/(LN(2)/2)*CG192*CJ192*VLOOKUP('Données projet'!$B$12,Paramètres!$A$1:$I$89,3,0)*0.475*44/12</f>
        <v>3.8287607193679533E-23</v>
      </c>
      <c r="CN192" s="22">
        <f t="shared" si="172"/>
        <v>0.84762284754037509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285.77483300338548</v>
      </c>
      <c r="CZ192" s="59">
        <f t="shared" si="150"/>
        <v>320.55212417690637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0.35796223599039023</v>
      </c>
      <c r="DG192" s="21">
        <f>EXP(-LN(2)/25)*DG191+(1-EXP(-LN(2)/25))/(LN(2)/25)*Calculateur!DB192*Calculateur!DD192*VLOOKUP('Données projet'!$B$13,Paramètres!$A$1:$I$89,3,0)*0.475*44/12</f>
        <v>0.33930021498978713</v>
      </c>
      <c r="DH192" s="21">
        <f>EXP(-LN(2)/2)*DH191+(1-EXP(-LN(2)/2))/(LN(2)/2)*DB192*DE192*VLOOKUP('Données projet'!$B$13,Paramètres!$A$1:$I$89,3,0)*0.475*44/12</f>
        <v>2.8544758399551148E-23</v>
      </c>
      <c r="DI192" s="22">
        <f t="shared" si="175"/>
        <v>0.69726245098017736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-3.177547114319168E-13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356.67698551373468</v>
      </c>
      <c r="T193" s="59">
        <f t="shared" si="142"/>
        <v>353.21836615408171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0.19212494379317754</v>
      </c>
      <c r="AA193" s="21">
        <f>EXP(-LN(2)/25)*AA192+(1-EXP(-LN(2)/25))/(LN(2)/25)*Calculateur!V193*Calculateur!X193*VLOOKUP('Données projet'!$B$9,Paramètres!$A$1:$I$89,3,0)*0.475*44/12</f>
        <v>0.35729404336781889</v>
      </c>
      <c r="AB193" s="21">
        <f>EXP(-LN(2)/2)*AB192+(1-EXP(-LN(2)/2))/(LN(2)/2)*V193*Y193*VLOOKUP('Données projet'!$B$9,Paramètres!$A$1:$I$89,3,0)*0.475*44/12</f>
        <v>2.6901640979760321E-23</v>
      </c>
      <c r="AC193" s="22">
        <f t="shared" si="163"/>
        <v>0.54941898716099646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3.9017322706058616E-13</v>
      </c>
      <c r="AK193" s="13">
        <f t="shared" si="164"/>
        <v>5.0025007393608908E-12</v>
      </c>
      <c r="AL193" s="20">
        <f t="shared" si="165"/>
        <v>9.3922404915174053E-12</v>
      </c>
      <c r="AM193" s="59">
        <f t="shared" si="113"/>
        <v>293.33333333334269</v>
      </c>
      <c r="AN193" s="59">
        <f ca="1">AVERAGE(OFFSET($AM$3,0,0,'Données projet'!$E$10+1,1))-AVERAGE(OFFSET($H$3,0,0,'Données projet'!$E$10+1,1))</f>
        <v>240.30073883588199</v>
      </c>
      <c r="AO193" s="59">
        <f t="shared" si="144"/>
        <v>263.20351282678843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0.2924523457316866</v>
      </c>
      <c r="AV193" s="21">
        <f>EXP(-LN(2)/25)*AV192+(1-EXP(-LN(2)/25))/(LN(2)/25)*Calculateur!AQ193*Calculateur!AS193*VLOOKUP('Données projet'!$B$10,Paramètres!$A$1:$I$89,3,0)*0.475*44/12</f>
        <v>0.24616075963008674</v>
      </c>
      <c r="AW193" s="21">
        <f>EXP(-LN(2)/2)*AW192+(1-EXP(-LN(2)/2))/(LN(2)/2)*AQ193*AT193*VLOOKUP('Données projet'!$B$10,Paramètres!$A$1:$I$89,3,0)*0.475*44/12</f>
        <v>1.6701451136308228E-23</v>
      </c>
      <c r="AX193" s="21">
        <f t="shared" si="166"/>
        <v>0.53861310536177331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252.98248842635206</v>
      </c>
      <c r="BJ193" s="59">
        <f t="shared" si="146"/>
        <v>207.11938580878308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4.5474735088646412E-13</v>
      </c>
      <c r="BZ193" s="13">
        <f>BY193*VLOOKUP('Données projet'!$B$12,Paramètres!$A$1:$I$89,3,0)*VLOOKUP('Données projet'!$B$12,Paramètres!$A$1:$I$89,5,0)</f>
        <v>2.5420376914553347E-13</v>
      </c>
      <c r="CA193" s="13">
        <f t="shared" si="170"/>
        <v>3.4258699088369875E-12</v>
      </c>
      <c r="CB193" s="20">
        <f t="shared" si="171"/>
        <v>6.4094616558195571E-12</v>
      </c>
      <c r="CC193" s="59">
        <f t="shared" si="119"/>
        <v>293.33333333333974</v>
      </c>
      <c r="CD193" s="59">
        <f ca="1">AVERAGE(OFFSET($CC$3,0,0,'Données projet'!$E$12+1,1))-AVERAGE(OFFSET($H$3,0,0,'Données projet'!$E$12+1,1))</f>
        <v>401.06118089678654</v>
      </c>
      <c r="CE193" s="59">
        <f t="shared" si="148"/>
        <v>399.58193819355591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0.43228112353464909</v>
      </c>
      <c r="CL193" s="21">
        <f>EXP(-LN(2)/25)*CL192+(1-EXP(-LN(2)/25))/(LN(2)/25)*Calculateur!CG193*Calculateur!CI193*VLOOKUP('Données projet'!$B$12,Paramètres!$A$1:$I$89,3,0)*0.475*44/12</f>
        <v>0.39557429855350057</v>
      </c>
      <c r="CM193" s="21">
        <f>EXP(-LN(2)/2)*CM192+(1-EXP(-LN(2)/2))/(LN(2)/2)*CG193*CJ193*VLOOKUP('Données projet'!$B$12,Paramètres!$A$1:$I$89,3,0)*0.475*44/12</f>
        <v>2.7073426682057636E-23</v>
      </c>
      <c r="CN193" s="22">
        <f t="shared" si="172"/>
        <v>0.82785542208814966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285.77483300338548</v>
      </c>
      <c r="CZ193" s="59">
        <f t="shared" si="150"/>
        <v>320.55212417690637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0.35094281487802381</v>
      </c>
      <c r="DG193" s="21">
        <f>EXP(-LN(2)/25)*DG192+(1-EXP(-LN(2)/25))/(LN(2)/25)*Calculateur!DB193*Calculateur!DD193*VLOOKUP('Données projet'!$B$13,Paramètres!$A$1:$I$89,3,0)*0.475*44/12</f>
        <v>0.33002203276786857</v>
      </c>
      <c r="DH193" s="21">
        <f>EXP(-LN(2)/2)*DH192+(1-EXP(-LN(2)/2))/(LN(2)/2)*DB193*DE193*VLOOKUP('Données projet'!$B$13,Paramètres!$A$1:$I$89,3,0)*0.475*44/12</f>
        <v>2.0184192231654279E-23</v>
      </c>
      <c r="DI193" s="22">
        <f t="shared" si="175"/>
        <v>0.68096484764589238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-3.177547114319168E-13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356.67698551373468</v>
      </c>
      <c r="T194" s="59">
        <f t="shared" si="142"/>
        <v>353.21836615408171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0.18835749083003803</v>
      </c>
      <c r="AA194" s="21">
        <f>EXP(-LN(2)/25)*AA193+(1-EXP(-LN(2)/25))/(LN(2)/25)*Calculateur!V194*Calculateur!X194*VLOOKUP('Données projet'!$B$9,Paramètres!$A$1:$I$89,3,0)*0.475*44/12</f>
        <v>0.34752381896264872</v>
      </c>
      <c r="AB194" s="21">
        <f>EXP(-LN(2)/2)*AB193+(1-EXP(-LN(2)/2))/(LN(2)/2)*V194*Y194*VLOOKUP('Données projet'!$B$9,Paramètres!$A$1:$I$89,3,0)*0.475*44/12</f>
        <v>1.9022332761834441E-23</v>
      </c>
      <c r="AC194" s="22">
        <f t="shared" si="163"/>
        <v>0.53588130979268678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3.9017322706058616E-13</v>
      </c>
      <c r="AK194" s="13">
        <f t="shared" si="164"/>
        <v>5.0025007393608908E-12</v>
      </c>
      <c r="AL194" s="20">
        <f t="shared" si="165"/>
        <v>9.3922404915174053E-12</v>
      </c>
      <c r="AM194" s="59">
        <f t="shared" si="113"/>
        <v>293.33333333334269</v>
      </c>
      <c r="AN194" s="59">
        <f ca="1">AVERAGE(OFFSET($AM$3,0,0,'Données projet'!$E$10+1,1))-AVERAGE(OFFSET($H$3,0,0,'Données projet'!$E$10+1,1))</f>
        <v>240.30073883588199</v>
      </c>
      <c r="AO194" s="59">
        <f t="shared" si="144"/>
        <v>263.20351282678843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0.28671753361020574</v>
      </c>
      <c r="AV194" s="21">
        <f>EXP(-LN(2)/25)*AV193+(1-EXP(-LN(2)/25))/(LN(2)/25)*Calculateur!AQ194*Calculateur!AS194*VLOOKUP('Données projet'!$B$10,Paramètres!$A$1:$I$89,3,0)*0.475*44/12</f>
        <v>0.23942948071297027</v>
      </c>
      <c r="AW194" s="21">
        <f>EXP(-LN(2)/2)*AW193+(1-EXP(-LN(2)/2))/(LN(2)/2)*AQ194*AT194*VLOOKUP('Données projet'!$B$10,Paramètres!$A$1:$I$89,3,0)*0.475*44/12</f>
        <v>1.1809709354139318E-23</v>
      </c>
      <c r="AX194" s="21">
        <f t="shared" si="166"/>
        <v>0.52614701432317601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252.98248842635206</v>
      </c>
      <c r="BJ194" s="59">
        <f t="shared" si="146"/>
        <v>207.11938580878308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4.5474735088646412E-13</v>
      </c>
      <c r="BZ194" s="13">
        <f>BY194*VLOOKUP('Données projet'!$B$12,Paramètres!$A$1:$I$89,3,0)*VLOOKUP('Données projet'!$B$12,Paramètres!$A$1:$I$89,5,0)</f>
        <v>2.5420376914553347E-13</v>
      </c>
      <c r="CA194" s="13">
        <f t="shared" si="170"/>
        <v>3.4258699088369875E-12</v>
      </c>
      <c r="CB194" s="20">
        <f t="shared" si="171"/>
        <v>6.4094616558195571E-12</v>
      </c>
      <c r="CC194" s="59">
        <f t="shared" si="119"/>
        <v>293.33333333333974</v>
      </c>
      <c r="CD194" s="59">
        <f ca="1">AVERAGE(OFFSET($CC$3,0,0,'Données projet'!$E$12+1,1))-AVERAGE(OFFSET($H$3,0,0,'Données projet'!$E$12+1,1))</f>
        <v>401.06118089678654</v>
      </c>
      <c r="CE194" s="59">
        <f t="shared" si="148"/>
        <v>399.58193819355591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0.42380435436758518</v>
      </c>
      <c r="CL194" s="21">
        <f>EXP(-LN(2)/25)*CL193+(1-EXP(-LN(2)/25))/(LN(2)/25)*Calculateur!CG194*Calculateur!CI194*VLOOKUP('Données projet'!$B$12,Paramètres!$A$1:$I$89,3,0)*0.475*44/12</f>
        <v>0.38475729855720681</v>
      </c>
      <c r="CM194" s="21">
        <f>EXP(-LN(2)/2)*CM193+(1-EXP(-LN(2)/2))/(LN(2)/2)*CG194*CJ194*VLOOKUP('Données projet'!$B$12,Paramètres!$A$1:$I$89,3,0)*0.475*44/12</f>
        <v>1.9143803596839767E-23</v>
      </c>
      <c r="CN194" s="22">
        <f t="shared" si="172"/>
        <v>0.80856165292479198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285.77483300338548</v>
      </c>
      <c r="CZ194" s="59">
        <f t="shared" si="150"/>
        <v>320.55212417690637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0.34406104033224677</v>
      </c>
      <c r="DG194" s="21">
        <f>EXP(-LN(2)/25)*DG193+(1-EXP(-LN(2)/25))/(LN(2)/25)*Calculateur!DB194*Calculateur!DD194*VLOOKUP('Données projet'!$B$13,Paramètres!$A$1:$I$89,3,0)*0.475*44/12</f>
        <v>0.32099756292672676</v>
      </c>
      <c r="DH194" s="21">
        <f>EXP(-LN(2)/2)*DH193+(1-EXP(-LN(2)/2))/(LN(2)/2)*DB194*DE194*VLOOKUP('Données projet'!$B$13,Paramètres!$A$1:$I$89,3,0)*0.475*44/12</f>
        <v>1.4272379199775574E-23</v>
      </c>
      <c r="DI194" s="22">
        <f t="shared" si="175"/>
        <v>0.66505860325897359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-3.177547114319168E-13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356.67698551373468</v>
      </c>
      <c r="T195" s="59">
        <f t="shared" si="142"/>
        <v>353.21836615408171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0.18466391532158627</v>
      </c>
      <c r="AA195" s="21">
        <f>EXP(-LN(2)/25)*AA194+(1-EXP(-LN(2)/25))/(LN(2)/25)*Calculateur!V195*Calculateur!X195*VLOOKUP('Données projet'!$B$9,Paramètres!$A$1:$I$89,3,0)*0.475*44/12</f>
        <v>0.33802076185763175</v>
      </c>
      <c r="AB195" s="21">
        <f>EXP(-LN(2)/2)*AB194+(1-EXP(-LN(2)/2))/(LN(2)/2)*V195*Y195*VLOOKUP('Données projet'!$B$9,Paramètres!$A$1:$I$89,3,0)*0.475*44/12</f>
        <v>1.345082048988016E-23</v>
      </c>
      <c r="AC195" s="22">
        <f t="shared" si="163"/>
        <v>0.52268467717921796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3.9017322706058616E-13</v>
      </c>
      <c r="AK195" s="13">
        <f t="shared" si="164"/>
        <v>5.0025007393608908E-12</v>
      </c>
      <c r="AL195" s="20">
        <f t="shared" si="165"/>
        <v>9.3922404915174053E-12</v>
      </c>
      <c r="AM195" s="59">
        <f t="shared" si="113"/>
        <v>293.33333333334269</v>
      </c>
      <c r="AN195" s="59">
        <f ca="1">AVERAGE(OFFSET($AM$3,0,0,'Données projet'!$E$10+1,1))-AVERAGE(OFFSET($H$3,0,0,'Données projet'!$E$10+1,1))</f>
        <v>240.30073883588199</v>
      </c>
      <c r="AO195" s="59">
        <f t="shared" si="144"/>
        <v>263.20351282678843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0.28109517765653708</v>
      </c>
      <c r="AV195" s="21">
        <f>EXP(-LN(2)/25)*AV194+(1-EXP(-LN(2)/25))/(LN(2)/25)*Calculateur!AQ195*Calculateur!AS195*VLOOKUP('Données projet'!$B$10,Paramètres!$A$1:$I$89,3,0)*0.475*44/12</f>
        <v>0.23288226897182493</v>
      </c>
      <c r="AW195" s="21">
        <f>EXP(-LN(2)/2)*AW194+(1-EXP(-LN(2)/2))/(LN(2)/2)*AQ195*AT195*VLOOKUP('Données projet'!$B$10,Paramètres!$A$1:$I$89,3,0)*0.475*44/12</f>
        <v>8.3507255681541139E-24</v>
      </c>
      <c r="AX195" s="21">
        <f t="shared" si="166"/>
        <v>0.51397744662836198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252.98248842635206</v>
      </c>
      <c r="BJ195" s="59">
        <f t="shared" si="146"/>
        <v>207.11938580878308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4.5474735088646412E-13</v>
      </c>
      <c r="BZ195" s="13">
        <f>BY195*VLOOKUP('Données projet'!$B$12,Paramètres!$A$1:$I$89,3,0)*VLOOKUP('Données projet'!$B$12,Paramètres!$A$1:$I$89,5,0)</f>
        <v>2.5420376914553347E-13</v>
      </c>
      <c r="CA195" s="13">
        <f t="shared" si="170"/>
        <v>3.4258699088369875E-12</v>
      </c>
      <c r="CB195" s="20">
        <f t="shared" si="171"/>
        <v>6.4094616558195571E-12</v>
      </c>
      <c r="CC195" s="59">
        <f t="shared" si="119"/>
        <v>293.33333333333974</v>
      </c>
      <c r="CD195" s="59">
        <f ca="1">AVERAGE(OFFSET($CC$3,0,0,'Données projet'!$E$12+1,1))-AVERAGE(OFFSET($H$3,0,0,'Données projet'!$E$12+1,1))</f>
        <v>401.06118089678654</v>
      </c>
      <c r="CE195" s="59">
        <f t="shared" si="148"/>
        <v>399.58193819355591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0.41549380947356873</v>
      </c>
      <c r="CL195" s="21">
        <f>EXP(-LN(2)/25)*CL194+(1-EXP(-LN(2)/25))/(LN(2)/25)*Calculateur!CG195*Calculateur!CI195*VLOOKUP('Données projet'!$B$12,Paramètres!$A$1:$I$89,3,0)*0.475*44/12</f>
        <v>0.37423608999465302</v>
      </c>
      <c r="CM195" s="21">
        <f>EXP(-LN(2)/2)*CM194+(1-EXP(-LN(2)/2))/(LN(2)/2)*CG195*CJ195*VLOOKUP('Données projet'!$B$12,Paramètres!$A$1:$I$89,3,0)*0.475*44/12</f>
        <v>1.3536713341028818E-23</v>
      </c>
      <c r="CN195" s="22">
        <f t="shared" si="172"/>
        <v>0.78972989946822181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285.77483300338548</v>
      </c>
      <c r="CZ195" s="59">
        <f t="shared" si="150"/>
        <v>320.55212417690637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0.33731421318784438</v>
      </c>
      <c r="DG195" s="21">
        <f>EXP(-LN(2)/25)*DG194+(1-EXP(-LN(2)/25))/(LN(2)/25)*Calculateur!DB195*Calculateur!DD195*VLOOKUP('Données projet'!$B$13,Paramètres!$A$1:$I$89,3,0)*0.475*44/12</f>
        <v>0.31221986768796722</v>
      </c>
      <c r="DH195" s="21">
        <f>EXP(-LN(2)/2)*DH194+(1-EXP(-LN(2)/2))/(LN(2)/2)*DB195*DE195*VLOOKUP('Données projet'!$B$13,Paramètres!$A$1:$I$89,3,0)*0.475*44/12</f>
        <v>1.0092096115827139E-23</v>
      </c>
      <c r="DI195" s="22">
        <f t="shared" si="175"/>
        <v>0.64953408087581166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-3.177547114319168E-13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356.67698551373468</v>
      </c>
      <c r="T196" s="59">
        <f t="shared" si="142"/>
        <v>353.21836615408171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0.18104276857599663</v>
      </c>
      <c r="AA196" s="21">
        <f>EXP(-LN(2)/25)*AA195+(1-EXP(-LN(2)/25))/(LN(2)/25)*Calculateur!V196*Calculateur!X196*VLOOKUP('Données projet'!$B$9,Paramètres!$A$1:$I$89,3,0)*0.475*44/12</f>
        <v>0.32877756634889549</v>
      </c>
      <c r="AB196" s="21">
        <f>EXP(-LN(2)/2)*AB195+(1-EXP(-LN(2)/2))/(LN(2)/2)*V196*Y196*VLOOKUP('Données projet'!$B$9,Paramètres!$A$1:$I$89,3,0)*0.475*44/12</f>
        <v>9.5111663809172205E-24</v>
      </c>
      <c r="AC196" s="22">
        <f t="shared" si="163"/>
        <v>0.50982033492489209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3.9017322706058616E-13</v>
      </c>
      <c r="AK196" s="13">
        <f t="shared" si="164"/>
        <v>5.0025007393608908E-12</v>
      </c>
      <c r="AL196" s="20">
        <f t="shared" si="165"/>
        <v>9.3922404915174053E-12</v>
      </c>
      <c r="AM196" s="59">
        <f t="shared" ref="AM196:AM203" si="193">AL196+(AD196+AE196)*44/12</f>
        <v>293.33333333334269</v>
      </c>
      <c r="AN196" s="59">
        <f ca="1">AVERAGE(OFFSET($AM$3,0,0,'Données projet'!$E$10+1,1))-AVERAGE(OFFSET($H$3,0,0,'Données projet'!$E$10+1,1))</f>
        <v>240.30073883588199</v>
      </c>
      <c r="AO196" s="59">
        <f t="shared" si="144"/>
        <v>263.20351282678843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0.27558307267382137</v>
      </c>
      <c r="AV196" s="21">
        <f>EXP(-LN(2)/25)*AV195+(1-EXP(-LN(2)/25))/(LN(2)/25)*Calculateur!AQ196*Calculateur!AS196*VLOOKUP('Données projet'!$B$10,Paramètres!$A$1:$I$89,3,0)*0.475*44/12</f>
        <v>0.22651409108004411</v>
      </c>
      <c r="AW196" s="21">
        <f>EXP(-LN(2)/2)*AW195+(1-EXP(-LN(2)/2))/(LN(2)/2)*AQ196*AT196*VLOOKUP('Données projet'!$B$10,Paramètres!$A$1:$I$89,3,0)*0.475*44/12</f>
        <v>5.9048546770696588E-24</v>
      </c>
      <c r="AX196" s="21">
        <f t="shared" si="166"/>
        <v>0.50209716375386548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252.98248842635206</v>
      </c>
      <c r="BJ196" s="59">
        <f t="shared" si="146"/>
        <v>207.11938580878308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4.5474735088646412E-13</v>
      </c>
      <c r="BZ196" s="13">
        <f>BY196*VLOOKUP('Données projet'!$B$12,Paramètres!$A$1:$I$89,3,0)*VLOOKUP('Données projet'!$B$12,Paramètres!$A$1:$I$89,5,0)</f>
        <v>2.5420376914553347E-13</v>
      </c>
      <c r="CA196" s="13">
        <f t="shared" si="170"/>
        <v>3.4258699088369875E-12</v>
      </c>
      <c r="CB196" s="20">
        <f t="shared" si="171"/>
        <v>6.4094616558195571E-12</v>
      </c>
      <c r="CC196" s="59">
        <f t="shared" ref="CC196:CC203" si="195">CB196+(BT196+BU196)*44/12</f>
        <v>293.33333333333974</v>
      </c>
      <c r="CD196" s="59">
        <f ca="1">AVERAGE(OFFSET($CC$3,0,0,'Données projet'!$E$12+1,1))-AVERAGE(OFFSET($H$3,0,0,'Données projet'!$E$12+1,1))</f>
        <v>401.06118089678654</v>
      </c>
      <c r="CE196" s="59">
        <f t="shared" si="148"/>
        <v>399.58193819355591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0.40734622929599207</v>
      </c>
      <c r="CL196" s="21">
        <f>EXP(-LN(2)/25)*CL195+(1-EXP(-LN(2)/25))/(LN(2)/25)*Calculateur!CG196*Calculateur!CI196*VLOOKUP('Données projet'!$B$12,Paramètres!$A$1:$I$89,3,0)*0.475*44/12</f>
        <v>0.36400258443352856</v>
      </c>
      <c r="CM196" s="21">
        <f>EXP(-LN(2)/2)*CM195+(1-EXP(-LN(2)/2))/(LN(2)/2)*CG196*CJ196*VLOOKUP('Données projet'!$B$12,Paramètres!$A$1:$I$89,3,0)*0.475*44/12</f>
        <v>9.5719017984198833E-24</v>
      </c>
      <c r="CN196" s="22">
        <f t="shared" si="172"/>
        <v>0.77134881372952058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285.77483300338548</v>
      </c>
      <c r="CZ196" s="59">
        <f t="shared" si="150"/>
        <v>320.55212417690637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0.3306996872085855</v>
      </c>
      <c r="DG196" s="21">
        <f>EXP(-LN(2)/25)*DG195+(1-EXP(-LN(2)/25))/(LN(2)/25)*Calculateur!DB196*Calculateur!DD196*VLOOKUP('Données projet'!$B$13,Paramètres!$A$1:$I$89,3,0)*0.475*44/12</f>
        <v>0.30368219898711052</v>
      </c>
      <c r="DH196" s="21">
        <f>EXP(-LN(2)/2)*DH195+(1-EXP(-LN(2)/2))/(LN(2)/2)*DB196*DE196*VLOOKUP('Données projet'!$B$13,Paramètres!$A$1:$I$89,3,0)*0.475*44/12</f>
        <v>7.1361895998877871E-24</v>
      </c>
      <c r="DI196" s="22">
        <f t="shared" si="175"/>
        <v>0.63438188619569602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-3.177547114319168E-13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356.67698551373468</v>
      </c>
      <c r="T197" s="59">
        <f t="shared" ref="T197:T203" si="204">$T$3</f>
        <v>353.21836615408171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0.1774926303094066</v>
      </c>
      <c r="AA197" s="21">
        <f>EXP(-LN(2)/25)*AA196+(1-EXP(-LN(2)/25))/(LN(2)/25)*Calculateur!V197*Calculateur!X197*VLOOKUP('Données projet'!$B$9,Paramètres!$A$1:$I$89,3,0)*0.475*44/12</f>
        <v>0.31978712650742414</v>
      </c>
      <c r="AB197" s="21">
        <f>EXP(-LN(2)/2)*AB196+(1-EXP(-LN(2)/2))/(LN(2)/2)*V197*Y197*VLOOKUP('Données projet'!$B$9,Paramètres!$A$1:$I$89,3,0)*0.475*44/12</f>
        <v>6.7254102449400802E-24</v>
      </c>
      <c r="AC197" s="22">
        <f t="shared" si="163"/>
        <v>0.49727975681683073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3.9017322706058616E-13</v>
      </c>
      <c r="AK197" s="13">
        <f t="shared" si="164"/>
        <v>5.0025007393608908E-12</v>
      </c>
      <c r="AL197" s="20">
        <f t="shared" si="165"/>
        <v>9.3922404915174053E-12</v>
      </c>
      <c r="AM197" s="59">
        <f t="shared" si="193"/>
        <v>293.33333333334269</v>
      </c>
      <c r="AN197" s="59">
        <f ca="1">AVERAGE(OFFSET($AM$3,0,0,'Données projet'!$E$10+1,1))-AVERAGE(OFFSET($H$3,0,0,'Données projet'!$E$10+1,1))</f>
        <v>240.30073883588199</v>
      </c>
      <c r="AO197" s="59">
        <f t="shared" ref="AO197:AO203" si="205">$AO$3</f>
        <v>263.20351282678843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0.27017905670776465</v>
      </c>
      <c r="AV197" s="21">
        <f>EXP(-LN(2)/25)*AV196+(1-EXP(-LN(2)/25))/(LN(2)/25)*Calculateur!AQ197*Calculateur!AS197*VLOOKUP('Données projet'!$B$10,Paramètres!$A$1:$I$89,3,0)*0.475*44/12</f>
        <v>0.22032005134760196</v>
      </c>
      <c r="AW197" s="21">
        <f>EXP(-LN(2)/2)*AW196+(1-EXP(-LN(2)/2))/(LN(2)/2)*AQ197*AT197*VLOOKUP('Données projet'!$B$10,Paramètres!$A$1:$I$89,3,0)*0.475*44/12</f>
        <v>4.1753627840770569E-24</v>
      </c>
      <c r="AX197" s="21">
        <f t="shared" si="166"/>
        <v>0.49049910805536662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252.98248842635206</v>
      </c>
      <c r="BJ197" s="59">
        <f t="shared" ref="BJ197:BJ203" si="206">$BJ$3</f>
        <v>207.11938580878308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4.5474735088646412E-13</v>
      </c>
      <c r="BZ197" s="13">
        <f>BY197*VLOOKUP('Données projet'!$B$12,Paramètres!$A$1:$I$89,3,0)*VLOOKUP('Données projet'!$B$12,Paramètres!$A$1:$I$89,5,0)</f>
        <v>2.5420376914553347E-13</v>
      </c>
      <c r="CA197" s="13">
        <f t="shared" si="170"/>
        <v>3.4258699088369875E-12</v>
      </c>
      <c r="CB197" s="20">
        <f t="shared" si="171"/>
        <v>6.4094616558195571E-12</v>
      </c>
      <c r="CC197" s="59">
        <f t="shared" si="195"/>
        <v>293.33333333333974</v>
      </c>
      <c r="CD197" s="59">
        <f ca="1">AVERAGE(OFFSET($CC$3,0,0,'Données projet'!$E$12+1,1))-AVERAGE(OFFSET($H$3,0,0,'Données projet'!$E$12+1,1))</f>
        <v>401.06118089678654</v>
      </c>
      <c r="CE197" s="59">
        <f t="shared" ref="CE197:CE203" si="207">$CE$3</f>
        <v>399.58193819355591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0.39935841819616447</v>
      </c>
      <c r="CL197" s="21">
        <f>EXP(-LN(2)/25)*CL196+(1-EXP(-LN(2)/25))/(LN(2)/25)*Calculateur!CG197*Calculateur!CI197*VLOOKUP('Données projet'!$B$12,Paramètres!$A$1:$I$89,3,0)*0.475*44/12</f>
        <v>0.35404891462012977</v>
      </c>
      <c r="CM197" s="21">
        <f>EXP(-LN(2)/2)*CM196+(1-EXP(-LN(2)/2))/(LN(2)/2)*CG197*CJ197*VLOOKUP('Données projet'!$B$12,Paramètres!$A$1:$I$89,3,0)*0.475*44/12</f>
        <v>6.7683566705144089E-24</v>
      </c>
      <c r="CN197" s="22">
        <f t="shared" si="172"/>
        <v>0.75340733281629424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285.77483300338548</v>
      </c>
      <c r="CZ197" s="59">
        <f t="shared" ref="CZ197:CZ203" si="208">$CZ$3</f>
        <v>320.55212417690637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0.32421486804931743</v>
      </c>
      <c r="DG197" s="21">
        <f>EXP(-LN(2)/25)*DG196+(1-EXP(-LN(2)/25))/(LN(2)/25)*Calculateur!DB197*Calculateur!DD197*VLOOKUP('Données projet'!$B$13,Paramètres!$A$1:$I$89,3,0)*0.475*44/12</f>
        <v>0.29537799328585523</v>
      </c>
      <c r="DH197" s="21">
        <f>EXP(-LN(2)/2)*DH196+(1-EXP(-LN(2)/2))/(LN(2)/2)*DB197*DE197*VLOOKUP('Données projet'!$B$13,Paramètres!$A$1:$I$89,3,0)*0.475*44/12</f>
        <v>5.0460480579135697E-24</v>
      </c>
      <c r="DI197" s="22">
        <f t="shared" si="175"/>
        <v>0.61959286133517266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-3.177547114319168E-13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356.67698551373468</v>
      </c>
      <c r="T198" s="59">
        <f t="shared" si="204"/>
        <v>353.21836615408171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0.17401210808885384</v>
      </c>
      <c r="AA198" s="21">
        <f>EXP(-LN(2)/25)*AA197+(1-EXP(-LN(2)/25))/(LN(2)/25)*Calculateur!V198*Calculateur!X198*VLOOKUP('Données projet'!$B$9,Paramètres!$A$1:$I$89,3,0)*0.475*44/12</f>
        <v>0.31104253071620452</v>
      </c>
      <c r="AB198" s="21">
        <f>EXP(-LN(2)/2)*AB197+(1-EXP(-LN(2)/2))/(LN(2)/2)*V198*Y198*VLOOKUP('Données projet'!$B$9,Paramètres!$A$1:$I$89,3,0)*0.475*44/12</f>
        <v>4.7555831904586103E-24</v>
      </c>
      <c r="AC198" s="22">
        <f t="shared" si="163"/>
        <v>0.48505463880505839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3.9017322706058616E-13</v>
      </c>
      <c r="AK198" s="13">
        <f t="shared" si="164"/>
        <v>5.0025007393608908E-12</v>
      </c>
      <c r="AL198" s="20">
        <f t="shared" si="165"/>
        <v>9.3922404915174053E-12</v>
      </c>
      <c r="AM198" s="59">
        <f t="shared" si="193"/>
        <v>293.33333333334269</v>
      </c>
      <c r="AN198" s="59">
        <f ca="1">AVERAGE(OFFSET($AM$3,0,0,'Données projet'!$E$10+1,1))-AVERAGE(OFFSET($H$3,0,0,'Données projet'!$E$10+1,1))</f>
        <v>240.30073883588199</v>
      </c>
      <c r="AO198" s="59">
        <f t="shared" si="205"/>
        <v>263.20351282678843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0.26488101019867805</v>
      </c>
      <c r="AV198" s="21">
        <f>EXP(-LN(2)/25)*AV197+(1-EXP(-LN(2)/25))/(LN(2)/25)*Calculateur!AQ198*Calculateur!AS198*VLOOKUP('Données projet'!$B$10,Paramètres!$A$1:$I$89,3,0)*0.475*44/12</f>
        <v>0.21429538795737382</v>
      </c>
      <c r="AW198" s="21">
        <f>EXP(-LN(2)/2)*AW197+(1-EXP(-LN(2)/2))/(LN(2)/2)*AQ198*AT198*VLOOKUP('Données projet'!$B$10,Paramètres!$A$1:$I$89,3,0)*0.475*44/12</f>
        <v>2.9524273385348294E-24</v>
      </c>
      <c r="AX198" s="21">
        <f t="shared" si="166"/>
        <v>0.47917639815605184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252.98248842635206</v>
      </c>
      <c r="BJ198" s="59">
        <f t="shared" si="206"/>
        <v>207.11938580878308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4.5474735088646412E-13</v>
      </c>
      <c r="BZ198" s="13">
        <f>BY198*VLOOKUP('Données projet'!$B$12,Paramètres!$A$1:$I$89,3,0)*VLOOKUP('Données projet'!$B$12,Paramètres!$A$1:$I$89,5,0)</f>
        <v>2.5420376914553347E-13</v>
      </c>
      <c r="CA198" s="13">
        <f t="shared" si="170"/>
        <v>3.4258699088369875E-12</v>
      </c>
      <c r="CB198" s="20">
        <f t="shared" si="171"/>
        <v>6.4094616558195571E-12</v>
      </c>
      <c r="CC198" s="59">
        <f t="shared" si="195"/>
        <v>293.33333333333974</v>
      </c>
      <c r="CD198" s="59">
        <f ca="1">AVERAGE(OFFSET($CC$3,0,0,'Données projet'!$E$12+1,1))-AVERAGE(OFFSET($H$3,0,0,'Données projet'!$E$12+1,1))</f>
        <v>401.06118089678654</v>
      </c>
      <c r="CE198" s="59">
        <f t="shared" si="207"/>
        <v>399.58193819355591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0.39152724319992083</v>
      </c>
      <c r="CL198" s="21">
        <f>EXP(-LN(2)/25)*CL197+(1-EXP(-LN(2)/25))/(LN(2)/25)*Calculateur!CG198*Calculateur!CI198*VLOOKUP('Données projet'!$B$12,Paramètres!$A$1:$I$89,3,0)*0.475*44/12</f>
        <v>0.34436742843121909</v>
      </c>
      <c r="CM198" s="21">
        <f>EXP(-LN(2)/2)*CM197+(1-EXP(-LN(2)/2))/(LN(2)/2)*CG198*CJ198*VLOOKUP('Données projet'!$B$12,Paramètres!$A$1:$I$89,3,0)*0.475*44/12</f>
        <v>4.7859508992099417E-24</v>
      </c>
      <c r="CN198" s="22">
        <f t="shared" si="172"/>
        <v>0.73589467163113986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285.77483300338548</v>
      </c>
      <c r="CZ198" s="59">
        <f t="shared" si="208"/>
        <v>320.55212417690637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0.31785721223841346</v>
      </c>
      <c r="DG198" s="21">
        <f>EXP(-LN(2)/25)*DG197+(1-EXP(-LN(2)/25))/(LN(2)/25)*Calculateur!DB198*Calculateur!DD198*VLOOKUP('Données projet'!$B$13,Paramètres!$A$1:$I$89,3,0)*0.475*44/12</f>
        <v>0.28730086652619996</v>
      </c>
      <c r="DH198" s="21">
        <f>EXP(-LN(2)/2)*DH197+(1-EXP(-LN(2)/2))/(LN(2)/2)*DB198*DE198*VLOOKUP('Données projet'!$B$13,Paramètres!$A$1:$I$89,3,0)*0.475*44/12</f>
        <v>3.5680947999438935E-24</v>
      </c>
      <c r="DI198" s="22">
        <f t="shared" si="175"/>
        <v>0.60515807876461336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-3.177547114319168E-13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356.67698551373468</v>
      </c>
      <c r="T199" s="59">
        <f t="shared" si="204"/>
        <v>353.21836615408171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0.17059983678613719</v>
      </c>
      <c r="AA199" s="21">
        <f>EXP(-LN(2)/25)*AA198+(1-EXP(-LN(2)/25))/(LN(2)/25)*Calculateur!V199*Calculateur!X199*VLOOKUP('Données projet'!$B$9,Paramètres!$A$1:$I$89,3,0)*0.475*44/12</f>
        <v>0.3025370563567541</v>
      </c>
      <c r="AB199" s="21">
        <f>EXP(-LN(2)/2)*AB198+(1-EXP(-LN(2)/2))/(LN(2)/2)*V199*Y199*VLOOKUP('Données projet'!$B$9,Paramètres!$A$1:$I$89,3,0)*0.475*44/12</f>
        <v>3.3627051224700401E-24</v>
      </c>
      <c r="AC199" s="22">
        <f t="shared" si="163"/>
        <v>0.47313689314289131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3.9017322706058616E-13</v>
      </c>
      <c r="AK199" s="13">
        <f t="shared" si="164"/>
        <v>5.0025007393608908E-12</v>
      </c>
      <c r="AL199" s="20">
        <f t="shared" si="165"/>
        <v>9.3922404915174053E-12</v>
      </c>
      <c r="AM199" s="59">
        <f t="shared" si="193"/>
        <v>293.33333333334269</v>
      </c>
      <c r="AN199" s="59">
        <f ca="1">AVERAGE(OFFSET($AM$3,0,0,'Données projet'!$E$10+1,1))-AVERAGE(OFFSET($H$3,0,0,'Données projet'!$E$10+1,1))</f>
        <v>240.30073883588199</v>
      </c>
      <c r="AO199" s="59">
        <f t="shared" si="205"/>
        <v>263.20351282678843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0.25968685515014533</v>
      </c>
      <c r="AV199" s="21">
        <f>EXP(-LN(2)/25)*AV198+(1-EXP(-LN(2)/25))/(LN(2)/25)*Calculateur!AQ199*Calculateur!AS199*VLOOKUP('Données projet'!$B$10,Paramètres!$A$1:$I$89,3,0)*0.475*44/12</f>
        <v>0.20843546930437476</v>
      </c>
      <c r="AW199" s="21">
        <f>EXP(-LN(2)/2)*AW198+(1-EXP(-LN(2)/2))/(LN(2)/2)*AQ199*AT199*VLOOKUP('Données projet'!$B$10,Paramètres!$A$1:$I$89,3,0)*0.475*44/12</f>
        <v>2.0876813920385285E-24</v>
      </c>
      <c r="AX199" s="21">
        <f t="shared" si="166"/>
        <v>0.46812232445452007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252.98248842635206</v>
      </c>
      <c r="BJ199" s="59">
        <f t="shared" si="206"/>
        <v>207.11938580878308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4.5474735088646412E-13</v>
      </c>
      <c r="BZ199" s="13">
        <f>BY199*VLOOKUP('Données projet'!$B$12,Paramètres!$A$1:$I$89,3,0)*VLOOKUP('Données projet'!$B$12,Paramètres!$A$1:$I$89,5,0)</f>
        <v>2.5420376914553347E-13</v>
      </c>
      <c r="CA199" s="13">
        <f t="shared" si="170"/>
        <v>3.4258699088369875E-12</v>
      </c>
      <c r="CB199" s="20">
        <f t="shared" si="171"/>
        <v>6.4094616558195571E-12</v>
      </c>
      <c r="CC199" s="59">
        <f t="shared" si="195"/>
        <v>293.33333333333974</v>
      </c>
      <c r="CD199" s="59">
        <f ca="1">AVERAGE(OFFSET($CC$3,0,0,'Données projet'!$E$12+1,1))-AVERAGE(OFFSET($H$3,0,0,'Données projet'!$E$12+1,1))</f>
        <v>401.06118089678654</v>
      </c>
      <c r="CE199" s="59">
        <f t="shared" si="207"/>
        <v>399.58193819355591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0.3838496327688084</v>
      </c>
      <c r="CL199" s="21">
        <f>EXP(-LN(2)/25)*CL198+(1-EXP(-LN(2)/25))/(LN(2)/25)*Calculateur!CG199*Calculateur!CI199*VLOOKUP('Données projet'!$B$12,Paramètres!$A$1:$I$89,3,0)*0.475*44/12</f>
        <v>0.3349506829912714</v>
      </c>
      <c r="CM199" s="21">
        <f>EXP(-LN(2)/2)*CM198+(1-EXP(-LN(2)/2))/(LN(2)/2)*CG199*CJ199*VLOOKUP('Données projet'!$B$12,Paramètres!$A$1:$I$89,3,0)*0.475*44/12</f>
        <v>3.3841783352572045E-24</v>
      </c>
      <c r="CN199" s="22">
        <f t="shared" si="172"/>
        <v>0.71880031576007974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285.77483300338548</v>
      </c>
      <c r="CZ199" s="59">
        <f t="shared" si="208"/>
        <v>320.55212417690637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0.31162422618017421</v>
      </c>
      <c r="DG199" s="21">
        <f>EXP(-LN(2)/25)*DG198+(1-EXP(-LN(2)/25))/(LN(2)/25)*Calculateur!DB199*Calculateur!DD199*VLOOKUP('Données projet'!$B$13,Paramètres!$A$1:$I$89,3,0)*0.475*44/12</f>
        <v>0.2794446092225451</v>
      </c>
      <c r="DH199" s="21">
        <f>EXP(-LN(2)/2)*DH198+(1-EXP(-LN(2)/2))/(LN(2)/2)*DB199*DE199*VLOOKUP('Données projet'!$B$13,Paramètres!$A$1:$I$89,3,0)*0.475*44/12</f>
        <v>2.5230240289567848E-24</v>
      </c>
      <c r="DI199" s="22">
        <f t="shared" si="175"/>
        <v>0.59106883540271937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-3.177547114319168E-13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356.67698551373468</v>
      </c>
      <c r="T200" s="59">
        <f t="shared" si="204"/>
        <v>353.21836615408171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0.16725447804238683</v>
      </c>
      <c r="AA200" s="21">
        <f>EXP(-LN(2)/25)*AA199+(1-EXP(-LN(2)/25))/(LN(2)/25)*Calculateur!V200*Calculateur!X200*VLOOKUP('Données projet'!$B$9,Paramètres!$A$1:$I$89,3,0)*0.475*44/12</f>
        <v>0.29426416464094635</v>
      </c>
      <c r="AB200" s="21">
        <f>EXP(-LN(2)/2)*AB199+(1-EXP(-LN(2)/2))/(LN(2)/2)*V200*Y200*VLOOKUP('Données projet'!$B$9,Paramètres!$A$1:$I$89,3,0)*0.475*44/12</f>
        <v>2.3777915952293051E-24</v>
      </c>
      <c r="AC200" s="22">
        <f t="shared" si="163"/>
        <v>0.4615186426833332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3.9017322706058616E-13</v>
      </c>
      <c r="AK200" s="13">
        <f t="shared" si="164"/>
        <v>5.0025007393608908E-12</v>
      </c>
      <c r="AL200" s="20">
        <f t="shared" si="165"/>
        <v>9.3922404915174053E-12</v>
      </c>
      <c r="AM200" s="59">
        <f t="shared" si="193"/>
        <v>293.33333333334269</v>
      </c>
      <c r="AN200" s="59">
        <f ca="1">AVERAGE(OFFSET($AM$3,0,0,'Données projet'!$E$10+1,1))-AVERAGE(OFFSET($H$3,0,0,'Données projet'!$E$10+1,1))</f>
        <v>240.30073883588199</v>
      </c>
      <c r="AO200" s="59">
        <f t="shared" si="205"/>
        <v>263.20351282678843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0.25459455431399258</v>
      </c>
      <c r="AV200" s="21">
        <f>EXP(-LN(2)/25)*AV199+(1-EXP(-LN(2)/25))/(LN(2)/25)*Calculateur!AQ200*Calculateur!AS200*VLOOKUP('Données projet'!$B$10,Paramètres!$A$1:$I$89,3,0)*0.475*44/12</f>
        <v>0.20273579043510168</v>
      </c>
      <c r="AW200" s="21">
        <f>EXP(-LN(2)/2)*AW199+(1-EXP(-LN(2)/2))/(LN(2)/2)*AQ200*AT200*VLOOKUP('Données projet'!$B$10,Paramètres!$A$1:$I$89,3,0)*0.475*44/12</f>
        <v>1.4762136692674147E-24</v>
      </c>
      <c r="AX200" s="21">
        <f t="shared" si="166"/>
        <v>0.45733034474909429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252.98248842635206</v>
      </c>
      <c r="BJ200" s="59">
        <f t="shared" si="206"/>
        <v>207.11938580878308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4.5474735088646412E-13</v>
      </c>
      <c r="BZ200" s="13">
        <f>BY200*VLOOKUP('Données projet'!$B$12,Paramètres!$A$1:$I$89,3,0)*VLOOKUP('Données projet'!$B$12,Paramètres!$A$1:$I$89,5,0)</f>
        <v>2.5420376914553347E-13</v>
      </c>
      <c r="CA200" s="13">
        <f t="shared" si="170"/>
        <v>3.4258699088369875E-12</v>
      </c>
      <c r="CB200" s="20">
        <f t="shared" si="171"/>
        <v>6.4094616558195571E-12</v>
      </c>
      <c r="CC200" s="59">
        <f t="shared" si="195"/>
        <v>293.33333333333974</v>
      </c>
      <c r="CD200" s="59">
        <f ca="1">AVERAGE(OFFSET($CC$3,0,0,'Données projet'!$E$12+1,1))-AVERAGE(OFFSET($H$3,0,0,'Données projet'!$E$12+1,1))</f>
        <v>401.06118089678654</v>
      </c>
      <c r="CE200" s="59">
        <f t="shared" si="207"/>
        <v>399.58193819355591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0.37632257559537013</v>
      </c>
      <c r="CL200" s="21">
        <f>EXP(-LN(2)/25)*CL199+(1-EXP(-LN(2)/25))/(LN(2)/25)*Calculateur!CG200*Calculateur!CI200*VLOOKUP('Données projet'!$B$12,Paramètres!$A$1:$I$89,3,0)*0.475*44/12</f>
        <v>0.32579143895058421</v>
      </c>
      <c r="CM200" s="21">
        <f>EXP(-LN(2)/2)*CM199+(1-EXP(-LN(2)/2))/(LN(2)/2)*CG200*CJ200*VLOOKUP('Données projet'!$B$12,Paramètres!$A$1:$I$89,3,0)*0.475*44/12</f>
        <v>2.3929754496049708E-24</v>
      </c>
      <c r="CN200" s="22">
        <f t="shared" si="172"/>
        <v>0.70211401454595435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285.77483300338548</v>
      </c>
      <c r="CZ200" s="59">
        <f t="shared" si="208"/>
        <v>320.55212417690637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0.3055134651767909</v>
      </c>
      <c r="DG200" s="21">
        <f>EXP(-LN(2)/25)*DG199+(1-EXP(-LN(2)/25))/(LN(2)/25)*Calculateur!DB200*Calculateur!DD200*VLOOKUP('Données projet'!$B$13,Paramètres!$A$1:$I$89,3,0)*0.475*44/12</f>
        <v>0.27180318168800127</v>
      </c>
      <c r="DH200" s="21">
        <f>EXP(-LN(2)/2)*DH199+(1-EXP(-LN(2)/2))/(LN(2)/2)*DB200*DE200*VLOOKUP('Données projet'!$B$13,Paramètres!$A$1:$I$89,3,0)*0.475*44/12</f>
        <v>1.7840473999719468E-24</v>
      </c>
      <c r="DI200" s="22">
        <f t="shared" si="175"/>
        <v>0.57731664686479212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-3.177547114319168E-13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356.67698551373468</v>
      </c>
      <c r="T201" s="59">
        <f t="shared" si="204"/>
        <v>353.21836615408171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0.16397471974313407</v>
      </c>
      <c r="AA201" s="21">
        <f>EXP(-LN(2)/25)*AA200+(1-EXP(-LN(2)/25))/(LN(2)/25)*Calculateur!V201*Calculateur!X201*VLOOKUP('Données projet'!$B$9,Paramètres!$A$1:$I$89,3,0)*0.475*44/12</f>
        <v>0.28621749558415982</v>
      </c>
      <c r="AB201" s="21">
        <f>EXP(-LN(2)/2)*AB200+(1-EXP(-LN(2)/2))/(LN(2)/2)*V201*Y201*VLOOKUP('Données projet'!$B$9,Paramètres!$A$1:$I$89,3,0)*0.475*44/12</f>
        <v>1.6813525612350201E-24</v>
      </c>
      <c r="AC201" s="22">
        <f t="shared" si="163"/>
        <v>0.45019221532729392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3.9017322706058616E-13</v>
      </c>
      <c r="AK201" s="13">
        <f t="shared" si="164"/>
        <v>5.0025007393608908E-12</v>
      </c>
      <c r="AL201" s="20">
        <f t="shared" si="165"/>
        <v>9.3922404915174053E-12</v>
      </c>
      <c r="AM201" s="59">
        <f t="shared" si="193"/>
        <v>293.33333333334269</v>
      </c>
      <c r="AN201" s="59">
        <f ca="1">AVERAGE(OFFSET($AM$3,0,0,'Données projet'!$E$10+1,1))-AVERAGE(OFFSET($H$3,0,0,'Données projet'!$E$10+1,1))</f>
        <v>240.30073883588199</v>
      </c>
      <c r="AO201" s="59">
        <f t="shared" si="205"/>
        <v>263.20351282678843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0.24960211039123997</v>
      </c>
      <c r="AV201" s="21">
        <f>EXP(-LN(2)/25)*AV200+(1-EXP(-LN(2)/25))/(LN(2)/25)*Calculateur!AQ201*Calculateur!AS201*VLOOKUP('Données projet'!$B$10,Paramètres!$A$1:$I$89,3,0)*0.475*44/12</f>
        <v>0.19719196958424196</v>
      </c>
      <c r="AW201" s="21">
        <f>EXP(-LN(2)/2)*AW200+(1-EXP(-LN(2)/2))/(LN(2)/2)*AQ201*AT201*VLOOKUP('Données projet'!$B$10,Paramètres!$A$1:$I$89,3,0)*0.475*44/12</f>
        <v>1.0438406960192642E-24</v>
      </c>
      <c r="AX201" s="21">
        <f t="shared" si="166"/>
        <v>0.44679407997548193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252.98248842635206</v>
      </c>
      <c r="BJ201" s="59">
        <f t="shared" si="206"/>
        <v>207.11938580878308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4.5474735088646412E-13</v>
      </c>
      <c r="BZ201" s="13">
        <f>BY201*VLOOKUP('Données projet'!$B$12,Paramètres!$A$1:$I$89,3,0)*VLOOKUP('Données projet'!$B$12,Paramètres!$A$1:$I$89,5,0)</f>
        <v>2.5420376914553347E-13</v>
      </c>
      <c r="CA201" s="13">
        <f t="shared" si="170"/>
        <v>3.4258699088369875E-12</v>
      </c>
      <c r="CB201" s="20">
        <f t="shared" si="171"/>
        <v>6.4094616558195571E-12</v>
      </c>
      <c r="CC201" s="59">
        <f t="shared" si="195"/>
        <v>293.33333333333974</v>
      </c>
      <c r="CD201" s="59">
        <f ca="1">AVERAGE(OFFSET($CC$3,0,0,'Données projet'!$E$12+1,1))-AVERAGE(OFFSET($H$3,0,0,'Données projet'!$E$12+1,1))</f>
        <v>401.06118089678654</v>
      </c>
      <c r="CE201" s="59">
        <f t="shared" si="207"/>
        <v>399.58193819355591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0.36894311942205144</v>
      </c>
      <c r="CL201" s="21">
        <f>EXP(-LN(2)/25)*CL200+(1-EXP(-LN(2)/25))/(LN(2)/25)*Calculateur!CG201*Calculateur!CI201*VLOOKUP('Données projet'!$B$12,Paramètres!$A$1:$I$89,3,0)*0.475*44/12</f>
        <v>0.31688265491985329</v>
      </c>
      <c r="CM201" s="21">
        <f>EXP(-LN(2)/2)*CM200+(1-EXP(-LN(2)/2))/(LN(2)/2)*CG201*CJ201*VLOOKUP('Données projet'!$B$12,Paramètres!$A$1:$I$89,3,0)*0.475*44/12</f>
        <v>1.6920891676286022E-24</v>
      </c>
      <c r="CN201" s="22">
        <f t="shared" si="172"/>
        <v>0.68582577434190473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285.77483300338548</v>
      </c>
      <c r="CZ201" s="59">
        <f t="shared" si="208"/>
        <v>320.55212417690637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0.29952253246948779</v>
      </c>
      <c r="DG201" s="21">
        <f>EXP(-LN(2)/25)*DG200+(1-EXP(-LN(2)/25))/(LN(2)/25)*Calculateur!DB201*Calculateur!DD201*VLOOKUP('Données projet'!$B$13,Paramètres!$A$1:$I$89,3,0)*0.475*44/12</f>
        <v>0.26437070939123475</v>
      </c>
      <c r="DH201" s="21">
        <f>EXP(-LN(2)/2)*DH200+(1-EXP(-LN(2)/2))/(LN(2)/2)*DB201*DE201*VLOOKUP('Données projet'!$B$13,Paramètres!$A$1:$I$89,3,0)*0.475*44/12</f>
        <v>1.2615120144783924E-24</v>
      </c>
      <c r="DI201" s="22">
        <f t="shared" si="175"/>
        <v>0.56389324186072254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-3.177547114319168E-13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356.67698551373468</v>
      </c>
      <c r="T202" s="59">
        <f t="shared" si="204"/>
        <v>353.21836615408171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0.16075927550367464</v>
      </c>
      <c r="AA202" s="21">
        <f>EXP(-LN(2)/25)*AA201+(1-EXP(-LN(2)/25))/(LN(2)/25)*Calculateur!V202*Calculateur!X202*VLOOKUP('Données projet'!$B$9,Paramètres!$A$1:$I$89,3,0)*0.475*44/12</f>
        <v>0.27839086311588701</v>
      </c>
      <c r="AB202" s="21">
        <f>EXP(-LN(2)/2)*AB201+(1-EXP(-LN(2)/2))/(LN(2)/2)*V202*Y202*VLOOKUP('Données projet'!$B$9,Paramètres!$A$1:$I$89,3,0)*0.475*44/12</f>
        <v>1.1888957976146526E-24</v>
      </c>
      <c r="AC202" s="22">
        <f t="shared" si="163"/>
        <v>0.43915013861956165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3.9017322706058616E-13</v>
      </c>
      <c r="AK202" s="13">
        <f t="shared" si="164"/>
        <v>5.0025007393608908E-12</v>
      </c>
      <c r="AL202" s="20">
        <f t="shared" si="165"/>
        <v>9.3922404915174053E-12</v>
      </c>
      <c r="AM202" s="59">
        <f t="shared" si="193"/>
        <v>293.33333333334269</v>
      </c>
      <c r="AN202" s="59">
        <f ca="1">AVERAGE(OFFSET($AM$3,0,0,'Données projet'!$E$10+1,1))-AVERAGE(OFFSET($H$3,0,0,'Données projet'!$E$10+1,1))</f>
        <v>240.30073883588199</v>
      </c>
      <c r="AO202" s="59">
        <f t="shared" si="205"/>
        <v>263.20351282678843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0.24470756524872242</v>
      </c>
      <c r="AV202" s="21">
        <f>EXP(-LN(2)/25)*AV201+(1-EXP(-LN(2)/25))/(LN(2)/25)*Calculateur!AQ202*Calculateur!AS202*VLOOKUP('Données projet'!$B$10,Paramètres!$A$1:$I$89,3,0)*0.475*44/12</f>
        <v>0.19179974480608586</v>
      </c>
      <c r="AW202" s="21">
        <f>EXP(-LN(2)/2)*AW201+(1-EXP(-LN(2)/2))/(LN(2)/2)*AQ202*AT202*VLOOKUP('Données projet'!$B$10,Paramètres!$A$1:$I$89,3,0)*0.475*44/12</f>
        <v>7.3810683463370735E-25</v>
      </c>
      <c r="AX202" s="21">
        <f t="shared" si="166"/>
        <v>0.43650731005480825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252.98248842635206</v>
      </c>
      <c r="BJ202" s="59">
        <f t="shared" si="206"/>
        <v>207.11938580878308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4.5474735088646412E-13</v>
      </c>
      <c r="BZ202" s="13">
        <f>BY202*VLOOKUP('Données projet'!$B$12,Paramètres!$A$1:$I$89,3,0)*VLOOKUP('Données projet'!$B$12,Paramètres!$A$1:$I$89,5,0)</f>
        <v>2.5420376914553347E-13</v>
      </c>
      <c r="CA202" s="13">
        <f t="shared" si="170"/>
        <v>3.4258699088369875E-12</v>
      </c>
      <c r="CB202" s="20">
        <f t="shared" si="171"/>
        <v>6.4094616558195571E-12</v>
      </c>
      <c r="CC202" s="59">
        <f t="shared" si="195"/>
        <v>293.33333333333974</v>
      </c>
      <c r="CD202" s="59">
        <f ca="1">AVERAGE(OFFSET($CC$3,0,0,'Données projet'!$E$12+1,1))-AVERAGE(OFFSET($H$3,0,0,'Données projet'!$E$12+1,1))</f>
        <v>401.06118089678654</v>
      </c>
      <c r="CE202" s="59">
        <f t="shared" si="207"/>
        <v>399.58193819355591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0.36170836988326766</v>
      </c>
      <c r="CL202" s="21">
        <f>EXP(-LN(2)/25)*CL201+(1-EXP(-LN(2)/25))/(LN(2)/25)*Calculateur!CG202*Calculateur!CI202*VLOOKUP('Données projet'!$B$12,Paramètres!$A$1:$I$89,3,0)*0.475*44/12</f>
        <v>0.30821748205693533</v>
      </c>
      <c r="CM202" s="21">
        <f>EXP(-LN(2)/2)*CM201+(1-EXP(-LN(2)/2))/(LN(2)/2)*CG202*CJ202*VLOOKUP('Données projet'!$B$12,Paramètres!$A$1:$I$89,3,0)*0.475*44/12</f>
        <v>1.1964877248024854E-24</v>
      </c>
      <c r="CN202" s="22">
        <f t="shared" si="172"/>
        <v>0.66992585194020293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285.77483300338548</v>
      </c>
      <c r="CZ202" s="59">
        <f t="shared" si="208"/>
        <v>320.55212417690637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0.29364907829846676</v>
      </c>
      <c r="DG202" s="21">
        <f>EXP(-LN(2)/25)*DG201+(1-EXP(-LN(2)/25))/(LN(2)/25)*Calculateur!DB202*Calculateur!DD202*VLOOKUP('Données projet'!$B$13,Paramètres!$A$1:$I$89,3,0)*0.475*44/12</f>
        <v>0.25714147844028007</v>
      </c>
      <c r="DH202" s="21">
        <f>EXP(-LN(2)/2)*DH201+(1-EXP(-LN(2)/2))/(LN(2)/2)*DB202*DE202*VLOOKUP('Données projet'!$B$13,Paramètres!$A$1:$I$89,3,0)*0.475*44/12</f>
        <v>8.9202369998597338E-25</v>
      </c>
      <c r="DI202" s="22">
        <f t="shared" si="175"/>
        <v>0.55079055673874677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-3.177547114319168E-13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356.67698551373468</v>
      </c>
      <c r="T203" s="59">
        <f t="shared" si="204"/>
        <v>353.21836615408171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0.15760688416452365</v>
      </c>
      <c r="AA203" s="21">
        <f>EXP(-LN(2)/25)*AA202+(1-EXP(-LN(2)/25))/(LN(2)/25)*Calculateur!V203*Calculateur!X203*VLOOKUP('Données projet'!$B$9,Paramètres!$A$1:$I$89,3,0)*0.475*44/12</f>
        <v>0.27077825032404385</v>
      </c>
      <c r="AB203" s="21">
        <f>EXP(-LN(2)/2)*AB202+(1-EXP(-LN(2)/2))/(LN(2)/2)*V203*Y203*VLOOKUP('Données projet'!$B$9,Paramètres!$A$1:$I$89,3,0)*0.475*44/12</f>
        <v>8.4067628061751003E-25</v>
      </c>
      <c r="AC203" s="22">
        <f t="shared" si="163"/>
        <v>0.42838513448856752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3.9017322706058616E-13</v>
      </c>
      <c r="AK203" s="13">
        <f t="shared" si="164"/>
        <v>5.0025007393608908E-12</v>
      </c>
      <c r="AL203" s="20">
        <f t="shared" si="165"/>
        <v>9.3922404915174053E-12</v>
      </c>
      <c r="AM203" s="59">
        <f t="shared" si="193"/>
        <v>293.33333333334269</v>
      </c>
      <c r="AN203" s="59">
        <f ca="1">AVERAGE(OFFSET($AM$3,0,0,'Données projet'!$E$10+1,1))-AVERAGE(OFFSET($H$3,0,0,'Données projet'!$E$10+1,1))</f>
        <v>240.30073883588199</v>
      </c>
      <c r="AO203" s="59">
        <f t="shared" si="205"/>
        <v>263.20351282678843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0.23990899915107189</v>
      </c>
      <c r="AV203" s="21">
        <f>EXP(-LN(2)/25)*AV202+(1-EXP(-LN(2)/25))/(LN(2)/25)*Calculateur!AQ203*Calculateur!AS203*VLOOKUP('Données projet'!$B$10,Paramètres!$A$1:$I$89,3,0)*0.475*44/12</f>
        <v>0.18655497069805321</v>
      </c>
      <c r="AW203" s="21">
        <f>EXP(-LN(2)/2)*AW202+(1-EXP(-LN(2)/2))/(LN(2)/2)*AQ203*AT203*VLOOKUP('Données projet'!$B$10,Paramètres!$A$1:$I$89,3,0)*0.475*44/12</f>
        <v>5.2192034800963212E-25</v>
      </c>
      <c r="AX203" s="21">
        <f t="shared" si="166"/>
        <v>0.4264639698491251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252.98248842635206</v>
      </c>
      <c r="BJ203" s="59">
        <f t="shared" si="206"/>
        <v>207.11938580878308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4.5474735088646412E-13</v>
      </c>
      <c r="BZ203" s="13">
        <f>BY203*VLOOKUP('Données projet'!$B$12,Paramètres!$A$1:$I$89,3,0)*VLOOKUP('Données projet'!$B$12,Paramètres!$A$1:$I$89,5,0)</f>
        <v>2.5420376914553347E-13</v>
      </c>
      <c r="CA203" s="13">
        <f t="shared" si="170"/>
        <v>3.4258699088369875E-12</v>
      </c>
      <c r="CB203" s="20">
        <f t="shared" si="171"/>
        <v>6.4094616558195571E-12</v>
      </c>
      <c r="CC203" s="59">
        <f t="shared" si="195"/>
        <v>293.33333333333974</v>
      </c>
      <c r="CD203" s="59">
        <f ca="1">AVERAGE(OFFSET($CC$3,0,0,'Données projet'!$E$12+1,1))-AVERAGE(OFFSET($H$3,0,0,'Données projet'!$E$12+1,1))</f>
        <v>401.06118089678654</v>
      </c>
      <c r="CE203" s="59">
        <f t="shared" si="207"/>
        <v>399.58193819355591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0.35461548937017795</v>
      </c>
      <c r="CL203" s="21">
        <f>EXP(-LN(2)/25)*CL202+(1-EXP(-LN(2)/25))/(LN(2)/25)*Calculateur!CG203*Calculateur!CI203*VLOOKUP('Données projet'!$B$12,Paramètres!$A$1:$I$89,3,0)*0.475*44/12</f>
        <v>0.29978925880163548</v>
      </c>
      <c r="CM203" s="21">
        <f>EXP(-LN(2)/2)*CM202+(1-EXP(-LN(2)/2))/(LN(2)/2)*CG203*CJ203*VLOOKUP('Données projet'!$B$12,Paramètres!$A$1:$I$89,3,0)*0.475*44/12</f>
        <v>8.4604458381430112E-25</v>
      </c>
      <c r="CN203" s="22">
        <f t="shared" si="172"/>
        <v>0.65440474817181338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285.77483300338548</v>
      </c>
      <c r="CZ203" s="59">
        <f t="shared" si="208"/>
        <v>320.55212417690637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0.28789079898128611</v>
      </c>
      <c r="DG203" s="21">
        <f>EXP(-LN(2)/25)*DG202+(1-EXP(-LN(2)/25))/(LN(2)/25)*Calculateur!DB203*Calculateur!DD203*VLOOKUP('Données projet'!$B$13,Paramètres!$A$1:$I$89,3,0)*0.475*44/12</f>
        <v>0.25010993118984798</v>
      </c>
      <c r="DH203" s="21">
        <f>EXP(-LN(2)/2)*DH202+(1-EXP(-LN(2)/2))/(LN(2)/2)*DB203*DE203*VLOOKUP('Données projet'!$B$13,Paramètres!$A$1:$I$89,3,0)*0.475*44/12</f>
        <v>6.3075600723919621E-25</v>
      </c>
      <c r="DI203" s="22">
        <f t="shared" si="175"/>
        <v>0.53800073017113403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1.2820888539868154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1.2693871579679339</v>
      </c>
      <c r="BA205" s="82">
        <f>EXP(LN('Données projet'!B88)/'Données projet'!A88)</f>
        <v>1.2880503926580862</v>
      </c>
      <c r="BV205" s="82">
        <f>EXP(LN('Données projet'!B114)/'Données projet'!A114)</f>
        <v>1.3492828476735632</v>
      </c>
      <c r="CQ205" s="82">
        <f>EXP(LN('Données projet'!B140)/'Données projet'!A140)</f>
        <v>1.2880503926580862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4.9735255</v>
      </c>
      <c r="C6" s="147">
        <f ca="1">IF(OR('Données projet'!B9="",'Données projet'!C9="",'Données projet'!C9=0%),0,Calculateur!S3)</f>
        <v>356.67698551373468</v>
      </c>
      <c r="D6" s="147">
        <f>IF(OR('Données projet'!B9="",'Données projet'!C9="",'Données projet'!C9=0%),0,Calculateur!T3)</f>
        <v>353.21836615408171</v>
      </c>
      <c r="E6" s="147">
        <f ca="1">MIN(C6,D6)</f>
        <v>353.21836615408171</v>
      </c>
      <c r="F6" s="147">
        <f ca="1">E6*B6</f>
        <v>1756.7405511356624</v>
      </c>
      <c r="G6" s="147">
        <f ca="1">F6*(100%-'Données projet'!$C$24)*(100%-'Données projet'!$C$25)*(100%-'Données projet'!$C$26)*(100%-'Données projet'!$C$27)</f>
        <v>1581.0664960220961</v>
      </c>
      <c r="H6" s="148">
        <f>IF(OR('Données projet'!B9="",'Données projet'!C9="",'Données projet'!C9=0%),0,AVERAGE(Calculateur!$AC$3:$AC$33)*B6)</f>
        <v>39.550857651100692</v>
      </c>
      <c r="I6" s="149">
        <f>H6*(100%-'Données projet'!$C$24)*(100%-'Données projet'!$C$25)*(100%-'Données projet'!$C$26)*(100%-'Données projet'!$C$27)</f>
        <v>35.595771885990622</v>
      </c>
      <c r="J6" s="150">
        <f>IF(OR('Données projet'!B9="",'Données projet'!C9="",'Données projet'!C9=0%),0,SUM(Calculateur!$V$3:$V$33)*VLOOKUP('Données projet'!$B$9,Paramètres!$A$1:$I$89,9,0)*B6)</f>
        <v>374.257793875</v>
      </c>
      <c r="K6" s="151">
        <f>J6*(100%-'Données projet'!$C$24)*(100%-'Données projet'!$C$25)*(100%-'Données projet'!$C$26)*(100%-'Données projet'!$C$27)</f>
        <v>336.83201448750003</v>
      </c>
      <c r="L6" s="152">
        <f ca="1">G6+I6+K6</f>
        <v>1953.4942823955867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4.9735255</v>
      </c>
      <c r="C7" s="147">
        <f ca="1">IF(OR('Données projet'!B10="",'Données projet'!C10="",'Données projet'!C10=0%),0,Calculateur!AN3)</f>
        <v>240.30073883588199</v>
      </c>
      <c r="D7" s="147">
        <f>IF(OR('Données projet'!B10="",'Données projet'!C10="",'Données projet'!C10=0%),0,Calculateur!AO3)</f>
        <v>263.20351282678843</v>
      </c>
      <c r="E7" s="147">
        <f t="shared" ref="E7:E15" ca="1" si="0">MIN(C7,D7)</f>
        <v>240.30073883588199</v>
      </c>
      <c r="F7" s="147">
        <f t="shared" ref="F7:F15" ca="1" si="1">E7*B7</f>
        <v>1195.1418522690994</v>
      </c>
      <c r="G7" s="147">
        <f ca="1">F7*(100%-'Données projet'!$C$24)*(100%-'Données projet'!$C$25)*(100%-'Données projet'!$C$26)*(100%-'Données projet'!$C$27)</f>
        <v>1075.6276670421896</v>
      </c>
      <c r="H7" s="155">
        <f>IF(OR('Données projet'!B10="",'Données projet'!C10="",'Données projet'!C10=0%),0,AVERAGE(Calculateur!$AX$3:$AX$33)*B7)</f>
        <v>27.628022788685495</v>
      </c>
      <c r="I7" s="149">
        <f>H7*(100%-'Données projet'!$C$24)*(100%-'Données projet'!$C$25)*(100%-'Données projet'!$C$26)*(100%-'Données projet'!$C$27)</f>
        <v>24.865220509816947</v>
      </c>
      <c r="J7" s="150">
        <f>IF(OR('Données projet'!B10="",'Données projet'!C10="",'Données projet'!C10=0%),0,SUM(Calculateur!$AQ$3:$AQ$33)*VLOOKUP('Données projet'!$B$10,Paramètres!$A$1:$I$89,9,0)*B7)</f>
        <v>228.831908255</v>
      </c>
      <c r="K7" s="151">
        <f>J7*(100%-'Données projet'!$C$24)*(100%-'Données projet'!$C$25)*(100%-'Données projet'!$C$26)*(100%-'Données projet'!$C$27)</f>
        <v>205.94871742949999</v>
      </c>
      <c r="L7" s="152">
        <f t="shared" ref="L7:L15" ca="1" si="2">G7+I7+K7</f>
        <v>1306.4416049815065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7.1559509999999991</v>
      </c>
      <c r="C8" s="147">
        <f ca="1">IF(OR('Données projet'!B11="",'Données projet'!C11="",'Données projet'!C11=0%),0,Calculateur!BI3)</f>
        <v>252.98248842635206</v>
      </c>
      <c r="D8" s="147">
        <f>IF(OR('Données projet'!B11="",'Données projet'!C11="",'Données projet'!C11=0%),0,Calculateur!BJ3)</f>
        <v>207.11938580878308</v>
      </c>
      <c r="E8" s="147">
        <f t="shared" ca="1" si="0"/>
        <v>207.11938580878308</v>
      </c>
      <c r="F8" s="147">
        <f t="shared" ca="1" si="1"/>
        <v>1482.1361759977469</v>
      </c>
      <c r="G8" s="147">
        <f ca="1">F8*(100%-'Données projet'!$C$24)*(100%-'Données projet'!$C$25)*(100%-'Données projet'!$C$26)*(100%-'Données projet'!$C$27)</f>
        <v>1333.9225583979724</v>
      </c>
      <c r="H8" s="155">
        <f>IF(OR('Données projet'!B11="",'Données projet'!C11="",'Données projet'!C11=0%),0,AVERAGE(Calculateur!$BS$3:$BS$33)*B8)</f>
        <v>11.680182985394367</v>
      </c>
      <c r="I8" s="149">
        <f>H8*(100%-'Données projet'!$C$24)*(100%-'Données projet'!$C$25)*(100%-'Données projet'!$C$26)*(100%-'Données projet'!$C$27)</f>
        <v>10.512164686854931</v>
      </c>
      <c r="J8" s="150">
        <f>IF(OR('Données projet'!B11="",'Données projet'!C11="",'Données projet'!C11=0%),0,SUM(Calculateur!$BL$3:$BL$33)*VLOOKUP('Données projet'!$B$11,Paramètres!$A$1:$I$89,9,0)*B8)</f>
        <v>179.70024151199996</v>
      </c>
      <c r="K8" s="151">
        <f>J8*(100%-'Données projet'!$C$24)*(100%-'Données projet'!$C$25)*(100%-'Données projet'!$C$26)*(100%-'Données projet'!$C$27)</f>
        <v>161.73021736079997</v>
      </c>
      <c r="L8" s="152">
        <f t="shared" ca="1" si="2"/>
        <v>1506.1649404456273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Douglas</v>
      </c>
      <c r="B9" s="154">
        <f>'Données projet'!D12</f>
        <v>2.1824254999999999</v>
      </c>
      <c r="C9" s="147">
        <f ca="1">IF(OR('Données projet'!B12="",'Données projet'!C12="",'Données projet'!C12=0%),0,Calculateur!CD3)</f>
        <v>401.06118089678654</v>
      </c>
      <c r="D9" s="147">
        <f>IF(OR('Données projet'!B12="",'Données projet'!C12="",'Données projet'!C12=0%),0,Calculateur!CE3)</f>
        <v>399.58193819355591</v>
      </c>
      <c r="E9" s="147">
        <f t="shared" ca="1" si="0"/>
        <v>399.58193819355591</v>
      </c>
      <c r="F9" s="147">
        <f t="shared" ca="1" si="1"/>
        <v>872.05781125304031</v>
      </c>
      <c r="G9" s="147">
        <f ca="1">F9*(100%-'Données projet'!$C$24)*(100%-'Données projet'!$C$25)*(100%-'Données projet'!$C$26)*(100%-'Données projet'!$C$27)</f>
        <v>784.85203012773627</v>
      </c>
      <c r="H9" s="155">
        <f>IF(OR('Données projet'!B12="",'Données projet'!C12="",'Données projet'!C12=0%),0,AVERAGE(Calculateur!$CN$3:$CN$33)*B9)</f>
        <v>22.206072685427475</v>
      </c>
      <c r="I9" s="149">
        <f>H9*(100%-'Données projet'!$C$24)*(100%-'Données projet'!$C$25)*(100%-'Données projet'!$C$26)*(100%-'Données projet'!$C$27)</f>
        <v>19.985465416884729</v>
      </c>
      <c r="J9" s="150">
        <f>IF(OR('Données projet'!B12="",'Données projet'!C12="",'Données projet'!C12=0%),0,SUM(Calculateur!$CG$3:$CG$33)*VLOOKUP('Données projet'!$B$12,Paramètres!$A$1:$I$89,9,0)*B9)</f>
        <v>197.07302264999998</v>
      </c>
      <c r="K9" s="151">
        <f>J9*(100%-'Données projet'!$C$24)*(100%-'Données projet'!$C$25)*(100%-'Données projet'!$C$26)*(100%-'Données projet'!$C$27)</f>
        <v>177.365720385</v>
      </c>
      <c r="L9" s="152">
        <f t="shared" ca="1" si="2"/>
        <v>982.20321592962102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Mélèze d'Europe</v>
      </c>
      <c r="B10" s="154">
        <f>'Données projet'!D13</f>
        <v>2.1824254999999999</v>
      </c>
      <c r="C10" s="147">
        <f ca="1">IF(OR('Données projet'!B13="",'Données projet'!C13="",'Données projet'!C13=0%),0,Calculateur!CY3)</f>
        <v>285.77483300338548</v>
      </c>
      <c r="D10" s="147">
        <f>IF(OR('Données projet'!B13="",'Données projet'!C13="",'Données projet'!C13=0%),0,Calculateur!CZ3)</f>
        <v>320.55212417690637</v>
      </c>
      <c r="E10" s="147">
        <f t="shared" ca="1" si="0"/>
        <v>285.77483300338548</v>
      </c>
      <c r="F10" s="147">
        <f t="shared" ca="1" si="1"/>
        <v>623.68228280483004</v>
      </c>
      <c r="G10" s="147">
        <f ca="1">F10*(100%-'Données projet'!$C$24)*(100%-'Données projet'!$C$25)*(100%-'Données projet'!$C$26)*(100%-'Données projet'!$C$27)</f>
        <v>561.31405452434706</v>
      </c>
      <c r="H10" s="155">
        <f>IF(OR('Données projet'!B13="",'Données projet'!C13="",'Données projet'!C13=0%),0,AVERAGE(Calculateur!$DI$3:$DI$33)*B10)</f>
        <v>18.454847070765048</v>
      </c>
      <c r="I10" s="149">
        <f>H10*(100%-'Données projet'!$C$24)*(100%-'Données projet'!$C$25)*(100%-'Données projet'!$C$26)*(100%-'Données projet'!$C$27)</f>
        <v>16.609362363688543</v>
      </c>
      <c r="J10" s="150">
        <f>IF(OR('Données projet'!B13="",'Données projet'!C13="",'Données projet'!C13=0%),0,SUM(Calculateur!$DB$3:$DB$33)*VLOOKUP('Données projet'!$B$13,Paramètres!$A$1:$I$89,9,0)*B10)</f>
        <v>135.13578695999999</v>
      </c>
      <c r="K10" s="151">
        <f>J10*(100%-'Données projet'!$C$24)*(100%-'Données projet'!$C$25)*(100%-'Données projet'!$C$26)*(100%-'Données projet'!$C$27)</f>
        <v>121.62220826399999</v>
      </c>
      <c r="L10" s="152">
        <f t="shared" ca="1" si="2"/>
        <v>699.54562515203565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5929.7586734603792</v>
      </c>
      <c r="G16" s="166">
        <f t="shared" ca="1" si="3"/>
        <v>5336.7828061143418</v>
      </c>
      <c r="H16" s="167">
        <f t="shared" si="3"/>
        <v>119.51998318137308</v>
      </c>
      <c r="I16" s="167">
        <f t="shared" si="3"/>
        <v>107.56798486323578</v>
      </c>
      <c r="J16" s="168">
        <f t="shared" si="3"/>
        <v>1114.9987532519999</v>
      </c>
      <c r="K16" s="168">
        <f t="shared" si="3"/>
        <v>1003.4988779268001</v>
      </c>
      <c r="L16" s="169">
        <f t="shared" ca="1" si="3"/>
        <v>6447.8496689043777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Mélèze d'Europe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5" zoomScale="80" zoomScaleNormal="80" workbookViewId="0">
      <selection activeCell="E142" sqref="E14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3458.8927392045384</v>
      </c>
      <c r="U10" s="178">
        <f>'Données projet'!D9</f>
        <v>4.9735255</v>
      </c>
      <c r="V10" s="177">
        <f>U10*T10</f>
        <v>17202.891240198624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-449.22900842488309</v>
      </c>
      <c r="U11" s="178">
        <f>'Données projet'!D10</f>
        <v>4.9735255</v>
      </c>
      <c r="V11" s="177">
        <f t="shared" ref="V11" si="0">U11*T11</f>
        <v>-2234.2519287408709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-702.68651571095211</v>
      </c>
      <c r="U12" s="178">
        <f>'Données projet'!D11</f>
        <v>7.1559509999999991</v>
      </c>
      <c r="V12" s="177">
        <f t="shared" ref="V12:V19" si="1">U12*T12</f>
        <v>-5028.390274788303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4073.7023501302024</v>
      </c>
      <c r="U13" s="178">
        <f>'Données projet'!D12</f>
        <v>2.1824254999999999</v>
      </c>
      <c r="V13" s="177">
        <f t="shared" si="1"/>
        <v>8890.551888334081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Mélèze d'Europe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898.97716353869998</v>
      </c>
      <c r="U14" s="178">
        <f>'Données projet'!D13</f>
        <v>2.1824254999999999</v>
      </c>
      <c r="V14" s="177">
        <f t="shared" si="1"/>
        <v>1961.9506856245289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1415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1000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-34630.148351101816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63</v>
      </c>
      <c r="C24" s="193">
        <v>12</v>
      </c>
      <c r="D24" s="182">
        <f t="shared" ref="D24:D42" si="2">B24*C24</f>
        <v>756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2030.8543942104236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112</v>
      </c>
      <c r="C25" s="193">
        <v>35</v>
      </c>
      <c r="D25" s="182">
        <f t="shared" si="2"/>
        <v>3920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-36661.002745312238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112</v>
      </c>
      <c r="C26" s="193">
        <v>45</v>
      </c>
      <c r="D26" s="182">
        <f t="shared" si="2"/>
        <v>5040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108</v>
      </c>
      <c r="C27" s="193">
        <v>50</v>
      </c>
      <c r="D27" s="182">
        <f t="shared" si="2"/>
        <v>5400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83</v>
      </c>
      <c r="C28" s="193">
        <v>55</v>
      </c>
      <c r="D28" s="182">
        <f t="shared" si="2"/>
        <v>4565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67</v>
      </c>
      <c r="C29" s="193">
        <v>60</v>
      </c>
      <c r="D29" s="182">
        <f t="shared" si="2"/>
        <v>4020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651</v>
      </c>
      <c r="C30" s="193">
        <v>80</v>
      </c>
      <c r="D30" s="182">
        <f t="shared" si="2"/>
        <v>52080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1500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10</v>
      </c>
      <c r="D54" s="179">
        <f>B54*C54</f>
        <v>370</v>
      </c>
      <c r="E54" s="193">
        <v>1300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15</v>
      </c>
      <c r="D55" s="179">
        <f t="shared" ref="D55:D73" si="4">B55*C55</f>
        <v>1050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25</v>
      </c>
      <c r="D56" s="179">
        <f t="shared" si="4"/>
        <v>1750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60</v>
      </c>
      <c r="C57" s="191">
        <v>35</v>
      </c>
      <c r="D57" s="179">
        <f t="shared" si="4"/>
        <v>2100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1">
        <v>40</v>
      </c>
      <c r="D58" s="179">
        <f t="shared" si="4"/>
        <v>1880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36</v>
      </c>
      <c r="C59" s="191">
        <v>50</v>
      </c>
      <c r="D59" s="179">
        <f t="shared" si="4"/>
        <v>1800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387</v>
      </c>
      <c r="C60" s="191">
        <v>60</v>
      </c>
      <c r="D60" s="179">
        <f t="shared" si="4"/>
        <v>23220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1651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>
        <v>1810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83.4</v>
      </c>
      <c r="C90" s="191">
        <v>35</v>
      </c>
      <c r="D90" s="179">
        <f t="shared" si="6"/>
        <v>2919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83.4</v>
      </c>
      <c r="C91" s="191">
        <v>40</v>
      </c>
      <c r="D91" s="179">
        <f t="shared" si="6"/>
        <v>3336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726.2</v>
      </c>
      <c r="C93" s="191">
        <v>70</v>
      </c>
      <c r="D93" s="179">
        <f t="shared" si="6"/>
        <v>50834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1415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84</v>
      </c>
      <c r="C117" s="191">
        <v>12</v>
      </c>
      <c r="D117" s="179">
        <f t="shared" ref="D117:D135" si="8">B117*C117</f>
        <v>1008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126</v>
      </c>
      <c r="C118" s="191">
        <v>35</v>
      </c>
      <c r="D118" s="179">
        <f t="shared" si="8"/>
        <v>4410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126</v>
      </c>
      <c r="C119" s="191">
        <v>45</v>
      </c>
      <c r="D119" s="179">
        <f t="shared" si="8"/>
        <v>5670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119</v>
      </c>
      <c r="C120" s="191">
        <v>50</v>
      </c>
      <c r="D120" s="179">
        <f t="shared" si="8"/>
        <v>5950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90</v>
      </c>
      <c r="C121" s="191">
        <v>55</v>
      </c>
      <c r="D121" s="179">
        <f t="shared" si="8"/>
        <v>4950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75</v>
      </c>
      <c r="C122" s="191">
        <v>60</v>
      </c>
      <c r="D122" s="179">
        <f t="shared" si="8"/>
        <v>4500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719</v>
      </c>
      <c r="C123" s="191">
        <v>80</v>
      </c>
      <c r="D123" s="179">
        <f t="shared" si="8"/>
        <v>57520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Mélèze d'Europe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60</v>
      </c>
      <c r="C147" s="191">
        <v>10</v>
      </c>
      <c r="D147" s="182">
        <f>B147*C147</f>
        <v>600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84</v>
      </c>
      <c r="C148" s="191">
        <v>25</v>
      </c>
      <c r="D148" s="182">
        <f t="shared" ref="D148:D166" si="10">B148*C148</f>
        <v>2100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82</v>
      </c>
      <c r="C149" s="191">
        <v>30</v>
      </c>
      <c r="D149" s="182">
        <f t="shared" si="10"/>
        <v>2460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68</v>
      </c>
      <c r="C150" s="191">
        <v>35</v>
      </c>
      <c r="D150" s="182">
        <f t="shared" si="10"/>
        <v>2380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55</v>
      </c>
      <c r="C151" s="191">
        <v>40</v>
      </c>
      <c r="D151" s="182">
        <f t="shared" si="10"/>
        <v>2200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45</v>
      </c>
      <c r="C152" s="191">
        <v>45</v>
      </c>
      <c r="D152" s="182">
        <f t="shared" si="10"/>
        <v>2025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442</v>
      </c>
      <c r="C153" s="191">
        <v>50</v>
      </c>
      <c r="D153" s="182">
        <f t="shared" si="10"/>
        <v>22100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2024-07-15T15:43:48Z</dcterms:modified>
</cp:coreProperties>
</file>